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4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2" sheetId="78" r:id="rId20"/>
    <sheet name="基准地价修正3" sheetId="79" r:id="rId21"/>
    <sheet name="基准地价修正4" sheetId="80" r:id="rId22"/>
    <sheet name="基准地价修正5" sheetId="81" r:id="rId23"/>
    <sheet name="典型户型修正" sheetId="31" state="hidden" r:id="rId24"/>
    <sheet name="基准地价（汇总）" sheetId="76" r:id="rId25"/>
    <sheet name="成本法" sheetId="68" r:id="rId26"/>
    <sheet name="成本法 (元)" sheetId="69" state="hidden" r:id="rId27"/>
    <sheet name="假设开发法" sheetId="12" state="hidden"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明细表" sheetId="82" r:id="rId48"/>
    <sheet name="地价" sheetId="71" r:id="rId49"/>
    <sheet name="面积表" sheetId="77" r:id="rId50"/>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7" hidden="1">明细表!$A$6:$J$3158</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基准地价修正2!$Q$19:$AD$19</definedName>
    <definedName name="季度" localSheetId="21">基准地价修正4!$Q$19:$AD$19</definedName>
    <definedName name="季度" localSheetId="22">基准地价修正5!$Q$19:$AD$19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0" i="77" l="1"/>
  <c r="AH6" i="1" l="1"/>
  <c r="S13" i="82"/>
  <c r="S6" i="82"/>
  <c r="S7" i="82"/>
  <c r="S8" i="82"/>
  <c r="S9" i="82"/>
  <c r="S10" i="82"/>
  <c r="S5" i="82"/>
  <c r="Q10" i="82"/>
  <c r="Q9" i="82"/>
  <c r="Q8" i="82"/>
  <c r="Q7" i="82"/>
  <c r="Q6" i="82"/>
  <c r="Q5" i="82"/>
  <c r="R13" i="82"/>
  <c r="R10" i="82"/>
  <c r="R6" i="82"/>
  <c r="R7" i="82"/>
  <c r="R8" i="82"/>
  <c r="R9" i="82"/>
  <c r="R5" i="82"/>
  <c r="L2941" i="82"/>
  <c r="K2941" i="82"/>
  <c r="L2940" i="82"/>
  <c r="K2940" i="82"/>
  <c r="L2939" i="82"/>
  <c r="K2939" i="82"/>
  <c r="L2929" i="82"/>
  <c r="K2929" i="82"/>
  <c r="L2919" i="82"/>
  <c r="K2919" i="82"/>
  <c r="L2912" i="82"/>
  <c r="K2912" i="82"/>
  <c r="L2906" i="82"/>
  <c r="K2906" i="82"/>
  <c r="L2905" i="82"/>
  <c r="K2905" i="82"/>
  <c r="L2899" i="82"/>
  <c r="K2899" i="82"/>
  <c r="L2891" i="82"/>
  <c r="K2891" i="82"/>
  <c r="L2882" i="82"/>
  <c r="K2882" i="82"/>
  <c r="L2881" i="82"/>
  <c r="K2881" i="82"/>
  <c r="L2875" i="82"/>
  <c r="K2875" i="82"/>
  <c r="L2874" i="82"/>
  <c r="K2874" i="82"/>
  <c r="L2867" i="82"/>
  <c r="K2867" i="82"/>
  <c r="L2859" i="82"/>
  <c r="K2859" i="82"/>
  <c r="L2856" i="82"/>
  <c r="K2856" i="82"/>
  <c r="L2855" i="82"/>
  <c r="K2855" i="82"/>
  <c r="L2853" i="82"/>
  <c r="K2853" i="82"/>
  <c r="L2847" i="82"/>
  <c r="K2847" i="82"/>
  <c r="L2837" i="82"/>
  <c r="K2837" i="82"/>
  <c r="L2836" i="82"/>
  <c r="K2836" i="82"/>
  <c r="L2826" i="82"/>
  <c r="K2826" i="82"/>
  <c r="L2822" i="82"/>
  <c r="K2822" i="82"/>
  <c r="L2817" i="82"/>
  <c r="K2817" i="82"/>
  <c r="L2813" i="82"/>
  <c r="K2813" i="82"/>
  <c r="L2806" i="82"/>
  <c r="K2806" i="82"/>
  <c r="L2801" i="82"/>
  <c r="K2801" i="82"/>
  <c r="L2798" i="82"/>
  <c r="K2798" i="82"/>
  <c r="L2793" i="82"/>
  <c r="K2793" i="82"/>
  <c r="L2792" i="82"/>
  <c r="K2792" i="82"/>
  <c r="L2788" i="82"/>
  <c r="K2788" i="82"/>
  <c r="L2787" i="82"/>
  <c r="K2787" i="82"/>
  <c r="L2783" i="82"/>
  <c r="K2783" i="82"/>
  <c r="L2780" i="82"/>
  <c r="K2780" i="82"/>
  <c r="L2779" i="82"/>
  <c r="K2779" i="82"/>
  <c r="L2771" i="82"/>
  <c r="K2771" i="82"/>
  <c r="L2769" i="82"/>
  <c r="K2769" i="82"/>
  <c r="L2768" i="82"/>
  <c r="K2768" i="82"/>
  <c r="L2767" i="82"/>
  <c r="K2767" i="82"/>
  <c r="L2759" i="82"/>
  <c r="K2759" i="82"/>
  <c r="L2758" i="82"/>
  <c r="K2758" i="82"/>
  <c r="L2756" i="82"/>
  <c r="K2756" i="82"/>
  <c r="L2754" i="82"/>
  <c r="K2754" i="82"/>
  <c r="N2941" i="82" s="1"/>
  <c r="N2747" i="82"/>
  <c r="L2747" i="82"/>
  <c r="K2747" i="82"/>
  <c r="L2746" i="82"/>
  <c r="K2746" i="82"/>
  <c r="L2739" i="82"/>
  <c r="K2739" i="82"/>
  <c r="L2730" i="82"/>
  <c r="K2730" i="82"/>
  <c r="L2729" i="82"/>
  <c r="K2729" i="82"/>
  <c r="L2722" i="82"/>
  <c r="K2722" i="82"/>
  <c r="L2721" i="82"/>
  <c r="K2721" i="82"/>
  <c r="L2720" i="82"/>
  <c r="K2720" i="82"/>
  <c r="L2719" i="82"/>
  <c r="K2719" i="82"/>
  <c r="L2718" i="82"/>
  <c r="K2718" i="82"/>
  <c r="L2710" i="82"/>
  <c r="K2710" i="82"/>
  <c r="L2706" i="82"/>
  <c r="K2706" i="82"/>
  <c r="L2705" i="82"/>
  <c r="K2705" i="82"/>
  <c r="L2697" i="82"/>
  <c r="K2697" i="82"/>
  <c r="L2696" i="82"/>
  <c r="K2696" i="82"/>
  <c r="L2687" i="82"/>
  <c r="K2687" i="82"/>
  <c r="L2686" i="82"/>
  <c r="K2686" i="82"/>
  <c r="L2679" i="82"/>
  <c r="K2679" i="82"/>
  <c r="L2678" i="82"/>
  <c r="K2678" i="82"/>
  <c r="L2671" i="82"/>
  <c r="K2671" i="82"/>
  <c r="L2665" i="82"/>
  <c r="K2665" i="82"/>
  <c r="L2658" i="82"/>
  <c r="K2658" i="82"/>
  <c r="L2657" i="82"/>
  <c r="K2657" i="82"/>
  <c r="L2651" i="82"/>
  <c r="K2651" i="82"/>
  <c r="L2650" i="82"/>
  <c r="K2650" i="82"/>
  <c r="L2649" i="82"/>
  <c r="K2649" i="82"/>
  <c r="L2648" i="82"/>
  <c r="K2648" i="82"/>
  <c r="L2647" i="82"/>
  <c r="K2647" i="82"/>
  <c r="L2646" i="82"/>
  <c r="K2646" i="82"/>
  <c r="L2645" i="82"/>
  <c r="K2645" i="82"/>
  <c r="L2644" i="82"/>
  <c r="K2644" i="82"/>
  <c r="L2643" i="82"/>
  <c r="K2643" i="82"/>
  <c r="L2642" i="82"/>
  <c r="K2642" i="82"/>
  <c r="L2641" i="82"/>
  <c r="K2641" i="82"/>
  <c r="L2640" i="82"/>
  <c r="K2640" i="82"/>
  <c r="L2639" i="82"/>
  <c r="K2639" i="82"/>
  <c r="L2633" i="82"/>
  <c r="K2633" i="82"/>
  <c r="L2632" i="82"/>
  <c r="K2632" i="82"/>
  <c r="L2629" i="82"/>
  <c r="K2629" i="82"/>
  <c r="L2622" i="82"/>
  <c r="K2622" i="82"/>
  <c r="L2616" i="82"/>
  <c r="K2616" i="82"/>
  <c r="L2615" i="82"/>
  <c r="K2615" i="82"/>
  <c r="L2614" i="82"/>
  <c r="K2614" i="82"/>
  <c r="L2611" i="82"/>
  <c r="K2611" i="82"/>
  <c r="L2610" i="82"/>
  <c r="K2610" i="82"/>
  <c r="L2603" i="82"/>
  <c r="K2603" i="82"/>
  <c r="L2595" i="82"/>
  <c r="K2595" i="82"/>
  <c r="L2594" i="82"/>
  <c r="K2594" i="82"/>
  <c r="L2588" i="82"/>
  <c r="K2588" i="82"/>
  <c r="L2587" i="82"/>
  <c r="K2587" i="82"/>
  <c r="L2580" i="82"/>
  <c r="K2580" i="82"/>
  <c r="L2571" i="82"/>
  <c r="K2571" i="82"/>
  <c r="L2563" i="82"/>
  <c r="K2563" i="82"/>
  <c r="L2562" i="82"/>
  <c r="K2562" i="82"/>
  <c r="L2557" i="82"/>
  <c r="K2557" i="82"/>
  <c r="L2551" i="82"/>
  <c r="K2551" i="82"/>
  <c r="L2546" i="82"/>
  <c r="K2546" i="82"/>
  <c r="L2545" i="82"/>
  <c r="K2545" i="82"/>
  <c r="L2537" i="82"/>
  <c r="K2537" i="82"/>
  <c r="L2529" i="82"/>
  <c r="K2529" i="82"/>
  <c r="L2528" i="82"/>
  <c r="K2528" i="82"/>
  <c r="L2525" i="82"/>
  <c r="K2525" i="82"/>
  <c r="L2524" i="82"/>
  <c r="K2524" i="82"/>
  <c r="L2516" i="82"/>
  <c r="K2516" i="82"/>
  <c r="L2513" i="82"/>
  <c r="K2513" i="82"/>
  <c r="L2504" i="82"/>
  <c r="K2504" i="82"/>
  <c r="L2503" i="82"/>
  <c r="K2503" i="82"/>
  <c r="L2492" i="82"/>
  <c r="K2492" i="82"/>
  <c r="L2491" i="82"/>
  <c r="K2491" i="82"/>
  <c r="L2484" i="82"/>
  <c r="K2484" i="82"/>
  <c r="L2483" i="82"/>
  <c r="K2483" i="82"/>
  <c r="L2482" i="82"/>
  <c r="K2482" i="82"/>
  <c r="L2476" i="82"/>
  <c r="K2476" i="82"/>
  <c r="L2475" i="82"/>
  <c r="K2475" i="82"/>
  <c r="L2474" i="82"/>
  <c r="K2474" i="82"/>
  <c r="L2468" i="82"/>
  <c r="K2468" i="82"/>
  <c r="L2467" i="82"/>
  <c r="K2467" i="82"/>
  <c r="L2461" i="82"/>
  <c r="K2461" i="82"/>
  <c r="L2460" i="82"/>
  <c r="K2460" i="82"/>
  <c r="L2447" i="82"/>
  <c r="K2447" i="82"/>
  <c r="L2446" i="82"/>
  <c r="K2446" i="82"/>
  <c r="L2445" i="82"/>
  <c r="K2445" i="82"/>
  <c r="L2444" i="82"/>
  <c r="K2444" i="82"/>
  <c r="L2438" i="82"/>
  <c r="K2438" i="82"/>
  <c r="L2437" i="82"/>
  <c r="K2437" i="82"/>
  <c r="L2436" i="82"/>
  <c r="K2436" i="82"/>
  <c r="L2435" i="82"/>
  <c r="K2435" i="82"/>
  <c r="L2434" i="82"/>
  <c r="K2434" i="82"/>
  <c r="L2422" i="82"/>
  <c r="K2422" i="82"/>
  <c r="L2418" i="82"/>
  <c r="K2418" i="82"/>
  <c r="L2410" i="82"/>
  <c r="K2410" i="82"/>
  <c r="L2409" i="82"/>
  <c r="K2409" i="82"/>
  <c r="L2406" i="82"/>
  <c r="K2406" i="82"/>
  <c r="L2395" i="82"/>
  <c r="K2395" i="82"/>
  <c r="L2386" i="82"/>
  <c r="K2386" i="82"/>
  <c r="L2385" i="82"/>
  <c r="K2385" i="82"/>
  <c r="L2381" i="82"/>
  <c r="K2381" i="82"/>
  <c r="L2380" i="82"/>
  <c r="K2380" i="82"/>
  <c r="L2379" i="82"/>
  <c r="K2379" i="82"/>
  <c r="L2372" i="82"/>
  <c r="K2372" i="82"/>
  <c r="L2371" i="82"/>
  <c r="K2371" i="82"/>
  <c r="L2369" i="82"/>
  <c r="K2369" i="82"/>
  <c r="L2368" i="82"/>
  <c r="K2368" i="82"/>
  <c r="L2360" i="82"/>
  <c r="K2360" i="82"/>
  <c r="L2351" i="82"/>
  <c r="K2351" i="82"/>
  <c r="L2350" i="82"/>
  <c r="K2350" i="82"/>
  <c r="L2344" i="82"/>
  <c r="K2344" i="82"/>
  <c r="L2339" i="82"/>
  <c r="K2339" i="82"/>
  <c r="L2338" i="82"/>
  <c r="K2338" i="82"/>
  <c r="L2318" i="82"/>
  <c r="K2318" i="82"/>
  <c r="L2314" i="82"/>
  <c r="K2314" i="82"/>
  <c r="L2309" i="82"/>
  <c r="K2309" i="82"/>
  <c r="L2306" i="82"/>
  <c r="K2306" i="82"/>
  <c r="L2305" i="82"/>
  <c r="K2305" i="82"/>
  <c r="L2300" i="82"/>
  <c r="K2300" i="82"/>
  <c r="L2293" i="82"/>
  <c r="K2293" i="82"/>
  <c r="L2288" i="82"/>
  <c r="K2288" i="82"/>
  <c r="L2283" i="82"/>
  <c r="K2283" i="82"/>
  <c r="L2276" i="82"/>
  <c r="K2276" i="82"/>
  <c r="L2265" i="82"/>
  <c r="K2265" i="82"/>
  <c r="L2255" i="82"/>
  <c r="K2255" i="82"/>
  <c r="L2254" i="82"/>
  <c r="K2254" i="82"/>
  <c r="L2247" i="82"/>
  <c r="K2247" i="82"/>
  <c r="L2246" i="82"/>
  <c r="K2246" i="82"/>
  <c r="L2239" i="82"/>
  <c r="K2239" i="82"/>
  <c r="L2226" i="82"/>
  <c r="K2226" i="82"/>
  <c r="L2219" i="82"/>
  <c r="K2219" i="82"/>
  <c r="L2217" i="82"/>
  <c r="K2217" i="82"/>
  <c r="L2216" i="82"/>
  <c r="K2216" i="82"/>
  <c r="L2209" i="82"/>
  <c r="K2209" i="82"/>
  <c r="L2203" i="82"/>
  <c r="K2203" i="82"/>
  <c r="L2196" i="82"/>
  <c r="K2196" i="82"/>
  <c r="L2195" i="82"/>
  <c r="K2195" i="82"/>
  <c r="L2190" i="82"/>
  <c r="K2190" i="82"/>
  <c r="L2185" i="82"/>
  <c r="K2185" i="82"/>
  <c r="L2184" i="82"/>
  <c r="K2184" i="82"/>
  <c r="L2174" i="82"/>
  <c r="K2174" i="82"/>
  <c r="L2173" i="82"/>
  <c r="K2173" i="82"/>
  <c r="L2172" i="82"/>
  <c r="K2172" i="82"/>
  <c r="L2166" i="82"/>
  <c r="K2166" i="82"/>
  <c r="L2165" i="82"/>
  <c r="K2165" i="82"/>
  <c r="L2156" i="82"/>
  <c r="K2156" i="82"/>
  <c r="L2148" i="82"/>
  <c r="K2148" i="82"/>
  <c r="L2146" i="82"/>
  <c r="K2146" i="82"/>
  <c r="L2145" i="82"/>
  <c r="K2145" i="82"/>
  <c r="L2128" i="82"/>
  <c r="K2128" i="82"/>
  <c r="L2120" i="82"/>
  <c r="K2120" i="82"/>
  <c r="L2115" i="82"/>
  <c r="K2115" i="82"/>
  <c r="L2105" i="82"/>
  <c r="K2105" i="82"/>
  <c r="L2104" i="82"/>
  <c r="K2104" i="82"/>
  <c r="L2093" i="82"/>
  <c r="K2093" i="82"/>
  <c r="L2080" i="82"/>
  <c r="K2080" i="82"/>
  <c r="L2069" i="82"/>
  <c r="K2069" i="82"/>
  <c r="L2068" i="82"/>
  <c r="K2068" i="82"/>
  <c r="L2067" i="82"/>
  <c r="K2067" i="82"/>
  <c r="L2060" i="82"/>
  <c r="K2060" i="82"/>
  <c r="L2059" i="82"/>
  <c r="K2059" i="82"/>
  <c r="L2058" i="82"/>
  <c r="K2058" i="82"/>
  <c r="L2057" i="82"/>
  <c r="K2057" i="82"/>
  <c r="L2050" i="82"/>
  <c r="K2050" i="82"/>
  <c r="L2049" i="82"/>
  <c r="K2049" i="82"/>
  <c r="N2386" i="82" s="1"/>
  <c r="L2042" i="82"/>
  <c r="K2042" i="82"/>
  <c r="L2037" i="82"/>
  <c r="K2037" i="82"/>
  <c r="L2031" i="82"/>
  <c r="K2031" i="82"/>
  <c r="L2024" i="82"/>
  <c r="K2024" i="82"/>
  <c r="L2018" i="82"/>
  <c r="K2018" i="82"/>
  <c r="L2017" i="82"/>
  <c r="K2017" i="82"/>
  <c r="L2016" i="82"/>
  <c r="K2016" i="82"/>
  <c r="L2012" i="82"/>
  <c r="K2012" i="82"/>
  <c r="L2003" i="82"/>
  <c r="K2003" i="82"/>
  <c r="L2002" i="82"/>
  <c r="K2002" i="82"/>
  <c r="L1996" i="82"/>
  <c r="K1996" i="82"/>
  <c r="L1989" i="82"/>
  <c r="K1989" i="82"/>
  <c r="L1982" i="82"/>
  <c r="K1982" i="82"/>
  <c r="L1977" i="82"/>
  <c r="K1977" i="82"/>
  <c r="L1972" i="82"/>
  <c r="K1972" i="82"/>
  <c r="L1967" i="82"/>
  <c r="K1967" i="82"/>
  <c r="L1966" i="82"/>
  <c r="K1966" i="82"/>
  <c r="L1956" i="82"/>
  <c r="K1956" i="82"/>
  <c r="L1955" i="82"/>
  <c r="K1955" i="82"/>
  <c r="L1954" i="82"/>
  <c r="K1954" i="82"/>
  <c r="L1951" i="82"/>
  <c r="K1951" i="82"/>
  <c r="L1950" i="82"/>
  <c r="K1950" i="82"/>
  <c r="L1942" i="82"/>
  <c r="K1942" i="82"/>
  <c r="L1938" i="82"/>
  <c r="K1938" i="82"/>
  <c r="L1934" i="82"/>
  <c r="K1934" i="82"/>
  <c r="L1927" i="82"/>
  <c r="K1927" i="82"/>
  <c r="L1926" i="82"/>
  <c r="K1926" i="82"/>
  <c r="L1922" i="82"/>
  <c r="K1922" i="82"/>
  <c r="L1918" i="82"/>
  <c r="K1918" i="82"/>
  <c r="L1909" i="82"/>
  <c r="K1909" i="82"/>
  <c r="L1908" i="82"/>
  <c r="K1908" i="82"/>
  <c r="L1903" i="82"/>
  <c r="K1903" i="82"/>
  <c r="L1902" i="82"/>
  <c r="K1902" i="82"/>
  <c r="L1901" i="82"/>
  <c r="K1901" i="82"/>
  <c r="L1896" i="82"/>
  <c r="K1896" i="82"/>
  <c r="L1895" i="82"/>
  <c r="K1895" i="82"/>
  <c r="L1888" i="82"/>
  <c r="K1888" i="82"/>
  <c r="L1887" i="82"/>
  <c r="K1887" i="82"/>
  <c r="L1866" i="82"/>
  <c r="K1866" i="82"/>
  <c r="L1863" i="82"/>
  <c r="K1863" i="82"/>
  <c r="L1855" i="82"/>
  <c r="K1855" i="82"/>
  <c r="L1854" i="82"/>
  <c r="K1854" i="82"/>
  <c r="L1848" i="82"/>
  <c r="K1848" i="82"/>
  <c r="L1843" i="82"/>
  <c r="K1843" i="82"/>
  <c r="L1835" i="82"/>
  <c r="K1835" i="82"/>
  <c r="L1825" i="82"/>
  <c r="K1825" i="82"/>
  <c r="L1814" i="82"/>
  <c r="K1814" i="82"/>
  <c r="L1813" i="82"/>
  <c r="K1813" i="82"/>
  <c r="L1806" i="82"/>
  <c r="K1806" i="82"/>
  <c r="L1805" i="82"/>
  <c r="K1805" i="82"/>
  <c r="L1804" i="82"/>
  <c r="K1804" i="82"/>
  <c r="L1793" i="82"/>
  <c r="K1793" i="82"/>
  <c r="L1792" i="82"/>
  <c r="K1792" i="82"/>
  <c r="L1786" i="82"/>
  <c r="K1786" i="82"/>
  <c r="L1782" i="82"/>
  <c r="K1782" i="82"/>
  <c r="L1780" i="82"/>
  <c r="K1780" i="82"/>
  <c r="L1772" i="82"/>
  <c r="K1772" i="82"/>
  <c r="L1766" i="82"/>
  <c r="K1766" i="82"/>
  <c r="L1765" i="82"/>
  <c r="K1765" i="82"/>
  <c r="L1764" i="82"/>
  <c r="K1764" i="82"/>
  <c r="L1756" i="82"/>
  <c r="K1756" i="82"/>
  <c r="L1755" i="82"/>
  <c r="K1755" i="82"/>
  <c r="L1753" i="82"/>
  <c r="K1753" i="82"/>
  <c r="L1752" i="82"/>
  <c r="K1752" i="82"/>
  <c r="L1748" i="82"/>
  <c r="K1748" i="82"/>
  <c r="L1747" i="82"/>
  <c r="K1747" i="82"/>
  <c r="L1746" i="82"/>
  <c r="K1746" i="82"/>
  <c r="L1745" i="82"/>
  <c r="K1745" i="82"/>
  <c r="L1744" i="82"/>
  <c r="K1744" i="82"/>
  <c r="L1724" i="82"/>
  <c r="K1724" i="82"/>
  <c r="L1723" i="82"/>
  <c r="K1723" i="82"/>
  <c r="L1722" i="82"/>
  <c r="K1722" i="82"/>
  <c r="L1716" i="82"/>
  <c r="K1716" i="82"/>
  <c r="L1707" i="82"/>
  <c r="K1707" i="82"/>
  <c r="L1706" i="82"/>
  <c r="K1706" i="82"/>
  <c r="N2042" i="82" s="1"/>
  <c r="L1691" i="82"/>
  <c r="K1691" i="82"/>
  <c r="L1690" i="82"/>
  <c r="K1690" i="82"/>
  <c r="L1689" i="82"/>
  <c r="K1689" i="82"/>
  <c r="L1688" i="82"/>
  <c r="K1688" i="82"/>
  <c r="L1685" i="82"/>
  <c r="K1685" i="82"/>
  <c r="L1684" i="82"/>
  <c r="K1684" i="82"/>
  <c r="L1683" i="82"/>
  <c r="K1683" i="82"/>
  <c r="L1678" i="82"/>
  <c r="K1678" i="82"/>
  <c r="L1677" i="82"/>
  <c r="K1677" i="82"/>
  <c r="L1676" i="82"/>
  <c r="K1676" i="82"/>
  <c r="L1675" i="82"/>
  <c r="K1675" i="82"/>
  <c r="L1669" i="82"/>
  <c r="K1669" i="82"/>
  <c r="L1668" i="82"/>
  <c r="K1668" i="82"/>
  <c r="L1667" i="82"/>
  <c r="K1667" i="82"/>
  <c r="L1666" i="82"/>
  <c r="K1666" i="82"/>
  <c r="L1665" i="82"/>
  <c r="K1665" i="82"/>
  <c r="L1658" i="82"/>
  <c r="K1658" i="82"/>
  <c r="L1657" i="82"/>
  <c r="K1657" i="82"/>
  <c r="L1656" i="82"/>
  <c r="K1656" i="82"/>
  <c r="L1655" i="82"/>
  <c r="K1655" i="82"/>
  <c r="L1654" i="82"/>
  <c r="K1654" i="82"/>
  <c r="L1653" i="82"/>
  <c r="K1653" i="82"/>
  <c r="L1652" i="82"/>
  <c r="K1652" i="82"/>
  <c r="L1647" i="82"/>
  <c r="K1647" i="82"/>
  <c r="L1646" i="82"/>
  <c r="K1646" i="82"/>
  <c r="L1641" i="82"/>
  <c r="K1641" i="82"/>
  <c r="L1640" i="82"/>
  <c r="K1640" i="82"/>
  <c r="L1635" i="82"/>
  <c r="K1635" i="82"/>
  <c r="L1634" i="82"/>
  <c r="K1634" i="82"/>
  <c r="L1629" i="82"/>
  <c r="K1629" i="82"/>
  <c r="L1628" i="82"/>
  <c r="K1628" i="82"/>
  <c r="L1627" i="82"/>
  <c r="K1627" i="82"/>
  <c r="L1626" i="82"/>
  <c r="K1626" i="82"/>
  <c r="L1625" i="82"/>
  <c r="K1625" i="82"/>
  <c r="L1617" i="82"/>
  <c r="K1617" i="82"/>
  <c r="L1616" i="82"/>
  <c r="K1616" i="82"/>
  <c r="L1610" i="82"/>
  <c r="K1610" i="82"/>
  <c r="L1609" i="82"/>
  <c r="K1609" i="82"/>
  <c r="L1608" i="82"/>
  <c r="K1608" i="82"/>
  <c r="L1602" i="82"/>
  <c r="K1602" i="82"/>
  <c r="L1601" i="82"/>
  <c r="K1601" i="82"/>
  <c r="L1600" i="82"/>
  <c r="K1600" i="82"/>
  <c r="L1593" i="82"/>
  <c r="K1593" i="82"/>
  <c r="L1592" i="82"/>
  <c r="K1592" i="82"/>
  <c r="L1591" i="82"/>
  <c r="K1591" i="82"/>
  <c r="L1590" i="82"/>
  <c r="K1590" i="82"/>
  <c r="L1586" i="82"/>
  <c r="K1586" i="82"/>
  <c r="L1585" i="82"/>
  <c r="K1585" i="82"/>
  <c r="L1577" i="82"/>
  <c r="K1577" i="82"/>
  <c r="L1576" i="82"/>
  <c r="K1576" i="82"/>
  <c r="L1575" i="82"/>
  <c r="K1575" i="82"/>
  <c r="L1570" i="82"/>
  <c r="K1570" i="82"/>
  <c r="L1569" i="82"/>
  <c r="K1569" i="82"/>
  <c r="L1566" i="82"/>
  <c r="K1566" i="82"/>
  <c r="L1565" i="82"/>
  <c r="K1565" i="82"/>
  <c r="L1560" i="82"/>
  <c r="K1560" i="82"/>
  <c r="L1559" i="82"/>
  <c r="K1559" i="82"/>
  <c r="L1554" i="82"/>
  <c r="K1554" i="82"/>
  <c r="L1553" i="82"/>
  <c r="K1553" i="82"/>
  <c r="L1548" i="82"/>
  <c r="K1548" i="82"/>
  <c r="L1547" i="82"/>
  <c r="K1547" i="82"/>
  <c r="L1540" i="82"/>
  <c r="K1540" i="82"/>
  <c r="L1539" i="82"/>
  <c r="K1539" i="82"/>
  <c r="L1538" i="82"/>
  <c r="K1538" i="82"/>
  <c r="L1533" i="82"/>
  <c r="K1533" i="82"/>
  <c r="L1532" i="82"/>
  <c r="K1532" i="82"/>
  <c r="L1527" i="82"/>
  <c r="K1527" i="82"/>
  <c r="L1526" i="82"/>
  <c r="K1526" i="82"/>
  <c r="L1520" i="82"/>
  <c r="K1520" i="82"/>
  <c r="L1519" i="82"/>
  <c r="K1519" i="82"/>
  <c r="L1518" i="82"/>
  <c r="K1518" i="82"/>
  <c r="L1513" i="82"/>
  <c r="K1513" i="82"/>
  <c r="L1512" i="82"/>
  <c r="K1512" i="82"/>
  <c r="L1511" i="82"/>
  <c r="K1511" i="82"/>
  <c r="L1506" i="82"/>
  <c r="K1506" i="82"/>
  <c r="L1505" i="82"/>
  <c r="K1505" i="82"/>
  <c r="L1504" i="82"/>
  <c r="K1504" i="82"/>
  <c r="L1503" i="82"/>
  <c r="K1503" i="82"/>
  <c r="L1502" i="82"/>
  <c r="K1502" i="82"/>
  <c r="L1501" i="82"/>
  <c r="K1501" i="82"/>
  <c r="L1494" i="82"/>
  <c r="K1494" i="82"/>
  <c r="L1493" i="82"/>
  <c r="K1493" i="82"/>
  <c r="L1492" i="82"/>
  <c r="K1492" i="82"/>
  <c r="L1491" i="82"/>
  <c r="K1491" i="82"/>
  <c r="L1486" i="82"/>
  <c r="K1486" i="82"/>
  <c r="L1485" i="82"/>
  <c r="K1485" i="82"/>
  <c r="L1480" i="82"/>
  <c r="K1480" i="82"/>
  <c r="L1479" i="82"/>
  <c r="K1479" i="82"/>
  <c r="L1478" i="82"/>
  <c r="K1478" i="82"/>
  <c r="L1477" i="82"/>
  <c r="K1477" i="82"/>
  <c r="L1476" i="82"/>
  <c r="K1476" i="82"/>
  <c r="L1475" i="82"/>
  <c r="K1475" i="82"/>
  <c r="L1474" i="82"/>
  <c r="K1474" i="82"/>
  <c r="L1473" i="82"/>
  <c r="K1473" i="82"/>
  <c r="L1468" i="82"/>
  <c r="K1468" i="82"/>
  <c r="L1467" i="82"/>
  <c r="K1467" i="82"/>
  <c r="L1466" i="82"/>
  <c r="K1466" i="82"/>
  <c r="L1465" i="82"/>
  <c r="K1465" i="82"/>
  <c r="L1464" i="82"/>
  <c r="K1464" i="82"/>
  <c r="L1455" i="82"/>
  <c r="K1455" i="82"/>
  <c r="L1454" i="82"/>
  <c r="K1454" i="82"/>
  <c r="L1453" i="82"/>
  <c r="K1453" i="82"/>
  <c r="L1452" i="82"/>
  <c r="K1452" i="82"/>
  <c r="L1451" i="82"/>
  <c r="K1451" i="82"/>
  <c r="L1445" i="82"/>
  <c r="K1445" i="82"/>
  <c r="L1444" i="82"/>
  <c r="K1444" i="82"/>
  <c r="L1443" i="82"/>
  <c r="K1443" i="82"/>
  <c r="L1442" i="82"/>
  <c r="K1442" i="82"/>
  <c r="L1417" i="82"/>
  <c r="K1417" i="82"/>
  <c r="L1416" i="82"/>
  <c r="K1416" i="82"/>
  <c r="L1411" i="82"/>
  <c r="K1411" i="82"/>
  <c r="L1410" i="82"/>
  <c r="K1410" i="82"/>
  <c r="L1409" i="82"/>
  <c r="K1409" i="82"/>
  <c r="L1403" i="82"/>
  <c r="K1403" i="82"/>
  <c r="L1402" i="82"/>
  <c r="K1402" i="82"/>
  <c r="L1401" i="82"/>
  <c r="K1401" i="82"/>
  <c r="L1400" i="82"/>
  <c r="K1400" i="82"/>
  <c r="L1394" i="82"/>
  <c r="K1394" i="82"/>
  <c r="L1393" i="82"/>
  <c r="K1393" i="82"/>
  <c r="L1392" i="82"/>
  <c r="K1392" i="82"/>
  <c r="L1386" i="82"/>
  <c r="K1386" i="82"/>
  <c r="L1385" i="82"/>
  <c r="K1385" i="82"/>
  <c r="L1380" i="82"/>
  <c r="K1380" i="82"/>
  <c r="L1379" i="82"/>
  <c r="K1379" i="82"/>
  <c r="L1378" i="82"/>
  <c r="K1378" i="82"/>
  <c r="L1370" i="82"/>
  <c r="K1370" i="82"/>
  <c r="L1369" i="82"/>
  <c r="K1369" i="82"/>
  <c r="L1354" i="82"/>
  <c r="K1354" i="82"/>
  <c r="L1353" i="82"/>
  <c r="K1353" i="82"/>
  <c r="L1336" i="82"/>
  <c r="K1336" i="82"/>
  <c r="L1335" i="82"/>
  <c r="K1335" i="82"/>
  <c r="L1328" i="82"/>
  <c r="K1328" i="82"/>
  <c r="L1327" i="82"/>
  <c r="K1327" i="82"/>
  <c r="L1325" i="82"/>
  <c r="K1325" i="82"/>
  <c r="L1324" i="82"/>
  <c r="K1324" i="82"/>
  <c r="L1318" i="82"/>
  <c r="K1318" i="82"/>
  <c r="L1317" i="82"/>
  <c r="K1317" i="82"/>
  <c r="L1316" i="82"/>
  <c r="K1316" i="82"/>
  <c r="L1311" i="82"/>
  <c r="K1311" i="82"/>
  <c r="L1310" i="82"/>
  <c r="K1310" i="82"/>
  <c r="L1305" i="82"/>
  <c r="K1305" i="82"/>
  <c r="L1304" i="82"/>
  <c r="K1304" i="82"/>
  <c r="L1301" i="82"/>
  <c r="K1301" i="82"/>
  <c r="L1300" i="82"/>
  <c r="K1300" i="82"/>
  <c r="L1293" i="82"/>
  <c r="K1293" i="82"/>
  <c r="L1292" i="82"/>
  <c r="K1292" i="82"/>
  <c r="L1291" i="82"/>
  <c r="K1291" i="82"/>
  <c r="L1284" i="82"/>
  <c r="K1284" i="82"/>
  <c r="L1276" i="82"/>
  <c r="K1276" i="82"/>
  <c r="L1275" i="82"/>
  <c r="K1275" i="82"/>
  <c r="L1268" i="82"/>
  <c r="K1268" i="82"/>
  <c r="L1267" i="82"/>
  <c r="K1267" i="82"/>
  <c r="L1262" i="82"/>
  <c r="K1262" i="82"/>
  <c r="L1261" i="82"/>
  <c r="K1261" i="82"/>
  <c r="L1253" i="82"/>
  <c r="K1253" i="82"/>
  <c r="L1252" i="82"/>
  <c r="K1252" i="82"/>
  <c r="L1246" i="82"/>
  <c r="K1246" i="82"/>
  <c r="L1245" i="82"/>
  <c r="K1245" i="82"/>
  <c r="L1239" i="82"/>
  <c r="K1239" i="82"/>
  <c r="L1238" i="82"/>
  <c r="K1238" i="82"/>
  <c r="L1232" i="82"/>
  <c r="K1232" i="82"/>
  <c r="L1231" i="82"/>
  <c r="K1231" i="82"/>
  <c r="L1230" i="82"/>
  <c r="K1230" i="82"/>
  <c r="L1229" i="82"/>
  <c r="K1229" i="82"/>
  <c r="L1222" i="82"/>
  <c r="K1222" i="82"/>
  <c r="L1221" i="82"/>
  <c r="K1221" i="82"/>
  <c r="L1216" i="82"/>
  <c r="K1216" i="82"/>
  <c r="L1215" i="82"/>
  <c r="K1215" i="82"/>
  <c r="L1207" i="82"/>
  <c r="K1207" i="82"/>
  <c r="L1206" i="82"/>
  <c r="K1206" i="82"/>
  <c r="L1200" i="82"/>
  <c r="K1200" i="82"/>
  <c r="L1199" i="82"/>
  <c r="K1199" i="82"/>
  <c r="L1192" i="82"/>
  <c r="K1192" i="82"/>
  <c r="L1191" i="82"/>
  <c r="K1191" i="82"/>
  <c r="L1186" i="82"/>
  <c r="K1186" i="82"/>
  <c r="L1185" i="82"/>
  <c r="K1185" i="82"/>
  <c r="L1172" i="82"/>
  <c r="K1172" i="82"/>
  <c r="L1171" i="82"/>
  <c r="K1171" i="82"/>
  <c r="L1165" i="82"/>
  <c r="K1165" i="82"/>
  <c r="L1164" i="82"/>
  <c r="K1164" i="82"/>
  <c r="L1158" i="82"/>
  <c r="K1158" i="82"/>
  <c r="L1157" i="82"/>
  <c r="K1157" i="82"/>
  <c r="L1156" i="82"/>
  <c r="K1156" i="82"/>
  <c r="L1151" i="82"/>
  <c r="K1151" i="82"/>
  <c r="L1150" i="82"/>
  <c r="K1150" i="82"/>
  <c r="L1145" i="82"/>
  <c r="K1145" i="82"/>
  <c r="L1144" i="82"/>
  <c r="K1144" i="82"/>
  <c r="L1143" i="82"/>
  <c r="K1143" i="82"/>
  <c r="L1142" i="82"/>
  <c r="K1142" i="82"/>
  <c r="L1138" i="82"/>
  <c r="K1138" i="82"/>
  <c r="L1137" i="82"/>
  <c r="K1137" i="82"/>
  <c r="L1136" i="82"/>
  <c r="K1136" i="82"/>
  <c r="L1125" i="82"/>
  <c r="K1125" i="82"/>
  <c r="L1124" i="82"/>
  <c r="K1124" i="82"/>
  <c r="L1118" i="82"/>
  <c r="K1118" i="82"/>
  <c r="L1117" i="82"/>
  <c r="K1117" i="82"/>
  <c r="L1111" i="82"/>
  <c r="K1111" i="82"/>
  <c r="L1110" i="82"/>
  <c r="K1110" i="82"/>
  <c r="L1109" i="82"/>
  <c r="K1109" i="82"/>
  <c r="L1107" i="82"/>
  <c r="K1107" i="82"/>
  <c r="L1106" i="82"/>
  <c r="K1106" i="82"/>
  <c r="L1105" i="82"/>
  <c r="K1105" i="82"/>
  <c r="L1099" i="82"/>
  <c r="K1099" i="82"/>
  <c r="L1098" i="82"/>
  <c r="K1098" i="82"/>
  <c r="L1097" i="82"/>
  <c r="K1097" i="82"/>
  <c r="L1090" i="82"/>
  <c r="K1090" i="82"/>
  <c r="L1089" i="82"/>
  <c r="K1089" i="82"/>
  <c r="L1088" i="82"/>
  <c r="K1088" i="82"/>
  <c r="L1081" i="82"/>
  <c r="K1081" i="82"/>
  <c r="L1080" i="82"/>
  <c r="K1080" i="82"/>
  <c r="L1079" i="82"/>
  <c r="K1079" i="82"/>
  <c r="L1078" i="82"/>
  <c r="K1078" i="82"/>
  <c r="L1073" i="82"/>
  <c r="K1073" i="82"/>
  <c r="L1072" i="82"/>
  <c r="K1072" i="82"/>
  <c r="L1066" i="82"/>
  <c r="K1066" i="82"/>
  <c r="L1065" i="82"/>
  <c r="K1065" i="82"/>
  <c r="L1064" i="82"/>
  <c r="K1064" i="82"/>
  <c r="L1063" i="82"/>
  <c r="K1063" i="82"/>
  <c r="L1056" i="82"/>
  <c r="K1056" i="82"/>
  <c r="L1055" i="82"/>
  <c r="K1055" i="82"/>
  <c r="L1054" i="82"/>
  <c r="K1054" i="82"/>
  <c r="L1053" i="82"/>
  <c r="K1053" i="82"/>
  <c r="L1052" i="82"/>
  <c r="K1052" i="82"/>
  <c r="L1049" i="82"/>
  <c r="K1049" i="82"/>
  <c r="L1048" i="82"/>
  <c r="K1048" i="82"/>
  <c r="L1036" i="82"/>
  <c r="K1036" i="82"/>
  <c r="L1035" i="82"/>
  <c r="K1035" i="82"/>
  <c r="L1034" i="82"/>
  <c r="K1034" i="82"/>
  <c r="L1026" i="82"/>
  <c r="K1026" i="82"/>
  <c r="L1025" i="82"/>
  <c r="K1025" i="82"/>
  <c r="L1021" i="82"/>
  <c r="K1021" i="82"/>
  <c r="L1020" i="82"/>
  <c r="K1020" i="82"/>
  <c r="N1691" i="82" s="1"/>
  <c r="L1013" i="82"/>
  <c r="K1013" i="82"/>
  <c r="L1009" i="82"/>
  <c r="K1009" i="82"/>
  <c r="L1003" i="82"/>
  <c r="K1003" i="82"/>
  <c r="L1002" i="82"/>
  <c r="K1002" i="82"/>
  <c r="L997" i="82"/>
  <c r="K997" i="82"/>
  <c r="L996" i="82"/>
  <c r="K996" i="82"/>
  <c r="L995" i="82"/>
  <c r="K995" i="82"/>
  <c r="L994" i="82"/>
  <c r="K994" i="82"/>
  <c r="L987" i="82"/>
  <c r="K987" i="82"/>
  <c r="L983" i="82"/>
  <c r="K983" i="82"/>
  <c r="L978" i="82"/>
  <c r="K978" i="82"/>
  <c r="L971" i="82"/>
  <c r="K971" i="82"/>
  <c r="L967" i="82"/>
  <c r="K967" i="82"/>
  <c r="L966" i="82"/>
  <c r="K966" i="82"/>
  <c r="L961" i="82"/>
  <c r="K961" i="82"/>
  <c r="L954" i="82"/>
  <c r="K954" i="82"/>
  <c r="L949" i="82"/>
  <c r="K949" i="82"/>
  <c r="L948" i="82"/>
  <c r="K948" i="82"/>
  <c r="L944" i="82"/>
  <c r="K944" i="82"/>
  <c r="L937" i="82"/>
  <c r="K937" i="82"/>
  <c r="L930" i="82"/>
  <c r="K930" i="82"/>
  <c r="L929" i="82"/>
  <c r="K929" i="82"/>
  <c r="L920" i="82"/>
  <c r="K920" i="82"/>
  <c r="L912" i="82"/>
  <c r="K912" i="82"/>
  <c r="L911" i="82"/>
  <c r="K911" i="82"/>
  <c r="L903" i="82"/>
  <c r="K903" i="82"/>
  <c r="L902" i="82"/>
  <c r="K902" i="82"/>
  <c r="L899" i="82"/>
  <c r="K899" i="82"/>
  <c r="L898" i="82"/>
  <c r="K898" i="82"/>
  <c r="L896" i="82"/>
  <c r="K896" i="82"/>
  <c r="L895" i="82"/>
  <c r="K895" i="82"/>
  <c r="L892" i="82"/>
  <c r="K892" i="82"/>
  <c r="L887" i="82"/>
  <c r="K887" i="82"/>
  <c r="L885" i="82"/>
  <c r="K885" i="82"/>
  <c r="L883" i="82"/>
  <c r="K883" i="82"/>
  <c r="L881" i="82"/>
  <c r="K881" i="82"/>
  <c r="L879" i="82"/>
  <c r="K879" i="82"/>
  <c r="L878" i="82"/>
  <c r="K878" i="82"/>
  <c r="L875" i="82"/>
  <c r="K875" i="82"/>
  <c r="L873" i="82"/>
  <c r="K873" i="82"/>
  <c r="L872" i="82"/>
  <c r="K872" i="82"/>
  <c r="L869" i="82"/>
  <c r="K869" i="82"/>
  <c r="L862" i="82"/>
  <c r="K862" i="82"/>
  <c r="L855" i="82"/>
  <c r="K855" i="82"/>
  <c r="L853" i="82"/>
  <c r="K853" i="82"/>
  <c r="L848" i="82"/>
  <c r="K848" i="82"/>
  <c r="L847" i="82"/>
  <c r="K847" i="82"/>
  <c r="L846" i="82"/>
  <c r="K846" i="82"/>
  <c r="L838" i="82"/>
  <c r="K838" i="82"/>
  <c r="L831" i="82"/>
  <c r="K831" i="82"/>
  <c r="L824" i="82"/>
  <c r="K824" i="82"/>
  <c r="L818" i="82"/>
  <c r="K818" i="82"/>
  <c r="L813" i="82"/>
  <c r="K813" i="82"/>
  <c r="L807" i="82"/>
  <c r="K807" i="82"/>
  <c r="L797" i="82"/>
  <c r="K797" i="82"/>
  <c r="L796" i="82"/>
  <c r="K796" i="82"/>
  <c r="L791" i="82"/>
  <c r="K791" i="82"/>
  <c r="L785" i="82"/>
  <c r="K785" i="82"/>
  <c r="L780" i="82"/>
  <c r="K780" i="82"/>
  <c r="L773" i="82"/>
  <c r="K773" i="82"/>
  <c r="L767" i="82"/>
  <c r="K767" i="82"/>
  <c r="L761" i="82"/>
  <c r="K761" i="82"/>
  <c r="L760" i="82"/>
  <c r="K760" i="82"/>
  <c r="L755" i="82"/>
  <c r="K755" i="82"/>
  <c r="L749" i="82"/>
  <c r="K749" i="82"/>
  <c r="L744" i="82"/>
  <c r="K744" i="82"/>
  <c r="L743" i="82"/>
  <c r="K743" i="82"/>
  <c r="L742" i="82"/>
  <c r="K742" i="82"/>
  <c r="L735" i="82"/>
  <c r="K735" i="82"/>
  <c r="L728" i="82"/>
  <c r="K728" i="82"/>
  <c r="L727" i="82"/>
  <c r="K727" i="82"/>
  <c r="L726" i="82"/>
  <c r="K726" i="82"/>
  <c r="L725" i="82"/>
  <c r="K725" i="82"/>
  <c r="L724" i="82"/>
  <c r="K724" i="82"/>
  <c r="L718" i="82"/>
  <c r="K718" i="82"/>
  <c r="L709" i="82"/>
  <c r="K709" i="82"/>
  <c r="L694" i="82"/>
  <c r="K694" i="82"/>
  <c r="L679" i="82"/>
  <c r="K679" i="82"/>
  <c r="L671" i="82"/>
  <c r="K671" i="82"/>
  <c r="L664" i="82"/>
  <c r="K664" i="82"/>
  <c r="L657" i="82"/>
  <c r="K657" i="82"/>
  <c r="L645" i="82"/>
  <c r="K645" i="82"/>
  <c r="L641" i="82"/>
  <c r="K641" i="82"/>
  <c r="L636" i="82"/>
  <c r="K636" i="82"/>
  <c r="L630" i="82"/>
  <c r="K630" i="82"/>
  <c r="L629" i="82"/>
  <c r="K629" i="82"/>
  <c r="L628" i="82"/>
  <c r="K628" i="82"/>
  <c r="L622" i="82"/>
  <c r="K622" i="82"/>
  <c r="L615" i="82"/>
  <c r="K615" i="82"/>
  <c r="L609" i="82"/>
  <c r="K609" i="82"/>
  <c r="L608" i="82"/>
  <c r="K608" i="82"/>
  <c r="L601" i="82"/>
  <c r="K601" i="82"/>
  <c r="L595" i="82"/>
  <c r="K595" i="82"/>
  <c r="L594" i="82"/>
  <c r="K594" i="82"/>
  <c r="L593" i="82"/>
  <c r="K593" i="82"/>
  <c r="L587" i="82"/>
  <c r="K587" i="82"/>
  <c r="L579" i="82"/>
  <c r="K579" i="82"/>
  <c r="L578" i="82"/>
  <c r="K578" i="82"/>
  <c r="L571" i="82"/>
  <c r="K571" i="82"/>
  <c r="L570" i="82"/>
  <c r="K570" i="82"/>
  <c r="L565" i="82"/>
  <c r="K565" i="82"/>
  <c r="L564" i="82"/>
  <c r="K564" i="82"/>
  <c r="L563" i="82"/>
  <c r="K563" i="82"/>
  <c r="L558" i="82"/>
  <c r="K558" i="82"/>
  <c r="L557" i="82"/>
  <c r="K557" i="82"/>
  <c r="L550" i="82"/>
  <c r="K550" i="82"/>
  <c r="L544" i="82"/>
  <c r="K544" i="82"/>
  <c r="L543" i="82"/>
  <c r="K543" i="82"/>
  <c r="L536" i="82"/>
  <c r="K536" i="82"/>
  <c r="L530" i="82"/>
  <c r="K530" i="82"/>
  <c r="L524" i="82"/>
  <c r="K524" i="82"/>
  <c r="L509" i="82"/>
  <c r="K509" i="82"/>
  <c r="L501" i="82"/>
  <c r="K501" i="82"/>
  <c r="L492" i="82"/>
  <c r="K492" i="82"/>
  <c r="L480" i="82"/>
  <c r="K480" i="82"/>
  <c r="L479" i="82"/>
  <c r="K479" i="82"/>
  <c r="L472" i="82"/>
  <c r="K472" i="82"/>
  <c r="L466" i="82"/>
  <c r="K466" i="82"/>
  <c r="L465" i="82"/>
  <c r="K465" i="82"/>
  <c r="L459" i="82"/>
  <c r="K459" i="82"/>
  <c r="L453" i="82"/>
  <c r="K453" i="82"/>
  <c r="L444" i="82"/>
  <c r="K444" i="82"/>
  <c r="L437" i="82"/>
  <c r="K437" i="82"/>
  <c r="L432" i="82"/>
  <c r="K432" i="82"/>
  <c r="L423" i="82"/>
  <c r="K423" i="82"/>
  <c r="L417" i="82"/>
  <c r="K417" i="82"/>
  <c r="L415" i="82"/>
  <c r="K415" i="82"/>
  <c r="L414" i="82"/>
  <c r="K414" i="82"/>
  <c r="L406" i="82"/>
  <c r="K406" i="82"/>
  <c r="L399" i="82"/>
  <c r="K399" i="82"/>
  <c r="L393" i="82"/>
  <c r="K393" i="82"/>
  <c r="L392" i="82"/>
  <c r="K392" i="82"/>
  <c r="L382" i="82"/>
  <c r="K382" i="82"/>
  <c r="L381" i="82"/>
  <c r="K381" i="82"/>
  <c r="L379" i="82"/>
  <c r="K379" i="82"/>
  <c r="L372" i="82"/>
  <c r="K372" i="82"/>
  <c r="L369" i="82"/>
  <c r="K369" i="82"/>
  <c r="L362" i="82"/>
  <c r="K362" i="82"/>
  <c r="L356" i="82"/>
  <c r="K356" i="82"/>
  <c r="L350" i="82"/>
  <c r="K350" i="82"/>
  <c r="L345" i="82"/>
  <c r="K345" i="82"/>
  <c r="L340" i="82"/>
  <c r="K340" i="82"/>
  <c r="L339" i="82"/>
  <c r="K339" i="82"/>
  <c r="L332" i="82"/>
  <c r="K332" i="82"/>
  <c r="L326" i="82"/>
  <c r="K326" i="82"/>
  <c r="L325" i="82"/>
  <c r="K325" i="82"/>
  <c r="L320" i="82"/>
  <c r="K320" i="82"/>
  <c r="L315" i="82"/>
  <c r="K315" i="82"/>
  <c r="L314" i="82"/>
  <c r="K314" i="82"/>
  <c r="L309" i="82"/>
  <c r="K309" i="82"/>
  <c r="L304" i="82"/>
  <c r="K304" i="82"/>
  <c r="L303" i="82"/>
  <c r="K303" i="82"/>
  <c r="L297" i="82"/>
  <c r="K297" i="82"/>
  <c r="L293" i="82"/>
  <c r="K293" i="82"/>
  <c r="L291" i="82"/>
  <c r="K291" i="82"/>
  <c r="L280" i="82"/>
  <c r="K280" i="82"/>
  <c r="L269" i="82"/>
  <c r="K269" i="82"/>
  <c r="L262" i="82"/>
  <c r="K262" i="82"/>
  <c r="L261" i="82"/>
  <c r="K261" i="82"/>
  <c r="L256" i="82"/>
  <c r="K256" i="82"/>
  <c r="L246" i="82"/>
  <c r="K246" i="82"/>
  <c r="L245" i="82"/>
  <c r="K245" i="82"/>
  <c r="L244" i="82"/>
  <c r="K244" i="82"/>
  <c r="L243" i="82"/>
  <c r="K243" i="82"/>
  <c r="L242" i="82"/>
  <c r="K242" i="82"/>
  <c r="L236" i="82"/>
  <c r="K236" i="82"/>
  <c r="L235" i="82"/>
  <c r="K235" i="82"/>
  <c r="L226" i="82"/>
  <c r="K226" i="82"/>
  <c r="L225" i="82"/>
  <c r="K225" i="82"/>
  <c r="L224" i="82"/>
  <c r="K224" i="82"/>
  <c r="L223" i="82"/>
  <c r="K223" i="82"/>
  <c r="L222" i="82"/>
  <c r="K222" i="82"/>
  <c r="L221" i="82"/>
  <c r="K221" i="82"/>
  <c r="L213" i="82"/>
  <c r="K213" i="82"/>
  <c r="L212" i="82"/>
  <c r="K212" i="82"/>
  <c r="L208" i="82"/>
  <c r="K208" i="82"/>
  <c r="L204" i="82"/>
  <c r="K204" i="82"/>
  <c r="L197" i="82"/>
  <c r="K197" i="82"/>
  <c r="L192" i="82"/>
  <c r="K192" i="82"/>
  <c r="L191" i="82"/>
  <c r="K191" i="82"/>
  <c r="L186" i="82"/>
  <c r="K186" i="82"/>
  <c r="L185" i="82"/>
  <c r="K185" i="82"/>
  <c r="L184" i="82"/>
  <c r="K184" i="82"/>
  <c r="L179" i="82"/>
  <c r="K179" i="82"/>
  <c r="L175" i="82"/>
  <c r="K175" i="82"/>
  <c r="L174" i="82"/>
  <c r="K174" i="82"/>
  <c r="L167" i="82"/>
  <c r="K167" i="82"/>
  <c r="L161" i="82"/>
  <c r="K161" i="82"/>
  <c r="L160" i="82"/>
  <c r="K160" i="82"/>
  <c r="L159" i="82"/>
  <c r="K159" i="82"/>
  <c r="L155" i="82"/>
  <c r="K155" i="82"/>
  <c r="L154" i="82"/>
  <c r="K154" i="82"/>
  <c r="L147" i="82"/>
  <c r="K147" i="82"/>
  <c r="L135" i="82"/>
  <c r="K135" i="82"/>
  <c r="L129" i="82"/>
  <c r="K129" i="82"/>
  <c r="L121" i="82"/>
  <c r="K121" i="82"/>
  <c r="L114" i="82"/>
  <c r="K114" i="82"/>
  <c r="L113" i="82"/>
  <c r="K113" i="82"/>
  <c r="L106" i="82"/>
  <c r="K106" i="82"/>
  <c r="L94" i="82"/>
  <c r="K94" i="82"/>
  <c r="L93" i="82"/>
  <c r="K93" i="82"/>
  <c r="L84" i="82"/>
  <c r="K84" i="82"/>
  <c r="L83" i="82"/>
  <c r="K83" i="82"/>
  <c r="L76" i="82"/>
  <c r="K76" i="82"/>
  <c r="L70" i="82"/>
  <c r="K70" i="82"/>
  <c r="L63" i="82"/>
  <c r="K63" i="82"/>
  <c r="L62" i="82"/>
  <c r="K62" i="82"/>
  <c r="L61" i="82"/>
  <c r="K61" i="82"/>
  <c r="L55" i="82"/>
  <c r="K55" i="82"/>
  <c r="L54" i="82"/>
  <c r="K54" i="82"/>
  <c r="L53" i="82"/>
  <c r="K53" i="82"/>
  <c r="L46" i="82"/>
  <c r="K46" i="82"/>
  <c r="L45" i="82"/>
  <c r="K45" i="82"/>
  <c r="L44" i="82"/>
  <c r="K44" i="82"/>
  <c r="L32" i="82"/>
  <c r="K32" i="82"/>
  <c r="L24" i="82"/>
  <c r="K24" i="82"/>
  <c r="L23" i="82"/>
  <c r="K23" i="82"/>
  <c r="L12" i="82"/>
  <c r="K12" i="82"/>
  <c r="N1013" i="82" s="1"/>
  <c r="D29" i="81" l="1"/>
  <c r="D29" i="80"/>
  <c r="D29" i="79"/>
  <c r="D29" i="78"/>
  <c r="F113" i="81"/>
  <c r="N99" i="81"/>
  <c r="M99" i="81"/>
  <c r="L99" i="81"/>
  <c r="K99" i="81"/>
  <c r="J99" i="81"/>
  <c r="I99" i="81"/>
  <c r="H99" i="81"/>
  <c r="G99" i="81"/>
  <c r="G108" i="81" s="1"/>
  <c r="F99" i="81"/>
  <c r="E99" i="81"/>
  <c r="E108" i="81" s="1"/>
  <c r="D99" i="81"/>
  <c r="D108" i="81" s="1"/>
  <c r="C99" i="81"/>
  <c r="C108" i="81" s="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E81" i="81"/>
  <c r="B79" i="81" s="1"/>
  <c r="D81" i="81"/>
  <c r="B81" i="81"/>
  <c r="N78" i="81"/>
  <c r="M78" i="81"/>
  <c r="K78" i="81"/>
  <c r="J78" i="81" s="1"/>
  <c r="D78" i="81"/>
  <c r="M77" i="81"/>
  <c r="N77" i="81" s="1"/>
  <c r="K77" i="81"/>
  <c r="J77" i="81"/>
  <c r="D77" i="81"/>
  <c r="B77" i="81"/>
  <c r="N76" i="81"/>
  <c r="M76" i="81"/>
  <c r="K76" i="81"/>
  <c r="J76" i="81" s="1"/>
  <c r="D76" i="81"/>
  <c r="N75" i="81"/>
  <c r="M75" i="81"/>
  <c r="K75" i="81"/>
  <c r="J75" i="81" s="1"/>
  <c r="D75" i="81"/>
  <c r="B75" i="81"/>
  <c r="N74" i="81"/>
  <c r="M74" i="81"/>
  <c r="K74" i="81"/>
  <c r="J74" i="81" s="1"/>
  <c r="D74" i="81"/>
  <c r="B74" i="81"/>
  <c r="N73" i="81"/>
  <c r="M73" i="81"/>
  <c r="K73" i="81"/>
  <c r="J73" i="81" s="1"/>
  <c r="D73" i="81"/>
  <c r="B73" i="81"/>
  <c r="N72" i="81"/>
  <c r="M72" i="81"/>
  <c r="K72" i="81"/>
  <c r="J72" i="81" s="1"/>
  <c r="D72" i="81"/>
  <c r="B72" i="81"/>
  <c r="N71" i="81"/>
  <c r="M71" i="81"/>
  <c r="K71" i="81"/>
  <c r="J71" i="81" s="1"/>
  <c r="D71" i="81"/>
  <c r="B71" i="81"/>
  <c r="N70" i="81"/>
  <c r="M70" i="81"/>
  <c r="K70" i="81"/>
  <c r="J70" i="81" s="1"/>
  <c r="H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N62" i="81"/>
  <c r="M62" i="81"/>
  <c r="K62" i="81"/>
  <c r="J62" i="81" s="1"/>
  <c r="H62" i="81"/>
  <c r="D62" i="81"/>
  <c r="N61" i="81"/>
  <c r="M61" i="81"/>
  <c r="K61" i="81"/>
  <c r="J61" i="81" s="1"/>
  <c r="H61" i="81"/>
  <c r="D61" i="81"/>
  <c r="B61" i="81"/>
  <c r="M60" i="81"/>
  <c r="N60" i="81" s="1"/>
  <c r="K60" i="81"/>
  <c r="J60" i="81"/>
  <c r="D60" i="81"/>
  <c r="B60" i="81"/>
  <c r="N59" i="81"/>
  <c r="M59" i="81"/>
  <c r="K59" i="81"/>
  <c r="J59" i="81" s="1"/>
  <c r="H59" i="81"/>
  <c r="F59" i="81"/>
  <c r="H66" i="81" s="1"/>
  <c r="E59" i="81"/>
  <c r="B57" i="81" s="1"/>
  <c r="D59" i="81"/>
  <c r="B59" i="81"/>
  <c r="N56" i="81"/>
  <c r="M56" i="81"/>
  <c r="K56" i="81"/>
  <c r="J56" i="81" s="1"/>
  <c r="D56" i="81"/>
  <c r="B56" i="81"/>
  <c r="M55" i="81"/>
  <c r="N55" i="81" s="1"/>
  <c r="K55" i="81"/>
  <c r="J55" i="81"/>
  <c r="D55" i="81"/>
  <c r="B55" i="81"/>
  <c r="N54" i="81"/>
  <c r="M54" i="81"/>
  <c r="K54" i="81"/>
  <c r="J54" i="81" s="1"/>
  <c r="B54" i="81"/>
  <c r="M53" i="81"/>
  <c r="N53" i="81" s="1"/>
  <c r="K53" i="81"/>
  <c r="J53" i="81"/>
  <c r="D53" i="81"/>
  <c r="M52" i="81"/>
  <c r="N52" i="81" s="1"/>
  <c r="K52" i="81"/>
  <c r="J52" i="81"/>
  <c r="D52" i="81"/>
  <c r="B52" i="81"/>
  <c r="N51" i="81"/>
  <c r="M51" i="81"/>
  <c r="K51" i="81"/>
  <c r="J51" i="81" s="1"/>
  <c r="N50" i="81"/>
  <c r="M50" i="81"/>
  <c r="K50" i="81"/>
  <c r="J50" i="81" s="1"/>
  <c r="B50" i="81"/>
  <c r="M49" i="81"/>
  <c r="N49" i="81" s="1"/>
  <c r="K49" i="81"/>
  <c r="J49" i="81"/>
  <c r="D49" i="81"/>
  <c r="B49" i="81"/>
  <c r="N48" i="81"/>
  <c r="M48" i="81"/>
  <c r="K48" i="81"/>
  <c r="J48" i="81" s="1"/>
  <c r="D48" i="81"/>
  <c r="B48" i="81"/>
  <c r="H39" i="81"/>
  <c r="H38" i="81"/>
  <c r="H37" i="81"/>
  <c r="H36" i="81"/>
  <c r="H35" i="81"/>
  <c r="H34" i="81"/>
  <c r="H33" i="81"/>
  <c r="J20" i="81"/>
  <c r="I20" i="81"/>
  <c r="M19" i="81"/>
  <c r="I19" i="81"/>
  <c r="G19" i="81"/>
  <c r="P25" i="81" s="1"/>
  <c r="C18" i="81"/>
  <c r="I17" i="81"/>
  <c r="G17" i="81"/>
  <c r="C17" i="81"/>
  <c r="F15" i="81"/>
  <c r="E15" i="81"/>
  <c r="D15" i="81"/>
  <c r="C15" i="81"/>
  <c r="AJ12" i="81"/>
  <c r="AH12" i="81"/>
  <c r="AF12" i="81"/>
  <c r="AD12" i="81"/>
  <c r="AB12" i="81"/>
  <c r="Z12" i="81"/>
  <c r="Y12" i="81"/>
  <c r="Y13" i="81" s="1"/>
  <c r="C12" i="81"/>
  <c r="AI11" i="81"/>
  <c r="AG11" i="81"/>
  <c r="AE11" i="81"/>
  <c r="AC11" i="81"/>
  <c r="AA11" i="81"/>
  <c r="Y11" i="81"/>
  <c r="Y10" i="81"/>
  <c r="C10" i="81"/>
  <c r="C11" i="81" s="1"/>
  <c r="AJ9" i="81"/>
  <c r="AJ10" i="81" s="1"/>
  <c r="AI9" i="81"/>
  <c r="AI12" i="81" s="1"/>
  <c r="AI13" i="81" s="1"/>
  <c r="AH9" i="81"/>
  <c r="AH10" i="81" s="1"/>
  <c r="AG9" i="81"/>
  <c r="AG12" i="81" s="1"/>
  <c r="AG13" i="81" s="1"/>
  <c r="AF9" i="81"/>
  <c r="AF10" i="81" s="1"/>
  <c r="AE9" i="81"/>
  <c r="AE12" i="81" s="1"/>
  <c r="AE13" i="81" s="1"/>
  <c r="AD9" i="81"/>
  <c r="AD10" i="81" s="1"/>
  <c r="AC9" i="81"/>
  <c r="AC12" i="81" s="1"/>
  <c r="AC13" i="81" s="1"/>
  <c r="AB9" i="81"/>
  <c r="AB10" i="81" s="1"/>
  <c r="AA9" i="81"/>
  <c r="AA12" i="81" s="1"/>
  <c r="AA13" i="81" s="1"/>
  <c r="Z9" i="81"/>
  <c r="Z10" i="81" s="1"/>
  <c r="C9" i="81"/>
  <c r="X7" i="81"/>
  <c r="C7" i="81"/>
  <c r="A7" i="81"/>
  <c r="S6" i="81"/>
  <c r="S5" i="81"/>
  <c r="S3" i="81"/>
  <c r="G3" i="81"/>
  <c r="H22" i="81" s="1"/>
  <c r="I2" i="81"/>
  <c r="M3" i="81" s="1"/>
  <c r="G2" i="81"/>
  <c r="H113" i="81" s="1"/>
  <c r="D1" i="81"/>
  <c r="F113" i="80"/>
  <c r="N99" i="80"/>
  <c r="M99" i="80"/>
  <c r="L99" i="80"/>
  <c r="K99" i="80"/>
  <c r="J99" i="80"/>
  <c r="I99" i="80"/>
  <c r="H99" i="80"/>
  <c r="G99" i="80"/>
  <c r="F99" i="80"/>
  <c r="E99" i="80"/>
  <c r="D99" i="80"/>
  <c r="D108" i="80" s="1"/>
  <c r="C99" i="80"/>
  <c r="C108" i="80" s="1"/>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H81" i="80"/>
  <c r="F81" i="80"/>
  <c r="H87" i="80" s="1"/>
  <c r="E81" i="80"/>
  <c r="B79" i="80" s="1"/>
  <c r="D81" i="80"/>
  <c r="B81" i="80"/>
  <c r="N78" i="80"/>
  <c r="M78" i="80"/>
  <c r="K78" i="80"/>
  <c r="J78" i="80" s="1"/>
  <c r="D78" i="80"/>
  <c r="M77" i="80"/>
  <c r="N77" i="80" s="1"/>
  <c r="K77" i="80"/>
  <c r="J77" i="80"/>
  <c r="D77" i="80"/>
  <c r="B77" i="80"/>
  <c r="N76" i="80"/>
  <c r="M76" i="80"/>
  <c r="K76" i="80"/>
  <c r="J76" i="80" s="1"/>
  <c r="D76" i="80"/>
  <c r="N75" i="80"/>
  <c r="M75" i="80"/>
  <c r="K75" i="80"/>
  <c r="J75" i="80" s="1"/>
  <c r="D75" i="80"/>
  <c r="B75" i="80"/>
  <c r="N74" i="80"/>
  <c r="M74" i="80"/>
  <c r="K74" i="80"/>
  <c r="J74" i="80" s="1"/>
  <c r="D74" i="80"/>
  <c r="B74" i="80"/>
  <c r="N73" i="80"/>
  <c r="M73" i="80"/>
  <c r="K73" i="80"/>
  <c r="J73" i="80" s="1"/>
  <c r="D73" i="80"/>
  <c r="B73" i="80"/>
  <c r="N72" i="80"/>
  <c r="M72" i="80"/>
  <c r="K72" i="80"/>
  <c r="J72" i="80" s="1"/>
  <c r="D72" i="80"/>
  <c r="B72" i="80"/>
  <c r="N71" i="80"/>
  <c r="M71" i="80"/>
  <c r="K71" i="80"/>
  <c r="J71" i="80" s="1"/>
  <c r="D71" i="80"/>
  <c r="B71" i="80"/>
  <c r="N70" i="80"/>
  <c r="M70" i="80"/>
  <c r="K70" i="80"/>
  <c r="J70" i="80" s="1"/>
  <c r="H70" i="80"/>
  <c r="F70" i="80"/>
  <c r="H76" i="80" s="1"/>
  <c r="D70" i="80"/>
  <c r="E70" i="80" s="1"/>
  <c r="B68" i="80" s="1"/>
  <c r="B70" i="80"/>
  <c r="M67" i="80"/>
  <c r="N67" i="80" s="1"/>
  <c r="K67" i="80"/>
  <c r="J67" i="80"/>
  <c r="D67" i="80"/>
  <c r="B67" i="80"/>
  <c r="N66" i="80"/>
  <c r="M66" i="80"/>
  <c r="K66" i="80"/>
  <c r="J66" i="80" s="1"/>
  <c r="D66" i="80"/>
  <c r="B66" i="80"/>
  <c r="M65" i="80"/>
  <c r="N65" i="80" s="1"/>
  <c r="K65" i="80"/>
  <c r="J65" i="80"/>
  <c r="D65" i="80"/>
  <c r="B65" i="80"/>
  <c r="N64" i="80"/>
  <c r="M64" i="80"/>
  <c r="K64" i="80"/>
  <c r="J64" i="80" s="1"/>
  <c r="D64" i="80"/>
  <c r="N63" i="80"/>
  <c r="M63" i="80"/>
  <c r="K63" i="80"/>
  <c r="J63" i="80" s="1"/>
  <c r="D63" i="80"/>
  <c r="B63" i="80"/>
  <c r="N62" i="80"/>
  <c r="M62" i="80"/>
  <c r="K62" i="80"/>
  <c r="J62" i="80" s="1"/>
  <c r="D62" i="80"/>
  <c r="M61" i="80"/>
  <c r="N61" i="80" s="1"/>
  <c r="K61" i="80"/>
  <c r="J61" i="80"/>
  <c r="D61" i="80"/>
  <c r="B61" i="80"/>
  <c r="N60" i="80"/>
  <c r="M60" i="80"/>
  <c r="K60" i="80"/>
  <c r="J60" i="80" s="1"/>
  <c r="D60" i="80"/>
  <c r="B60" i="80"/>
  <c r="M59" i="80"/>
  <c r="N59" i="80" s="1"/>
  <c r="K59" i="80"/>
  <c r="J59" i="80"/>
  <c r="F59" i="80"/>
  <c r="H66" i="80" s="1"/>
  <c r="D59" i="80"/>
  <c r="E59" i="80" s="1"/>
  <c r="B57" i="80" s="1"/>
  <c r="B59" i="80"/>
  <c r="M56" i="80"/>
  <c r="N56" i="80" s="1"/>
  <c r="K56" i="80"/>
  <c r="J56" i="80"/>
  <c r="D56" i="80"/>
  <c r="B56" i="80"/>
  <c r="N55" i="80"/>
  <c r="M55" i="80"/>
  <c r="K55" i="80"/>
  <c r="J55" i="80" s="1"/>
  <c r="B55" i="80"/>
  <c r="M54" i="80"/>
  <c r="N54" i="80" s="1"/>
  <c r="K54" i="80"/>
  <c r="J54" i="80"/>
  <c r="D54" i="80"/>
  <c r="B54" i="80"/>
  <c r="N53" i="80"/>
  <c r="M53" i="80"/>
  <c r="K53" i="80"/>
  <c r="N52" i="80"/>
  <c r="M52" i="80"/>
  <c r="K52" i="80"/>
  <c r="B52" i="80"/>
  <c r="M51" i="80"/>
  <c r="N51" i="80" s="1"/>
  <c r="K51" i="80"/>
  <c r="J51" i="80"/>
  <c r="D51" i="80"/>
  <c r="M50" i="80"/>
  <c r="N50" i="80" s="1"/>
  <c r="K50" i="80"/>
  <c r="J50" i="80"/>
  <c r="D50" i="80"/>
  <c r="B50" i="80"/>
  <c r="N49" i="80"/>
  <c r="M49" i="80"/>
  <c r="K49" i="80"/>
  <c r="B49" i="80"/>
  <c r="M48" i="80"/>
  <c r="N48" i="80" s="1"/>
  <c r="K48" i="80"/>
  <c r="J48" i="80"/>
  <c r="D48" i="80"/>
  <c r="B48" i="80"/>
  <c r="H39" i="80"/>
  <c r="H38" i="80"/>
  <c r="H37" i="80"/>
  <c r="H36" i="80"/>
  <c r="H35" i="80"/>
  <c r="H34" i="80"/>
  <c r="H33" i="80"/>
  <c r="J20" i="80"/>
  <c r="I20" i="80"/>
  <c r="O19" i="80"/>
  <c r="M19" i="80"/>
  <c r="I19" i="80"/>
  <c r="G19" i="80"/>
  <c r="P21" i="80" s="1"/>
  <c r="C18" i="80"/>
  <c r="F15" i="80"/>
  <c r="E15" i="80"/>
  <c r="D15" i="80"/>
  <c r="C15" i="80"/>
  <c r="C12" i="80" s="1"/>
  <c r="Y12" i="80"/>
  <c r="Y10" i="80"/>
  <c r="C10" i="80"/>
  <c r="C11"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C9" i="80"/>
  <c r="C7" i="80"/>
  <c r="A7" i="80"/>
  <c r="G3" i="80"/>
  <c r="M2" i="80"/>
  <c r="I2" i="80"/>
  <c r="N12" i="80" s="1"/>
  <c r="G2" i="80"/>
  <c r="H113" i="80" s="1"/>
  <c r="N1" i="80"/>
  <c r="M1" i="80"/>
  <c r="D1" i="80"/>
  <c r="F113" i="79"/>
  <c r="N99" i="79"/>
  <c r="N108" i="79" s="1"/>
  <c r="M99" i="79"/>
  <c r="M100" i="79" s="1"/>
  <c r="L99" i="79"/>
  <c r="L108" i="79" s="1"/>
  <c r="K99" i="79"/>
  <c r="K108" i="79" s="1"/>
  <c r="J99" i="79"/>
  <c r="J108" i="79" s="1"/>
  <c r="I99" i="79"/>
  <c r="I108" i="79" s="1"/>
  <c r="H99" i="79"/>
  <c r="H108" i="79" s="1"/>
  <c r="G99" i="79"/>
  <c r="G108" i="79" s="1"/>
  <c r="F99" i="79"/>
  <c r="F108" i="79" s="1"/>
  <c r="E99" i="79"/>
  <c r="E100" i="79" s="1"/>
  <c r="D99" i="79"/>
  <c r="D108" i="79" s="1"/>
  <c r="C99" i="79"/>
  <c r="C108" i="79" s="1"/>
  <c r="M88" i="79"/>
  <c r="N88" i="79" s="1"/>
  <c r="K88" i="79"/>
  <c r="J88" i="79"/>
  <c r="D88" i="79"/>
  <c r="B88" i="79"/>
  <c r="N87" i="79"/>
  <c r="M87" i="79"/>
  <c r="K87" i="79"/>
  <c r="J87" i="79" s="1"/>
  <c r="D87" i="79"/>
  <c r="M86" i="79"/>
  <c r="N86" i="79" s="1"/>
  <c r="K86" i="79"/>
  <c r="J86" i="79"/>
  <c r="D86" i="79"/>
  <c r="B86" i="79"/>
  <c r="N85" i="79"/>
  <c r="M85" i="79"/>
  <c r="K85" i="79"/>
  <c r="J85" i="79" s="1"/>
  <c r="H85" i="79"/>
  <c r="D85" i="79"/>
  <c r="B85" i="79"/>
  <c r="M84" i="79"/>
  <c r="N84" i="79" s="1"/>
  <c r="K84" i="79"/>
  <c r="J84" i="79"/>
  <c r="D84" i="79"/>
  <c r="B84" i="79"/>
  <c r="N83" i="79"/>
  <c r="M83" i="79"/>
  <c r="K83" i="79"/>
  <c r="J83" i="79" s="1"/>
  <c r="H83" i="79"/>
  <c r="D83" i="79"/>
  <c r="B83" i="79"/>
  <c r="M82" i="79"/>
  <c r="N82" i="79" s="1"/>
  <c r="K82" i="79"/>
  <c r="J82" i="79"/>
  <c r="D82" i="79"/>
  <c r="B82" i="79"/>
  <c r="N81" i="79"/>
  <c r="M81" i="79"/>
  <c r="K81" i="79"/>
  <c r="J81" i="79" s="1"/>
  <c r="H81" i="79"/>
  <c r="F81" i="79"/>
  <c r="H88" i="79" s="1"/>
  <c r="E81" i="79"/>
  <c r="B79" i="79" s="1"/>
  <c r="D81" i="79"/>
  <c r="B81" i="79"/>
  <c r="N78" i="79"/>
  <c r="M78" i="79"/>
  <c r="K78" i="79"/>
  <c r="J78" i="79" s="1"/>
  <c r="D78" i="79"/>
  <c r="N77" i="79"/>
  <c r="M77" i="79"/>
  <c r="K77" i="79"/>
  <c r="J77" i="79" s="1"/>
  <c r="D77" i="79"/>
  <c r="B77" i="79"/>
  <c r="N76" i="79"/>
  <c r="M76" i="79"/>
  <c r="K76" i="79"/>
  <c r="J76" i="79" s="1"/>
  <c r="D76" i="79"/>
  <c r="M75" i="79"/>
  <c r="N75" i="79" s="1"/>
  <c r="K75" i="79"/>
  <c r="J75" i="79"/>
  <c r="D75" i="79"/>
  <c r="B75" i="79"/>
  <c r="N74" i="79"/>
  <c r="M74" i="79"/>
  <c r="K74" i="79"/>
  <c r="J74" i="79" s="1"/>
  <c r="D74" i="79"/>
  <c r="B74" i="79"/>
  <c r="M73" i="79"/>
  <c r="N73" i="79" s="1"/>
  <c r="K73" i="79"/>
  <c r="J73" i="79"/>
  <c r="D73" i="79"/>
  <c r="B73" i="79"/>
  <c r="N72" i="79"/>
  <c r="M72" i="79"/>
  <c r="K72" i="79"/>
  <c r="J72" i="79" s="1"/>
  <c r="H72" i="79"/>
  <c r="D72" i="79"/>
  <c r="B72" i="79"/>
  <c r="M71" i="79"/>
  <c r="N71" i="79" s="1"/>
  <c r="K71" i="79"/>
  <c r="J71" i="79"/>
  <c r="D71" i="79"/>
  <c r="B71" i="79"/>
  <c r="N70" i="79"/>
  <c r="M70" i="79"/>
  <c r="K70" i="79"/>
  <c r="J70" i="79" s="1"/>
  <c r="H70" i="79"/>
  <c r="F70" i="79"/>
  <c r="H76" i="79" s="1"/>
  <c r="E70" i="79"/>
  <c r="B68" i="79" s="1"/>
  <c r="D70" i="79"/>
  <c r="B70" i="79"/>
  <c r="N67" i="79"/>
  <c r="M67" i="79"/>
  <c r="K67" i="79"/>
  <c r="J67" i="79" s="1"/>
  <c r="D67" i="79"/>
  <c r="B67" i="79"/>
  <c r="M66" i="79"/>
  <c r="N66" i="79" s="1"/>
  <c r="K66" i="79"/>
  <c r="J66" i="79"/>
  <c r="D66" i="79"/>
  <c r="B66" i="79"/>
  <c r="N65" i="79"/>
  <c r="M65" i="79"/>
  <c r="K65" i="79"/>
  <c r="J65" i="79" s="1"/>
  <c r="D65" i="79"/>
  <c r="B65" i="79"/>
  <c r="M64" i="79"/>
  <c r="N64" i="79" s="1"/>
  <c r="K64" i="79"/>
  <c r="J64" i="79"/>
  <c r="D64" i="79"/>
  <c r="M63" i="79"/>
  <c r="N63" i="79" s="1"/>
  <c r="K63" i="79"/>
  <c r="J63" i="79"/>
  <c r="D63" i="79"/>
  <c r="B63" i="79"/>
  <c r="N62" i="79"/>
  <c r="M62" i="79"/>
  <c r="K62" i="79"/>
  <c r="J62" i="79" s="1"/>
  <c r="D62" i="79"/>
  <c r="N61" i="79"/>
  <c r="M61" i="79"/>
  <c r="K61" i="79"/>
  <c r="J61" i="79" s="1"/>
  <c r="D61" i="79"/>
  <c r="B61" i="79"/>
  <c r="N60" i="79"/>
  <c r="M60" i="79"/>
  <c r="K60" i="79"/>
  <c r="J60" i="79" s="1"/>
  <c r="D60" i="79"/>
  <c r="B60" i="79"/>
  <c r="N59" i="79"/>
  <c r="M59" i="79"/>
  <c r="K59" i="79"/>
  <c r="J59" i="79" s="1"/>
  <c r="H59" i="79"/>
  <c r="F59" i="79"/>
  <c r="H66" i="79" s="1"/>
  <c r="E59" i="79"/>
  <c r="B57" i="79" s="1"/>
  <c r="D59" i="79"/>
  <c r="B59" i="79"/>
  <c r="N56" i="79"/>
  <c r="M56" i="79"/>
  <c r="K56" i="79"/>
  <c r="J56" i="79" s="1"/>
  <c r="D56" i="79"/>
  <c r="B56" i="79"/>
  <c r="N55" i="79"/>
  <c r="M55" i="79"/>
  <c r="K55" i="79"/>
  <c r="J55" i="79" s="1"/>
  <c r="D55" i="79"/>
  <c r="B55" i="79"/>
  <c r="N54" i="79"/>
  <c r="M54" i="79"/>
  <c r="K54" i="79"/>
  <c r="J54" i="79" s="1"/>
  <c r="D54" i="79"/>
  <c r="B54" i="79"/>
  <c r="N53" i="79"/>
  <c r="M53" i="79"/>
  <c r="K53" i="79"/>
  <c r="J53" i="79" s="1"/>
  <c r="D53" i="79"/>
  <c r="M52" i="79"/>
  <c r="N52" i="79" s="1"/>
  <c r="K52" i="79"/>
  <c r="J52" i="79"/>
  <c r="D52" i="79"/>
  <c r="B52" i="79"/>
  <c r="N51" i="79"/>
  <c r="M51" i="79"/>
  <c r="K51" i="79"/>
  <c r="J51" i="79" s="1"/>
  <c r="N50" i="79"/>
  <c r="M50" i="79"/>
  <c r="K50" i="79"/>
  <c r="J50" i="79" s="1"/>
  <c r="D50" i="79"/>
  <c r="B50" i="79"/>
  <c r="N49" i="79"/>
  <c r="M49" i="79"/>
  <c r="K49" i="79"/>
  <c r="J49" i="79" s="1"/>
  <c r="D49" i="79"/>
  <c r="B49" i="79"/>
  <c r="N48" i="79"/>
  <c r="M48" i="79"/>
  <c r="K48" i="79"/>
  <c r="J48" i="79" s="1"/>
  <c r="D48" i="79"/>
  <c r="B48" i="79"/>
  <c r="H39" i="79"/>
  <c r="H38" i="79"/>
  <c r="H37" i="79"/>
  <c r="H36" i="79"/>
  <c r="H35" i="79"/>
  <c r="H34" i="79"/>
  <c r="H33" i="79"/>
  <c r="J20" i="79"/>
  <c r="I20" i="79"/>
  <c r="O19" i="79"/>
  <c r="M19" i="79"/>
  <c r="I19" i="79"/>
  <c r="G19" i="79"/>
  <c r="P25" i="79" s="1"/>
  <c r="C18" i="79"/>
  <c r="F15" i="79"/>
  <c r="E15" i="79"/>
  <c r="D15" i="79"/>
  <c r="C15"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C7" i="79"/>
  <c r="A7" i="79"/>
  <c r="G3" i="79"/>
  <c r="B113" i="79" s="1"/>
  <c r="M2" i="79"/>
  <c r="I2" i="79"/>
  <c r="M12" i="79" s="1"/>
  <c r="G2" i="79"/>
  <c r="H113" i="79" s="1"/>
  <c r="N1" i="79"/>
  <c r="M1" i="79"/>
  <c r="D1" i="79"/>
  <c r="F113" i="78"/>
  <c r="N99" i="78"/>
  <c r="M99" i="78"/>
  <c r="L99" i="78"/>
  <c r="K99" i="78"/>
  <c r="J99" i="78"/>
  <c r="I99" i="78"/>
  <c r="H99" i="78"/>
  <c r="G99" i="78"/>
  <c r="F99" i="78"/>
  <c r="E99" i="78"/>
  <c r="E108" i="78" s="1"/>
  <c r="D99" i="78"/>
  <c r="D108" i="78" s="1"/>
  <c r="C99" i="78"/>
  <c r="C108" i="78" s="1"/>
  <c r="N88" i="78"/>
  <c r="M88" i="78"/>
  <c r="K88" i="78"/>
  <c r="J88" i="78" s="1"/>
  <c r="D88" i="78"/>
  <c r="B88" i="78"/>
  <c r="N87" i="78"/>
  <c r="M87" i="78"/>
  <c r="K87" i="78"/>
  <c r="J87" i="78" s="1"/>
  <c r="D87" i="78"/>
  <c r="N86" i="78"/>
  <c r="M86" i="78"/>
  <c r="K86" i="78"/>
  <c r="J86" i="78" s="1"/>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H81" i="78"/>
  <c r="F81" i="78"/>
  <c r="H88"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H70" i="78"/>
  <c r="F70" i="78"/>
  <c r="H78"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N62" i="78"/>
  <c r="M62" i="78"/>
  <c r="K62" i="78"/>
  <c r="J62" i="78" s="1"/>
  <c r="D62" i="78"/>
  <c r="M61" i="78"/>
  <c r="N61" i="78" s="1"/>
  <c r="K61" i="78"/>
  <c r="J61" i="78"/>
  <c r="D61" i="78"/>
  <c r="B61" i="78"/>
  <c r="N60" i="78"/>
  <c r="M60" i="78"/>
  <c r="K60" i="78"/>
  <c r="J60" i="78" s="1"/>
  <c r="D60" i="78"/>
  <c r="B60" i="78"/>
  <c r="M59" i="78"/>
  <c r="N59" i="78" s="1"/>
  <c r="K59" i="78"/>
  <c r="J59" i="78"/>
  <c r="F59" i="78"/>
  <c r="H67" i="78" s="1"/>
  <c r="D59" i="78"/>
  <c r="E59" i="78" s="1"/>
  <c r="B57" i="78" s="1"/>
  <c r="B59" i="78"/>
  <c r="M56" i="78"/>
  <c r="N56" i="78" s="1"/>
  <c r="K56" i="78"/>
  <c r="J56" i="78"/>
  <c r="D56" i="78"/>
  <c r="B56" i="78"/>
  <c r="N55" i="78"/>
  <c r="M55" i="78"/>
  <c r="K55" i="78"/>
  <c r="J55" i="78" s="1"/>
  <c r="B55" i="78"/>
  <c r="M54" i="78"/>
  <c r="N54" i="78" s="1"/>
  <c r="K54" i="78"/>
  <c r="J54" i="78"/>
  <c r="D54" i="78"/>
  <c r="B54" i="78"/>
  <c r="N53" i="78"/>
  <c r="M53" i="78"/>
  <c r="K53" i="78"/>
  <c r="J53" i="78" s="1"/>
  <c r="N52" i="78"/>
  <c r="M52" i="78"/>
  <c r="K52" i="78"/>
  <c r="J52" i="78" s="1"/>
  <c r="B52" i="78"/>
  <c r="M51" i="78"/>
  <c r="N51" i="78" s="1"/>
  <c r="K51" i="78"/>
  <c r="J51" i="78"/>
  <c r="D51" i="78"/>
  <c r="M50" i="78"/>
  <c r="N50" i="78" s="1"/>
  <c r="K50" i="78"/>
  <c r="J50" i="78"/>
  <c r="D50" i="78"/>
  <c r="B50" i="78"/>
  <c r="N49" i="78"/>
  <c r="M49" i="78"/>
  <c r="K49" i="78"/>
  <c r="J49" i="78" s="1"/>
  <c r="B49" i="78"/>
  <c r="M48" i="78"/>
  <c r="N48" i="78" s="1"/>
  <c r="K48" i="78"/>
  <c r="J48" i="78"/>
  <c r="D48" i="78"/>
  <c r="B48" i="78"/>
  <c r="H39" i="78"/>
  <c r="H38" i="78"/>
  <c r="H37" i="78"/>
  <c r="H36" i="78"/>
  <c r="H35" i="78"/>
  <c r="H34" i="78"/>
  <c r="H33" i="78"/>
  <c r="P25" i="78"/>
  <c r="P21" i="78"/>
  <c r="M20" i="78"/>
  <c r="J20" i="78"/>
  <c r="I20" i="78"/>
  <c r="O19" i="78"/>
  <c r="M19" i="78"/>
  <c r="I19" i="78"/>
  <c r="G19" i="78"/>
  <c r="P24" i="78" s="1"/>
  <c r="C19" i="78"/>
  <c r="C18" i="78"/>
  <c r="F15" i="78"/>
  <c r="E15" i="78"/>
  <c r="D15" i="78"/>
  <c r="C15" i="78"/>
  <c r="C12" i="78" s="1"/>
  <c r="AI12" i="78"/>
  <c r="AG12" i="78"/>
  <c r="AE12" i="78"/>
  <c r="AC12" i="78"/>
  <c r="AA12" i="78"/>
  <c r="Y12" i="78"/>
  <c r="M12" i="78"/>
  <c r="N11" i="78"/>
  <c r="E11" i="78"/>
  <c r="Y10" i="78"/>
  <c r="N10" i="78"/>
  <c r="E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M9" i="78"/>
  <c r="C9" i="78"/>
  <c r="M8" i="78"/>
  <c r="M7" i="78"/>
  <c r="C7" i="78"/>
  <c r="A7" i="78"/>
  <c r="N6" i="78"/>
  <c r="N5" i="78"/>
  <c r="M4" i="78"/>
  <c r="N3" i="78"/>
  <c r="G3" i="78"/>
  <c r="AF11" i="78" s="1"/>
  <c r="S2" i="78"/>
  <c r="M2" i="78"/>
  <c r="I2" i="78"/>
  <c r="N12" i="78" s="1"/>
  <c r="G2" i="78"/>
  <c r="N1" i="78"/>
  <c r="M1" i="78"/>
  <c r="D1" i="78"/>
  <c r="D29" i="43"/>
  <c r="B35" i="1"/>
  <c r="B29" i="1"/>
  <c r="G19" i="6"/>
  <c r="E14" i="77"/>
  <c r="N6" i="1" s="1"/>
  <c r="Y6" i="1" s="1"/>
  <c r="C14" i="77"/>
  <c r="F19" i="6"/>
  <c r="K13" i="3"/>
  <c r="I13" i="3"/>
  <c r="C11" i="4"/>
  <c r="B7" i="4"/>
  <c r="D3" i="4"/>
  <c r="I100" i="79" l="1"/>
  <c r="E108" i="79"/>
  <c r="M108" i="79"/>
  <c r="M1" i="81"/>
  <c r="N2" i="81"/>
  <c r="M12" i="81"/>
  <c r="N11" i="81"/>
  <c r="N10" i="81"/>
  <c r="M9" i="81"/>
  <c r="M8" i="81"/>
  <c r="M7" i="81"/>
  <c r="N6" i="81"/>
  <c r="N5" i="81"/>
  <c r="M4" i="81"/>
  <c r="N3" i="81"/>
  <c r="M2" i="81"/>
  <c r="N1" i="81"/>
  <c r="N12" i="81"/>
  <c r="N9" i="81"/>
  <c r="N8" i="81"/>
  <c r="N7" i="81"/>
  <c r="M5" i="81"/>
  <c r="N4" i="81"/>
  <c r="M11" i="81"/>
  <c r="M10" i="81"/>
  <c r="M6" i="81"/>
  <c r="E11" i="81"/>
  <c r="E10" i="81"/>
  <c r="E9" i="81"/>
  <c r="E8" i="81"/>
  <c r="G39" i="81" s="1"/>
  <c r="I39" i="81" s="1"/>
  <c r="F22" i="81"/>
  <c r="P22" i="81"/>
  <c r="P23" i="81"/>
  <c r="P24" i="81"/>
  <c r="H65" i="81"/>
  <c r="H67" i="81"/>
  <c r="H72" i="81"/>
  <c r="H74" i="81"/>
  <c r="H77" i="81"/>
  <c r="H78" i="81"/>
  <c r="H83" i="81"/>
  <c r="H85" i="81"/>
  <c r="H88" i="81"/>
  <c r="F108" i="81"/>
  <c r="F109" i="81" s="1"/>
  <c r="F100" i="81"/>
  <c r="H108" i="81"/>
  <c r="H100" i="81"/>
  <c r="J108" i="81"/>
  <c r="J109" i="81" s="1"/>
  <c r="J100" i="81"/>
  <c r="L108" i="81"/>
  <c r="L100" i="81"/>
  <c r="N108" i="81"/>
  <c r="N109" i="81" s="1"/>
  <c r="N100" i="81"/>
  <c r="D100" i="81"/>
  <c r="G100" i="81"/>
  <c r="AA10" i="81"/>
  <c r="AC10" i="81"/>
  <c r="AE10" i="81"/>
  <c r="AG10" i="81"/>
  <c r="AI10" i="81"/>
  <c r="S2" i="81"/>
  <c r="N101" i="81"/>
  <c r="L101" i="81"/>
  <c r="J101" i="81"/>
  <c r="H101" i="81"/>
  <c r="F101" i="81"/>
  <c r="D101" i="81"/>
  <c r="D109" i="81" s="1"/>
  <c r="B113" i="81"/>
  <c r="M101" i="81"/>
  <c r="K101" i="81"/>
  <c r="I101" i="81"/>
  <c r="G101" i="81"/>
  <c r="E101" i="81"/>
  <c r="C101" i="81"/>
  <c r="S4" i="81"/>
  <c r="C6" i="81"/>
  <c r="S7" i="81"/>
  <c r="Z7" i="81"/>
  <c r="Z11" i="81"/>
  <c r="Z13" i="81" s="1"/>
  <c r="AB11" i="81"/>
  <c r="AB13" i="81" s="1"/>
  <c r="AD11" i="81"/>
  <c r="AD13" i="81" s="1"/>
  <c r="AF11" i="81"/>
  <c r="AF13" i="81" s="1"/>
  <c r="AH11" i="81"/>
  <c r="AH13" i="81" s="1"/>
  <c r="AJ11" i="81"/>
  <c r="AJ13" i="81" s="1"/>
  <c r="E17" i="81"/>
  <c r="H17" i="81"/>
  <c r="C16" i="81" s="1"/>
  <c r="J17" i="81"/>
  <c r="O19" i="81"/>
  <c r="M20" i="81"/>
  <c r="C19" i="81" s="1"/>
  <c r="P21" i="81"/>
  <c r="E22" i="81"/>
  <c r="D22" i="81" s="1"/>
  <c r="G22" i="81"/>
  <c r="J22" i="81"/>
  <c r="C23" i="81"/>
  <c r="C21" i="81" s="1"/>
  <c r="F33" i="81"/>
  <c r="F34" i="81"/>
  <c r="F35" i="81"/>
  <c r="F36" i="81"/>
  <c r="F37" i="81"/>
  <c r="F38" i="81"/>
  <c r="F39" i="81"/>
  <c r="F48" i="81"/>
  <c r="D50" i="81"/>
  <c r="D51" i="81"/>
  <c r="D54" i="81"/>
  <c r="H60" i="81"/>
  <c r="H63" i="81"/>
  <c r="H64" i="81"/>
  <c r="H71" i="81"/>
  <c r="H73" i="81"/>
  <c r="H75" i="81"/>
  <c r="H82" i="81"/>
  <c r="H84" i="81"/>
  <c r="H86" i="81"/>
  <c r="C109" i="81"/>
  <c r="E109" i="81"/>
  <c r="G109" i="81"/>
  <c r="I108" i="81"/>
  <c r="I109" i="81" s="1"/>
  <c r="I100" i="81"/>
  <c r="K108" i="81"/>
  <c r="K109" i="81" s="1"/>
  <c r="K100" i="81"/>
  <c r="M108" i="81"/>
  <c r="M109" i="81" s="1"/>
  <c r="M100" i="81"/>
  <c r="C100" i="81"/>
  <c r="E100" i="81"/>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D115" i="79"/>
  <c r="E115" i="79" s="1"/>
  <c r="F115" i="79" s="1"/>
  <c r="G115" i="79" s="1"/>
  <c r="H115" i="79" s="1"/>
  <c r="B116" i="79"/>
  <c r="C116" i="79" s="1"/>
  <c r="B115" i="79"/>
  <c r="C115" i="79" s="1"/>
  <c r="E11" i="79"/>
  <c r="E10" i="79"/>
  <c r="E9" i="79"/>
  <c r="E8" i="79"/>
  <c r="G39" i="79" s="1"/>
  <c r="I39" i="79" s="1"/>
  <c r="N2" i="79"/>
  <c r="M3" i="79"/>
  <c r="S3" i="79"/>
  <c r="N4" i="79"/>
  <c r="M5" i="79"/>
  <c r="S5" i="79"/>
  <c r="M6" i="79"/>
  <c r="S6" i="79"/>
  <c r="N7" i="79"/>
  <c r="X7" i="79"/>
  <c r="N8" i="79"/>
  <c r="N9" i="79"/>
  <c r="M10" i="79"/>
  <c r="AA10" i="79"/>
  <c r="AC10" i="79"/>
  <c r="AE10" i="79"/>
  <c r="AG10" i="79"/>
  <c r="AI10" i="79"/>
  <c r="M11" i="79"/>
  <c r="Y11" i="79"/>
  <c r="Y13" i="79" s="1"/>
  <c r="AA11" i="79"/>
  <c r="AA13" i="79" s="1"/>
  <c r="AC11" i="79"/>
  <c r="AC13" i="79" s="1"/>
  <c r="AE11" i="79"/>
  <c r="AE13" i="79" s="1"/>
  <c r="AG11" i="79"/>
  <c r="AG13" i="79" s="1"/>
  <c r="AI11" i="79"/>
  <c r="AI13" i="79" s="1"/>
  <c r="N12" i="79"/>
  <c r="Z12" i="79"/>
  <c r="AB12" i="79"/>
  <c r="AD12" i="79"/>
  <c r="AF12" i="79"/>
  <c r="AH12" i="79"/>
  <c r="AJ12" i="79"/>
  <c r="C17" i="79"/>
  <c r="G17" i="79"/>
  <c r="I17" i="79"/>
  <c r="F22" i="79"/>
  <c r="H22" i="79"/>
  <c r="P22" i="79"/>
  <c r="P23" i="79"/>
  <c r="P24" i="79"/>
  <c r="H61" i="79"/>
  <c r="H62" i="79"/>
  <c r="H65" i="79"/>
  <c r="H67" i="79"/>
  <c r="H74" i="79"/>
  <c r="H77" i="79"/>
  <c r="H78" i="79"/>
  <c r="C100" i="79"/>
  <c r="G100" i="79"/>
  <c r="K100" i="79"/>
  <c r="C101" i="79"/>
  <c r="G101" i="79"/>
  <c r="K101" i="79"/>
  <c r="S2" i="79"/>
  <c r="N101" i="79"/>
  <c r="L101" i="79"/>
  <c r="J101" i="79"/>
  <c r="H101" i="79"/>
  <c r="F101" i="79"/>
  <c r="D101" i="79"/>
  <c r="N3" i="79"/>
  <c r="M4" i="79"/>
  <c r="S4" i="79"/>
  <c r="N5" i="79"/>
  <c r="C6" i="79"/>
  <c r="N6" i="79"/>
  <c r="M7" i="79"/>
  <c r="S7" i="79"/>
  <c r="Z7" i="79"/>
  <c r="M8" i="79"/>
  <c r="M9" i="79"/>
  <c r="N10" i="79"/>
  <c r="N11" i="79"/>
  <c r="Z11" i="79"/>
  <c r="AB11" i="79"/>
  <c r="AD11" i="79"/>
  <c r="AF11" i="79"/>
  <c r="AH11" i="79"/>
  <c r="AJ11" i="79"/>
  <c r="E17" i="79"/>
  <c r="H17" i="79"/>
  <c r="J17" i="79"/>
  <c r="M20" i="79"/>
  <c r="C19" i="79" s="1"/>
  <c r="P21" i="79"/>
  <c r="E22" i="79"/>
  <c r="D22" i="79" s="1"/>
  <c r="G22" i="79"/>
  <c r="J22" i="79"/>
  <c r="C23" i="79"/>
  <c r="C21" i="79" s="1"/>
  <c r="F33" i="79"/>
  <c r="F34" i="79"/>
  <c r="F35" i="79"/>
  <c r="F36" i="79"/>
  <c r="F37" i="79"/>
  <c r="F38" i="79"/>
  <c r="F39" i="79"/>
  <c r="F48" i="79"/>
  <c r="D51" i="79"/>
  <c r="E48" i="79" s="1"/>
  <c r="B46" i="79" s="1"/>
  <c r="C24" i="79" s="1"/>
  <c r="H60" i="79"/>
  <c r="H63" i="79"/>
  <c r="H64" i="79"/>
  <c r="H71" i="79"/>
  <c r="H73" i="79"/>
  <c r="H75" i="79"/>
  <c r="H82" i="79"/>
  <c r="H84" i="79"/>
  <c r="H86" i="79"/>
  <c r="H87" i="79"/>
  <c r="D109" i="79"/>
  <c r="F109" i="79"/>
  <c r="H109" i="79"/>
  <c r="J109" i="79"/>
  <c r="L109" i="79"/>
  <c r="N109" i="79"/>
  <c r="E101" i="79"/>
  <c r="I101" i="79"/>
  <c r="I109" i="79" s="1"/>
  <c r="M101" i="79"/>
  <c r="D113" i="79"/>
  <c r="E9" i="80"/>
  <c r="E8" i="80"/>
  <c r="G39" i="80" s="1"/>
  <c r="I39" i="80" s="1"/>
  <c r="E11" i="80"/>
  <c r="E10" i="80"/>
  <c r="S2" i="80"/>
  <c r="N101" i="80"/>
  <c r="L101" i="80"/>
  <c r="J101" i="80"/>
  <c r="H101" i="80"/>
  <c r="F101" i="80"/>
  <c r="D101" i="80"/>
  <c r="B113" i="80"/>
  <c r="M101" i="80"/>
  <c r="K101" i="80"/>
  <c r="I101" i="80"/>
  <c r="G101" i="80"/>
  <c r="E101" i="80"/>
  <c r="C101" i="80"/>
  <c r="H22" i="80"/>
  <c r="F22" i="80"/>
  <c r="N3" i="80"/>
  <c r="M4" i="80"/>
  <c r="S4" i="80"/>
  <c r="N5" i="80"/>
  <c r="N6" i="80"/>
  <c r="M7" i="80"/>
  <c r="S7" i="80"/>
  <c r="Z7" i="80"/>
  <c r="M8" i="80"/>
  <c r="M9" i="80"/>
  <c r="N10" i="80"/>
  <c r="Z10" i="80"/>
  <c r="AB10" i="80"/>
  <c r="AD10" i="80"/>
  <c r="AF10" i="80"/>
  <c r="AH10" i="80"/>
  <c r="AJ10" i="80"/>
  <c r="N11" i="80"/>
  <c r="Z11" i="80"/>
  <c r="Z13" i="80" s="1"/>
  <c r="AB11" i="80"/>
  <c r="AB13" i="80" s="1"/>
  <c r="AD11" i="80"/>
  <c r="AD13" i="80" s="1"/>
  <c r="AF11" i="80"/>
  <c r="AF13" i="80" s="1"/>
  <c r="AH11" i="80"/>
  <c r="AH13" i="80" s="1"/>
  <c r="AJ11" i="80"/>
  <c r="AJ13" i="80" s="1"/>
  <c r="M12" i="80"/>
  <c r="AA12" i="80"/>
  <c r="AC12" i="80"/>
  <c r="AE12" i="80"/>
  <c r="AG12" i="80"/>
  <c r="AI12" i="80"/>
  <c r="E17" i="80"/>
  <c r="H17" i="80"/>
  <c r="J17" i="80"/>
  <c r="M20" i="80"/>
  <c r="C19" i="80" s="1"/>
  <c r="E22" i="80"/>
  <c r="J22" i="80"/>
  <c r="F33" i="80"/>
  <c r="F35" i="80"/>
  <c r="F37" i="80"/>
  <c r="F39" i="80"/>
  <c r="D100" i="79"/>
  <c r="F100" i="79"/>
  <c r="H100" i="79"/>
  <c r="J100" i="79"/>
  <c r="L100" i="79"/>
  <c r="N100" i="79"/>
  <c r="N2" i="80"/>
  <c r="M3" i="80"/>
  <c r="S3" i="80"/>
  <c r="N4" i="80"/>
  <c r="M5" i="80"/>
  <c r="C6" i="80" s="1"/>
  <c r="S5" i="80"/>
  <c r="M6" i="80"/>
  <c r="S6" i="80"/>
  <c r="N7" i="80"/>
  <c r="X7" i="80"/>
  <c r="N8" i="80"/>
  <c r="N9" i="80"/>
  <c r="M10" i="80"/>
  <c r="M11" i="80"/>
  <c r="Y11" i="80"/>
  <c r="Y13" i="80" s="1"/>
  <c r="AA11" i="80"/>
  <c r="AC11" i="80"/>
  <c r="AE11" i="80"/>
  <c r="AG11" i="80"/>
  <c r="AI11" i="80"/>
  <c r="C17" i="80"/>
  <c r="G17" i="80"/>
  <c r="I17" i="80"/>
  <c r="P24" i="80"/>
  <c r="P23" i="80"/>
  <c r="P22" i="80"/>
  <c r="G22" i="80"/>
  <c r="C23" i="80"/>
  <c r="C21" i="80" s="1"/>
  <c r="P25" i="80"/>
  <c r="F34" i="80"/>
  <c r="F36" i="80"/>
  <c r="F38" i="80"/>
  <c r="F48" i="80"/>
  <c r="J49" i="80"/>
  <c r="D49" i="80"/>
  <c r="E48" i="80" s="1"/>
  <c r="B46" i="80" s="1"/>
  <c r="C24" i="80" s="1"/>
  <c r="J52" i="80"/>
  <c r="D52" i="80"/>
  <c r="J53" i="80"/>
  <c r="D53" i="80"/>
  <c r="D55" i="80"/>
  <c r="H59" i="80"/>
  <c r="H61" i="80"/>
  <c r="H62" i="80"/>
  <c r="H65" i="80"/>
  <c r="H67" i="80"/>
  <c r="H72" i="80"/>
  <c r="H74" i="80"/>
  <c r="H77" i="80"/>
  <c r="H78" i="80"/>
  <c r="H83" i="80"/>
  <c r="H85" i="80"/>
  <c r="H88" i="80"/>
  <c r="D109" i="80"/>
  <c r="F108" i="80"/>
  <c r="F109" i="80" s="1"/>
  <c r="F100" i="80"/>
  <c r="H108" i="80"/>
  <c r="H109" i="80" s="1"/>
  <c r="H100" i="80"/>
  <c r="J108" i="80"/>
  <c r="J109" i="80" s="1"/>
  <c r="J100" i="80"/>
  <c r="L108" i="80"/>
  <c r="L109" i="80" s="1"/>
  <c r="L100" i="80"/>
  <c r="N108" i="80"/>
  <c r="N109" i="80" s="1"/>
  <c r="N100" i="80"/>
  <c r="D100" i="80"/>
  <c r="H60" i="80"/>
  <c r="H63" i="80"/>
  <c r="H64" i="80"/>
  <c r="H71" i="80"/>
  <c r="H73" i="80"/>
  <c r="H75" i="80"/>
  <c r="H82" i="80"/>
  <c r="H84" i="80"/>
  <c r="H86" i="80"/>
  <c r="C109" i="80"/>
  <c r="E108" i="80"/>
  <c r="E109" i="80" s="1"/>
  <c r="E100" i="80"/>
  <c r="G108" i="80"/>
  <c r="G109" i="80" s="1"/>
  <c r="G100" i="80"/>
  <c r="I108" i="80"/>
  <c r="I109" i="80" s="1"/>
  <c r="I100" i="80"/>
  <c r="K108" i="80"/>
  <c r="K109" i="80" s="1"/>
  <c r="K100" i="80"/>
  <c r="M108" i="80"/>
  <c r="M109" i="80" s="1"/>
  <c r="M100" i="80"/>
  <c r="C100" i="80"/>
  <c r="H113" i="78"/>
  <c r="I17" i="78"/>
  <c r="G17" i="78"/>
  <c r="C17" i="78"/>
  <c r="X7" i="78"/>
  <c r="J17" i="78"/>
  <c r="H17" i="78"/>
  <c r="E17" i="78"/>
  <c r="F48" i="78"/>
  <c r="F39" i="78"/>
  <c r="F38" i="78"/>
  <c r="F37" i="78"/>
  <c r="F36" i="78"/>
  <c r="F35" i="78"/>
  <c r="F34" i="78"/>
  <c r="F33" i="78"/>
  <c r="S7" i="78"/>
  <c r="Z7" i="78"/>
  <c r="AF13" i="78"/>
  <c r="Z10" i="78"/>
  <c r="AD10" i="78"/>
  <c r="AH10" i="78"/>
  <c r="AB11" i="78"/>
  <c r="AB13" i="78" s="1"/>
  <c r="N101" i="78"/>
  <c r="L101" i="78"/>
  <c r="J101" i="78"/>
  <c r="H101" i="78"/>
  <c r="F101" i="78"/>
  <c r="D101" i="78"/>
  <c r="B113" i="78"/>
  <c r="M101" i="78"/>
  <c r="K101" i="78"/>
  <c r="I101" i="78"/>
  <c r="G101" i="78"/>
  <c r="E101" i="78"/>
  <c r="C101" i="78"/>
  <c r="H22" i="78"/>
  <c r="F22" i="78"/>
  <c r="AI11" i="78"/>
  <c r="AG11" i="78"/>
  <c r="AG13" i="78" s="1"/>
  <c r="AE11" i="78"/>
  <c r="AC11" i="78"/>
  <c r="AC13" i="78" s="1"/>
  <c r="AA11" i="78"/>
  <c r="Y11" i="78"/>
  <c r="Y13" i="78" s="1"/>
  <c r="S6" i="78"/>
  <c r="S5" i="78"/>
  <c r="S3" i="78"/>
  <c r="AJ11" i="78"/>
  <c r="AJ13" i="78" s="1"/>
  <c r="AH11" i="78"/>
  <c r="AH13" i="78" s="1"/>
  <c r="C23" i="78"/>
  <c r="C21" i="78" s="1"/>
  <c r="J22" i="78"/>
  <c r="G22" i="78"/>
  <c r="E22" i="78"/>
  <c r="S4" i="78"/>
  <c r="E9" i="78"/>
  <c r="E8" i="78"/>
  <c r="G39" i="78" s="1"/>
  <c r="I39" i="78" s="1"/>
  <c r="AB10" i="78"/>
  <c r="AF10" i="78"/>
  <c r="AJ10" i="78"/>
  <c r="Z11" i="78"/>
  <c r="Z13" i="78" s="1"/>
  <c r="AD11" i="78"/>
  <c r="AD13" i="78" s="1"/>
  <c r="AA13" i="78"/>
  <c r="AE13" i="78"/>
  <c r="AI13" i="78"/>
  <c r="H60" i="78"/>
  <c r="H63" i="78"/>
  <c r="H64" i="78"/>
  <c r="H66" i="78"/>
  <c r="H71" i="78"/>
  <c r="H73" i="78"/>
  <c r="H75" i="78"/>
  <c r="H76" i="78"/>
  <c r="H82" i="78"/>
  <c r="H84" i="78"/>
  <c r="H86" i="78"/>
  <c r="H87" i="78"/>
  <c r="C109" i="78"/>
  <c r="E109" i="78"/>
  <c r="G108" i="78"/>
  <c r="G109" i="78" s="1"/>
  <c r="G100" i="78"/>
  <c r="I108" i="78"/>
  <c r="I109" i="78" s="1"/>
  <c r="I100" i="78"/>
  <c r="K108" i="78"/>
  <c r="K109" i="78" s="1"/>
  <c r="K100" i="78"/>
  <c r="M108" i="78"/>
  <c r="M109" i="78" s="1"/>
  <c r="M100" i="78"/>
  <c r="C100" i="78"/>
  <c r="E100" i="78"/>
  <c r="N2" i="78"/>
  <c r="M3" i="78"/>
  <c r="N4" i="78"/>
  <c r="M5" i="78"/>
  <c r="C6" i="78" s="1"/>
  <c r="M6" i="78"/>
  <c r="N7" i="78"/>
  <c r="N8" i="78"/>
  <c r="N9" i="78"/>
  <c r="M10" i="78"/>
  <c r="M11" i="78"/>
  <c r="P22" i="78"/>
  <c r="P23" i="78"/>
  <c r="D49" i="78"/>
  <c r="E48" i="78" s="1"/>
  <c r="B46" i="78" s="1"/>
  <c r="C24" i="78" s="1"/>
  <c r="D52" i="78"/>
  <c r="D53" i="78"/>
  <c r="D55" i="78"/>
  <c r="H59" i="78"/>
  <c r="H61" i="78"/>
  <c r="H62" i="78"/>
  <c r="H65" i="78"/>
  <c r="H72" i="78"/>
  <c r="H74" i="78"/>
  <c r="H77" i="78"/>
  <c r="H83" i="78"/>
  <c r="H85" i="78"/>
  <c r="D109" i="78"/>
  <c r="F108" i="78"/>
  <c r="F109" i="78" s="1"/>
  <c r="F100" i="78"/>
  <c r="H108" i="78"/>
  <c r="H109" i="78" s="1"/>
  <c r="H100" i="78"/>
  <c r="J108" i="78"/>
  <c r="J109" i="78" s="1"/>
  <c r="J100" i="78"/>
  <c r="L108" i="78"/>
  <c r="L109" i="78" s="1"/>
  <c r="L100" i="78"/>
  <c r="N108" i="78"/>
  <c r="N109" i="78" s="1"/>
  <c r="N100" i="78"/>
  <c r="D100" i="78"/>
  <c r="L3" i="71"/>
  <c r="K3" i="71"/>
  <c r="I3" i="71"/>
  <c r="H55" i="81" l="1"/>
  <c r="H53" i="81"/>
  <c r="H52" i="81"/>
  <c r="H49" i="81"/>
  <c r="H56" i="81"/>
  <c r="H54" i="81"/>
  <c r="H51" i="81"/>
  <c r="H50" i="81"/>
  <c r="H48" i="81"/>
  <c r="D5" i="81"/>
  <c r="C5"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F107" i="81"/>
  <c r="F106" i="81"/>
  <c r="F105" i="81"/>
  <c r="F104" i="81"/>
  <c r="F103" i="81"/>
  <c r="F102" i="81"/>
  <c r="J107" i="81"/>
  <c r="J106" i="81"/>
  <c r="J105" i="81"/>
  <c r="J104" i="81"/>
  <c r="J103" i="81"/>
  <c r="J102" i="81"/>
  <c r="N107" i="81"/>
  <c r="N106" i="81"/>
  <c r="N105" i="81"/>
  <c r="N104" i="81"/>
  <c r="N103" i="81"/>
  <c r="N102" i="81"/>
  <c r="E48" i="81"/>
  <c r="B46" i="81" s="1"/>
  <c r="C24" i="81" s="1"/>
  <c r="E107" i="81"/>
  <c r="E106" i="81"/>
  <c r="E105" i="81"/>
  <c r="E104" i="81"/>
  <c r="E103" i="81"/>
  <c r="E102" i="81"/>
  <c r="I107" i="81"/>
  <c r="I106" i="81"/>
  <c r="I105" i="81"/>
  <c r="I104" i="81"/>
  <c r="I103" i="81"/>
  <c r="I102" i="81"/>
  <c r="M107" i="81"/>
  <c r="M106" i="81"/>
  <c r="M105" i="81"/>
  <c r="M104" i="81"/>
  <c r="M103" i="81"/>
  <c r="M102" i="81"/>
  <c r="D107" i="81"/>
  <c r="D106" i="81"/>
  <c r="D105" i="81"/>
  <c r="D104" i="81"/>
  <c r="D103" i="81"/>
  <c r="D102" i="81"/>
  <c r="H107" i="81"/>
  <c r="H106" i="81"/>
  <c r="H105" i="81"/>
  <c r="H104" i="81"/>
  <c r="H103" i="81"/>
  <c r="H102" i="81"/>
  <c r="L107" i="81"/>
  <c r="L106" i="81"/>
  <c r="L105" i="81"/>
  <c r="L104" i="81"/>
  <c r="L103" i="81"/>
  <c r="L102" i="81"/>
  <c r="L109" i="81"/>
  <c r="H109" i="81"/>
  <c r="D22" i="80"/>
  <c r="AG13" i="80"/>
  <c r="AC13" i="80"/>
  <c r="C107" i="80"/>
  <c r="C106" i="80"/>
  <c r="C105" i="80"/>
  <c r="C104" i="80"/>
  <c r="C103" i="80"/>
  <c r="C102" i="80"/>
  <c r="G107" i="80"/>
  <c r="G106" i="80"/>
  <c r="G105" i="80"/>
  <c r="G104" i="80"/>
  <c r="G103" i="80"/>
  <c r="G102" i="80"/>
  <c r="K107" i="80"/>
  <c r="K106" i="80"/>
  <c r="K105" i="80"/>
  <c r="K104" i="80"/>
  <c r="K103" i="80"/>
  <c r="K102"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F107" i="80"/>
  <c r="F106" i="80"/>
  <c r="F105" i="80"/>
  <c r="F104" i="80"/>
  <c r="F103" i="80"/>
  <c r="F102" i="80"/>
  <c r="J107" i="80"/>
  <c r="J106" i="80"/>
  <c r="J105" i="80"/>
  <c r="J104" i="80"/>
  <c r="J103" i="80"/>
  <c r="J102" i="80"/>
  <c r="N107" i="80"/>
  <c r="N106" i="80"/>
  <c r="N105" i="80"/>
  <c r="N104" i="80"/>
  <c r="N103" i="80"/>
  <c r="N102" i="80"/>
  <c r="M107" i="79"/>
  <c r="M106" i="79"/>
  <c r="M105" i="79"/>
  <c r="M104" i="79"/>
  <c r="M103" i="79"/>
  <c r="M102" i="79"/>
  <c r="E107" i="79"/>
  <c r="E106" i="79"/>
  <c r="E105" i="79"/>
  <c r="E104" i="79"/>
  <c r="E103" i="79"/>
  <c r="E102" i="79"/>
  <c r="H55" i="79"/>
  <c r="H53" i="79"/>
  <c r="H52" i="79"/>
  <c r="H49" i="79"/>
  <c r="H56" i="79"/>
  <c r="H54" i="79"/>
  <c r="H51" i="79"/>
  <c r="H50" i="79"/>
  <c r="H48" i="79"/>
  <c r="D107" i="79"/>
  <c r="D106" i="79"/>
  <c r="D105" i="79"/>
  <c r="D104" i="79"/>
  <c r="D103" i="79"/>
  <c r="D102" i="79"/>
  <c r="H107" i="79"/>
  <c r="H106" i="79"/>
  <c r="H105" i="79"/>
  <c r="H104" i="79"/>
  <c r="H103" i="79"/>
  <c r="H102" i="79"/>
  <c r="L107" i="79"/>
  <c r="L106" i="79"/>
  <c r="L105" i="79"/>
  <c r="L104" i="79"/>
  <c r="L103" i="79"/>
  <c r="L102" i="79"/>
  <c r="G107" i="79"/>
  <c r="G106" i="79"/>
  <c r="G105" i="79"/>
  <c r="G104" i="79"/>
  <c r="G103" i="79"/>
  <c r="G102" i="79"/>
  <c r="AJ13" i="79"/>
  <c r="AF13" i="79"/>
  <c r="AB13" i="79"/>
  <c r="G109" i="79"/>
  <c r="M109" i="79"/>
  <c r="H55" i="80"/>
  <c r="H56" i="80"/>
  <c r="H54" i="80"/>
  <c r="H51" i="80"/>
  <c r="H50" i="80"/>
  <c r="H48" i="80"/>
  <c r="H53" i="80"/>
  <c r="H52" i="80"/>
  <c r="H49" i="80"/>
  <c r="C16" i="80"/>
  <c r="C5" i="80" s="1"/>
  <c r="AI13" i="80"/>
  <c r="AE13" i="80"/>
  <c r="AA13" i="80"/>
  <c r="E107" i="80"/>
  <c r="E106" i="80"/>
  <c r="E105" i="80"/>
  <c r="E104" i="80"/>
  <c r="E103" i="80"/>
  <c r="E102" i="80"/>
  <c r="I107" i="80"/>
  <c r="I106" i="80"/>
  <c r="I105" i="80"/>
  <c r="I104" i="80"/>
  <c r="I103" i="80"/>
  <c r="I102" i="80"/>
  <c r="M107" i="80"/>
  <c r="M106" i="80"/>
  <c r="M105" i="80"/>
  <c r="M104" i="80"/>
  <c r="M103" i="80"/>
  <c r="M102" i="80"/>
  <c r="D107" i="80"/>
  <c r="D106" i="80"/>
  <c r="D105" i="80"/>
  <c r="D104" i="80"/>
  <c r="D103" i="80"/>
  <c r="D102" i="80"/>
  <c r="H107" i="80"/>
  <c r="H106" i="80"/>
  <c r="H105" i="80"/>
  <c r="H104" i="80"/>
  <c r="H103" i="80"/>
  <c r="H102" i="80"/>
  <c r="L107" i="80"/>
  <c r="L106" i="80"/>
  <c r="L105" i="80"/>
  <c r="L104" i="80"/>
  <c r="L103" i="80"/>
  <c r="L102" i="80"/>
  <c r="I107" i="79"/>
  <c r="I106" i="79"/>
  <c r="I105" i="79"/>
  <c r="I104" i="79"/>
  <c r="I103" i="79"/>
  <c r="I102" i="79"/>
  <c r="F107" i="79"/>
  <c r="F106" i="79"/>
  <c r="F105" i="79"/>
  <c r="F104" i="79"/>
  <c r="F103" i="79"/>
  <c r="F102" i="79"/>
  <c r="J107" i="79"/>
  <c r="J106" i="79"/>
  <c r="J105" i="79"/>
  <c r="J104" i="79"/>
  <c r="J103" i="79"/>
  <c r="J102" i="79"/>
  <c r="N107" i="79"/>
  <c r="N106" i="79"/>
  <c r="N105" i="79"/>
  <c r="N104" i="79"/>
  <c r="N103" i="79"/>
  <c r="N102" i="79"/>
  <c r="K107" i="79"/>
  <c r="K106" i="79"/>
  <c r="K105" i="79"/>
  <c r="K104" i="79"/>
  <c r="K103" i="79"/>
  <c r="K102" i="79"/>
  <c r="C107" i="79"/>
  <c r="C106" i="79"/>
  <c r="C105" i="79"/>
  <c r="C104" i="79"/>
  <c r="C103" i="79"/>
  <c r="C102" i="79"/>
  <c r="C16" i="79"/>
  <c r="C5" i="79" s="1"/>
  <c r="AH13" i="79"/>
  <c r="AD13" i="79"/>
  <c r="Z13" i="79"/>
  <c r="K109" i="79"/>
  <c r="C109" i="79"/>
  <c r="E109" i="79"/>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F107" i="78"/>
  <c r="F106" i="78"/>
  <c r="F105" i="78"/>
  <c r="F104" i="78"/>
  <c r="F103" i="78"/>
  <c r="F102" i="78"/>
  <c r="J107" i="78"/>
  <c r="J106" i="78"/>
  <c r="J105" i="78"/>
  <c r="J104" i="78"/>
  <c r="J103" i="78"/>
  <c r="J102" i="78"/>
  <c r="N107" i="78"/>
  <c r="N106" i="78"/>
  <c r="N105" i="78"/>
  <c r="N104" i="78"/>
  <c r="N103" i="78"/>
  <c r="N102" i="78"/>
  <c r="C16" i="78"/>
  <c r="C5" i="78" s="1"/>
  <c r="D22" i="78"/>
  <c r="E107" i="78"/>
  <c r="E106" i="78"/>
  <c r="E105" i="78"/>
  <c r="E104" i="78"/>
  <c r="E103" i="78"/>
  <c r="E102" i="78"/>
  <c r="I107" i="78"/>
  <c r="I106" i="78"/>
  <c r="I105" i="78"/>
  <c r="I104" i="78"/>
  <c r="I103" i="78"/>
  <c r="I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H56" i="78"/>
  <c r="H54" i="78"/>
  <c r="H51" i="78"/>
  <c r="H50" i="78"/>
  <c r="H48" i="78"/>
  <c r="H55" i="78"/>
  <c r="H53" i="78"/>
  <c r="H52" i="78"/>
  <c r="H49" i="78"/>
  <c r="J3" i="71"/>
  <c r="C115" i="81" l="1"/>
  <c r="D113" i="81"/>
  <c r="D5" i="79"/>
  <c r="C115" i="80"/>
  <c r="D113" i="80"/>
  <c r="D5" i="80"/>
  <c r="D5" i="78"/>
  <c r="C115" i="78"/>
  <c r="D113" i="78"/>
  <c r="AD5" i="7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3" i="76"/>
  <c r="E12" i="76"/>
  <c r="B12"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4" i="73"/>
  <c r="F5" i="73"/>
  <c r="F6" i="73"/>
  <c r="F3" i="73"/>
  <c r="D3" i="73"/>
  <c r="D5" i="73"/>
  <c r="I1" i="73" l="1"/>
  <c r="B39" i="1" s="1"/>
  <c r="D4" i="73"/>
  <c r="D7" i="73"/>
  <c r="E20" i="81" l="1"/>
  <c r="E20" i="80"/>
  <c r="E20" i="79"/>
  <c r="E20"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81" l="1"/>
  <c r="N17" i="81"/>
  <c r="O17" i="81"/>
  <c r="M17" i="81"/>
  <c r="G20" i="81" s="1"/>
  <c r="C20" i="81" s="1"/>
  <c r="P17" i="79"/>
  <c r="N17" i="79"/>
  <c r="O17" i="79"/>
  <c r="M17" i="79"/>
  <c r="G20" i="79" s="1"/>
  <c r="C20" i="79" s="1"/>
  <c r="O17" i="80"/>
  <c r="M17" i="80"/>
  <c r="G20" i="80" s="1"/>
  <c r="C20" i="80" s="1"/>
  <c r="P17" i="80"/>
  <c r="N17" i="80"/>
  <c r="O17" i="78"/>
  <c r="M17" i="78"/>
  <c r="G20" i="78" s="1"/>
  <c r="C20" i="78" s="1"/>
  <c r="P17" i="78"/>
  <c r="N17" i="78"/>
  <c r="AA10" i="43"/>
  <c r="AC10" i="43"/>
  <c r="AE10" i="43"/>
  <c r="AG10" i="43"/>
  <c r="AI10" i="43"/>
  <c r="Z10" i="43"/>
  <c r="AB10" i="43"/>
  <c r="AD10" i="43"/>
  <c r="AF10" i="43"/>
  <c r="AH10" i="43"/>
  <c r="AJ10" i="43"/>
  <c r="C36" i="81" l="1"/>
  <c r="C34" i="81"/>
  <c r="C39" i="81"/>
  <c r="E39" i="81" s="1"/>
  <c r="C37" i="81"/>
  <c r="T14" i="81"/>
  <c r="V14" i="81" s="1"/>
  <c r="T12" i="81"/>
  <c r="V12" i="81" s="1"/>
  <c r="T8" i="81"/>
  <c r="V8" i="81" s="1"/>
  <c r="T5" i="81"/>
  <c r="V5" i="81" s="1"/>
  <c r="T16" i="81"/>
  <c r="V16" i="81" s="1"/>
  <c r="T7" i="81"/>
  <c r="V7" i="81" s="1"/>
  <c r="C29" i="81"/>
  <c r="T2" i="81"/>
  <c r="V2" i="81" s="1"/>
  <c r="C35" i="81"/>
  <c r="C33" i="81"/>
  <c r="C38" i="81"/>
  <c r="T15" i="81"/>
  <c r="V15" i="81" s="1"/>
  <c r="T13" i="81"/>
  <c r="V13" i="81" s="1"/>
  <c r="T9" i="81"/>
  <c r="V9" i="81" s="1"/>
  <c r="T6" i="81"/>
  <c r="V6" i="81" s="1"/>
  <c r="T3" i="81"/>
  <c r="V3" i="81" s="1"/>
  <c r="T11" i="81"/>
  <c r="V11" i="81" s="1"/>
  <c r="T4" i="81"/>
  <c r="V4" i="81" s="1"/>
  <c r="T10" i="81"/>
  <c r="V10" i="81" s="1"/>
  <c r="C38" i="79"/>
  <c r="T15" i="79"/>
  <c r="V15" i="79" s="1"/>
  <c r="T13" i="79"/>
  <c r="V13" i="79" s="1"/>
  <c r="T9" i="79"/>
  <c r="V9" i="79" s="1"/>
  <c r="T6" i="79"/>
  <c r="V6" i="79" s="1"/>
  <c r="T3" i="79"/>
  <c r="V3" i="79" s="1"/>
  <c r="T16" i="79"/>
  <c r="V16" i="79" s="1"/>
  <c r="T10" i="79"/>
  <c r="V10" i="79" s="1"/>
  <c r="T4" i="79"/>
  <c r="V4" i="79" s="1"/>
  <c r="C39" i="79"/>
  <c r="E39" i="79" s="1"/>
  <c r="C37" i="79"/>
  <c r="T14" i="79"/>
  <c r="V14" i="79" s="1"/>
  <c r="T12" i="79"/>
  <c r="V12" i="79" s="1"/>
  <c r="T8" i="79"/>
  <c r="V8" i="79" s="1"/>
  <c r="T5" i="79"/>
  <c r="V5" i="79" s="1"/>
  <c r="C29" i="79"/>
  <c r="T11" i="79"/>
  <c r="V11" i="79" s="1"/>
  <c r="T7" i="79"/>
  <c r="V7" i="79" s="1"/>
  <c r="T2" i="79"/>
  <c r="V2" i="79" s="1"/>
  <c r="C36" i="79"/>
  <c r="C34" i="79"/>
  <c r="C35" i="79"/>
  <c r="C33" i="79"/>
  <c r="C29" i="80"/>
  <c r="C37" i="80"/>
  <c r="T11" i="80"/>
  <c r="V11" i="80" s="1"/>
  <c r="T7" i="80"/>
  <c r="V7" i="80" s="1"/>
  <c r="T2" i="80"/>
  <c r="V2" i="80" s="1"/>
  <c r="T15" i="80"/>
  <c r="V15" i="80" s="1"/>
  <c r="T13" i="80"/>
  <c r="V13" i="80" s="1"/>
  <c r="T9" i="80"/>
  <c r="V9" i="80" s="1"/>
  <c r="T6" i="80"/>
  <c r="V6" i="80" s="1"/>
  <c r="T3" i="80"/>
  <c r="V3" i="80" s="1"/>
  <c r="C39" i="80"/>
  <c r="E39" i="80" s="1"/>
  <c r="T16" i="80"/>
  <c r="V16" i="80" s="1"/>
  <c r="T10" i="80"/>
  <c r="V10" i="80" s="1"/>
  <c r="T4" i="80"/>
  <c r="V4" i="80" s="1"/>
  <c r="C38" i="80"/>
  <c r="T14" i="80"/>
  <c r="V14" i="80" s="1"/>
  <c r="T12" i="80"/>
  <c r="V12" i="80" s="1"/>
  <c r="T8" i="80"/>
  <c r="V8" i="80" s="1"/>
  <c r="T5" i="80"/>
  <c r="V5" i="80" s="1"/>
  <c r="C35" i="80"/>
  <c r="C36" i="80"/>
  <c r="C33" i="80"/>
  <c r="C34" i="80"/>
  <c r="C29" i="78"/>
  <c r="T11" i="78"/>
  <c r="V11" i="78" s="1"/>
  <c r="T7" i="78"/>
  <c r="V7" i="78" s="1"/>
  <c r="T2" i="78"/>
  <c r="V2" i="78" s="1"/>
  <c r="T14" i="78"/>
  <c r="V14" i="78" s="1"/>
  <c r="T12" i="78"/>
  <c r="V12" i="78" s="1"/>
  <c r="C38" i="78"/>
  <c r="T9" i="78"/>
  <c r="V9" i="78" s="1"/>
  <c r="T3" i="78"/>
  <c r="V3" i="78" s="1"/>
  <c r="T6" i="78"/>
  <c r="V6" i="78" s="1"/>
  <c r="T16" i="78"/>
  <c r="V16" i="78" s="1"/>
  <c r="T10" i="78"/>
  <c r="V10" i="78" s="1"/>
  <c r="T4" i="78"/>
  <c r="V4" i="78" s="1"/>
  <c r="T15" i="78"/>
  <c r="V15" i="78" s="1"/>
  <c r="T13" i="78"/>
  <c r="V13" i="78" s="1"/>
  <c r="C39" i="78"/>
  <c r="E39" i="78" s="1"/>
  <c r="C37" i="78"/>
  <c r="T5" i="78"/>
  <c r="V5" i="78" s="1"/>
  <c r="T8" i="78"/>
  <c r="V8" i="78" s="1"/>
  <c r="C35" i="78"/>
  <c r="C33" i="78"/>
  <c r="C36" i="78"/>
  <c r="C34" i="78"/>
  <c r="K49" i="9"/>
  <c r="E107" i="9"/>
  <c r="A122" i="9" s="1"/>
  <c r="A8" i="52" s="1"/>
  <c r="E111" i="9"/>
  <c r="A126" i="9" s="1"/>
  <c r="E109" i="9"/>
  <c r="A124" i="9" s="1"/>
  <c r="G33" i="81" l="1"/>
  <c r="I33" i="81" s="1"/>
  <c r="E33" i="81"/>
  <c r="G37" i="81"/>
  <c r="I37" i="81" s="1"/>
  <c r="E37" i="81"/>
  <c r="G34" i="81"/>
  <c r="I34" i="81" s="1"/>
  <c r="E34" i="81"/>
  <c r="G38" i="81"/>
  <c r="I38" i="81" s="1"/>
  <c r="E38" i="81"/>
  <c r="G35" i="81"/>
  <c r="I35" i="81" s="1"/>
  <c r="E35" i="81"/>
  <c r="C30" i="81"/>
  <c r="E30" i="81" s="1"/>
  <c r="E29" i="81"/>
  <c r="G36" i="81"/>
  <c r="I36" i="81" s="1"/>
  <c r="E36" i="81"/>
  <c r="G34" i="80"/>
  <c r="I34" i="80" s="1"/>
  <c r="E34" i="80"/>
  <c r="G36" i="80"/>
  <c r="I36" i="80" s="1"/>
  <c r="E36" i="80"/>
  <c r="G38" i="80"/>
  <c r="I38" i="80" s="1"/>
  <c r="E38" i="80"/>
  <c r="E29" i="80"/>
  <c r="C30" i="80"/>
  <c r="E30" i="80" s="1"/>
  <c r="G35" i="79"/>
  <c r="I35" i="79" s="1"/>
  <c r="E35" i="79"/>
  <c r="G36" i="79"/>
  <c r="I36" i="79" s="1"/>
  <c r="E36" i="79"/>
  <c r="C30" i="79"/>
  <c r="E30" i="79" s="1"/>
  <c r="E29" i="79"/>
  <c r="G33" i="80"/>
  <c r="I33" i="80" s="1"/>
  <c r="E33" i="80"/>
  <c r="G35" i="80"/>
  <c r="I35" i="80" s="1"/>
  <c r="E35" i="80"/>
  <c r="G37" i="80"/>
  <c r="I37" i="80" s="1"/>
  <c r="E37" i="80"/>
  <c r="G33" i="79"/>
  <c r="I33" i="79" s="1"/>
  <c r="E33" i="79"/>
  <c r="G34" i="79"/>
  <c r="I34" i="79" s="1"/>
  <c r="E34" i="79"/>
  <c r="G37" i="79"/>
  <c r="I37" i="79" s="1"/>
  <c r="E37" i="79"/>
  <c r="G38" i="79"/>
  <c r="I38" i="79" s="1"/>
  <c r="E38" i="79"/>
  <c r="G36" i="78"/>
  <c r="I36" i="78" s="1"/>
  <c r="E36" i="78"/>
  <c r="G35" i="78"/>
  <c r="I35" i="78" s="1"/>
  <c r="E35" i="78"/>
  <c r="G34" i="78"/>
  <c r="I34" i="78" s="1"/>
  <c r="E34" i="78"/>
  <c r="G33" i="78"/>
  <c r="I33" i="78" s="1"/>
  <c r="E33" i="78"/>
  <c r="G37" i="78"/>
  <c r="I37" i="78" s="1"/>
  <c r="E37" i="78"/>
  <c r="G38" i="78"/>
  <c r="I38" i="78" s="1"/>
  <c r="E38" i="78"/>
  <c r="E29" i="78"/>
  <c r="C30" i="78"/>
  <c r="E30" i="78" s="1"/>
  <c r="B44" i="72"/>
  <c r="B42" i="72"/>
  <c r="B69" i="72"/>
  <c r="B68" i="72"/>
  <c r="B63" i="72"/>
  <c r="B62" i="72"/>
  <c r="B16" i="72"/>
  <c r="C26" i="78" l="1"/>
  <c r="B2" i="78" s="1"/>
  <c r="C26" i="81"/>
  <c r="C27" i="81"/>
  <c r="C26" i="79"/>
  <c r="C27" i="80"/>
  <c r="C27" i="79"/>
  <c r="C26" i="80"/>
  <c r="C27" i="78"/>
  <c r="B65" i="72"/>
  <c r="B60" i="72"/>
  <c r="B59" i="72"/>
  <c r="B58" i="72"/>
  <c r="B67" i="72"/>
  <c r="B66" i="72"/>
  <c r="E11" i="76"/>
  <c r="E10" i="76"/>
  <c r="E9" i="76"/>
  <c r="B8" i="76"/>
  <c r="E8" i="76"/>
  <c r="B2" i="81" l="1"/>
  <c r="B2" i="80"/>
  <c r="B2" i="79"/>
  <c r="B3" i="78"/>
  <c r="B12" i="72"/>
  <c r="B11" i="76"/>
  <c r="B10" i="76"/>
  <c r="B9" i="76"/>
  <c r="B3" i="81" l="1"/>
  <c r="B3" i="80"/>
  <c r="B3" i="79"/>
  <c r="B10" i="72"/>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70" i="43"/>
  <c r="H73" i="43" s="1"/>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AE9" i="1"/>
  <c r="G20" i="43" l="1"/>
  <c r="F3" i="35"/>
  <c r="H87" i="43"/>
  <c r="H86" i="43"/>
  <c r="H74" i="43"/>
  <c r="M6" i="43"/>
  <c r="N7" i="43"/>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C20"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2"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15"/>
  <c r="F7" i="15"/>
  <c r="M29" i="67"/>
  <c r="F6" i="67"/>
  <c r="F13" i="15"/>
  <c r="F7" i="67"/>
  <c r="M9" i="67"/>
  <c r="M6" i="67"/>
  <c r="M26" i="67"/>
  <c r="C76" i="15"/>
  <c r="J15" i="15"/>
  <c r="M23" i="15"/>
  <c r="F43" i="15"/>
  <c r="M28" i="15"/>
  <c r="M22" i="15"/>
  <c r="M26" i="15"/>
  <c r="M8" i="67"/>
  <c r="F8" i="15"/>
  <c r="M8" i="15"/>
  <c r="F38" i="67"/>
  <c r="F16" i="67"/>
  <c r="C76" i="67"/>
  <c r="F6" i="15"/>
  <c r="F42" i="15"/>
  <c r="F9" i="67"/>
  <c r="F42" i="67"/>
  <c r="J15" i="67"/>
  <c r="F40" i="15"/>
  <c r="L48" i="15"/>
  <c r="F9" i="15"/>
  <c r="F8" i="67"/>
  <c r="M9" i="15"/>
  <c r="F36" i="15"/>
  <c r="L47" i="15"/>
  <c r="F13" i="67"/>
  <c r="F37" i="15"/>
  <c r="F38" i="15"/>
  <c r="F37" i="67"/>
  <c r="M22" i="67"/>
  <c r="L47" i="67"/>
  <c r="F16" i="15"/>
  <c r="M6" i="15"/>
  <c r="F26" i="15"/>
  <c r="F43" i="67"/>
  <c r="F26" i="67"/>
  <c r="F40" i="67"/>
  <c r="M23" i="67"/>
  <c r="M28" i="67"/>
  <c r="M24" i="67"/>
  <c r="L48" i="67"/>
  <c r="F36" i="67"/>
  <c r="M29" i="15"/>
  <c r="G1" i="73"/>
  <c r="H53" i="43" l="1"/>
  <c r="H56" i="43"/>
  <c r="H55" i="43"/>
  <c r="C6" i="43"/>
  <c r="H54" i="43"/>
  <c r="H48" i="43"/>
  <c r="H49" i="43"/>
  <c r="H50" i="43"/>
  <c r="D22" i="43"/>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C16" i="67"/>
  <c r="M17" i="15"/>
  <c r="C16" i="15"/>
  <c r="F31" i="15"/>
  <c r="C17" i="15"/>
  <c r="F59" i="67"/>
  <c r="F31" i="67"/>
  <c r="F59" i="15"/>
  <c r="D5" i="43" l="1"/>
  <c r="C36" i="43" s="1"/>
  <c r="E36" i="43" s="1"/>
  <c r="C30" i="69"/>
  <c r="C48" i="68"/>
  <c r="M19" i="6"/>
  <c r="AR6" i="1"/>
  <c r="B5" i="62"/>
  <c r="B73" i="72" s="1"/>
  <c r="T7" i="1"/>
  <c r="AR7" i="1"/>
  <c r="L59" i="15"/>
  <c r="Q74" i="15" s="1"/>
  <c r="C30" i="11"/>
  <c r="E6" i="70"/>
  <c r="K27" i="6"/>
  <c r="A18" i="62"/>
  <c r="B64" i="72"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35" i="43" l="1"/>
  <c r="E35" i="43" s="1"/>
  <c r="C34" i="43"/>
  <c r="G34" i="43" s="1"/>
  <c r="I34"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E34" i="43" l="1"/>
  <c r="C26" i="43" s="1"/>
  <c r="G35" i="43"/>
  <c r="I35" i="43" s="1"/>
  <c r="C27" i="43"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7" i="76"/>
  <c r="E6" i="76"/>
  <c r="D31" i="6" l="1"/>
  <c r="I6" i="6" s="1"/>
  <c r="I7"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7" i="76"/>
  <c r="F35" i="15"/>
  <c r="M21" i="15"/>
  <c r="M21" i="67"/>
  <c r="F35" i="67"/>
  <c r="B6" i="76"/>
  <c r="I5" i="6" l="1"/>
  <c r="B2" i="76"/>
  <c r="B3" i="43"/>
  <c r="C49" i="21"/>
  <c r="F63" i="67"/>
  <c r="C62" i="67" s="1"/>
  <c r="C34" i="67"/>
  <c r="J20" i="67"/>
  <c r="C24" i="68"/>
  <c r="J20" i="15"/>
  <c r="F63" i="15"/>
  <c r="C62" i="15" s="1"/>
  <c r="C34" i="15"/>
  <c r="R16" i="1"/>
  <c r="C22" i="12"/>
  <c r="C30" i="12" s="1"/>
  <c r="C28" i="12" s="1"/>
  <c r="C33" i="68"/>
  <c r="I63" i="40"/>
  <c r="H65" i="40"/>
  <c r="C39" i="11"/>
  <c r="C43" i="11" s="1"/>
  <c r="C41" i="11" s="1"/>
  <c r="I70" i="39"/>
  <c r="B3" i="76" l="1"/>
  <c r="C6" i="68"/>
  <c r="C27" i="12"/>
  <c r="C25" i="12" s="1"/>
  <c r="C32" i="12" s="1"/>
  <c r="B2" i="12" s="1"/>
  <c r="B3" i="12" s="1"/>
  <c r="C39" i="68"/>
  <c r="C43" i="68" s="1"/>
  <c r="C42" i="68"/>
  <c r="J63" i="40"/>
  <c r="I65" i="40"/>
  <c r="C46" i="11"/>
  <c r="C45" i="11" s="1"/>
  <c r="C49" i="11" s="1"/>
  <c r="C51" i="11" s="1"/>
  <c r="C52" i="11" s="1"/>
  <c r="B2" i="11" s="1"/>
  <c r="B3" i="11" s="1"/>
  <c r="J70" i="39"/>
  <c r="C7" i="68" l="1"/>
  <c r="C5" i="68" s="1"/>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C19" i="9"/>
  <c r="E2" i="68"/>
  <c r="D2" i="37"/>
  <c r="D2" i="35"/>
  <c r="D2" i="36"/>
  <c r="D2" i="21"/>
  <c r="F20" i="31"/>
  <c r="D2" i="33"/>
  <c r="D2" i="34"/>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lenovo</author>
    <author>tian.jf</author>
    <author>Administrator</author>
  </authors>
  <commentList>
    <comment ref="C9" authorId="0">
      <text>
        <r>
          <rPr>
            <sz val="9"/>
            <rFont val="宋体"/>
            <family val="3"/>
            <charset val="134"/>
          </rPr>
          <t>lenovo:
2016.1.15主体变更</t>
        </r>
      </text>
    </comment>
    <comment ref="C18" authorId="0">
      <text>
        <r>
          <rPr>
            <sz val="9"/>
            <rFont val="宋体"/>
            <family val="3"/>
            <charset val="134"/>
          </rPr>
          <t>lenovo:
2015.7.1做主体变更</t>
        </r>
      </text>
    </comment>
    <comment ref="E30" authorId="0">
      <text>
        <r>
          <rPr>
            <sz val="9"/>
            <rFont val="宋体"/>
            <family val="3"/>
            <charset val="134"/>
          </rPr>
          <t>lenovo:
面积核减3平米</t>
        </r>
      </text>
    </comment>
    <comment ref="C59" authorId="0">
      <text>
        <r>
          <rPr>
            <sz val="9"/>
            <rFont val="宋体"/>
            <family val="3"/>
            <charset val="134"/>
          </rPr>
          <t>lenovo:
2015.7.1做主体变更</t>
        </r>
      </text>
    </comment>
    <comment ref="C91" authorId="0">
      <text>
        <r>
          <rPr>
            <sz val="9"/>
            <rFont val="宋体"/>
            <family val="3"/>
            <charset val="134"/>
          </rPr>
          <t>lenovo:
2015.7.1做主体变更</t>
        </r>
      </text>
    </comment>
    <comment ref="C102" authorId="0">
      <text>
        <r>
          <rPr>
            <sz val="9"/>
            <rFont val="宋体"/>
            <family val="3"/>
            <charset val="134"/>
          </rPr>
          <t>lenovo:
2015.10.1品牌变更，原品牌为京霖木门</t>
        </r>
      </text>
    </comment>
    <comment ref="E159" authorId="0">
      <text>
        <r>
          <rPr>
            <sz val="9"/>
            <rFont val="宋体"/>
            <family val="3"/>
            <charset val="134"/>
          </rPr>
          <t xml:space="preserve">lenovo:
面积增加1.7
</t>
        </r>
      </text>
    </comment>
    <comment ref="C172" authorId="0">
      <text>
        <r>
          <rPr>
            <sz val="9"/>
            <rFont val="宋体"/>
            <family val="3"/>
            <charset val="134"/>
          </rPr>
          <t>lenovo:
2015.8.1主体变更</t>
        </r>
      </text>
    </comment>
    <comment ref="C195" authorId="0">
      <text>
        <r>
          <rPr>
            <sz val="9"/>
            <rFont val="宋体"/>
            <family val="3"/>
            <charset val="134"/>
          </rPr>
          <t>lenovo:
2015.8.1做主体变更</t>
        </r>
      </text>
    </comment>
    <comment ref="E211" authorId="0">
      <text>
        <r>
          <rPr>
            <sz val="9"/>
            <rFont val="宋体"/>
            <family val="3"/>
            <charset val="134"/>
          </rPr>
          <t>lenovo:
面积增加1.36</t>
        </r>
      </text>
    </comment>
    <comment ref="C254" authorId="0">
      <text>
        <r>
          <rPr>
            <sz val="9"/>
            <rFont val="宋体"/>
            <family val="3"/>
            <charset val="134"/>
          </rPr>
          <t>lenovo:
2015.8.1做品牌变更，原品牌为介仁</t>
        </r>
      </text>
    </comment>
    <comment ref="E255" authorId="0">
      <text>
        <r>
          <rPr>
            <sz val="9"/>
            <rFont val="宋体"/>
            <family val="3"/>
            <charset val="134"/>
          </rPr>
          <t xml:space="preserve">lenovo:
面积增加3.4
</t>
        </r>
      </text>
    </comment>
    <comment ref="C267" authorId="0">
      <text>
        <r>
          <rPr>
            <sz val="9"/>
            <rFont val="宋体"/>
            <family val="3"/>
            <charset val="134"/>
          </rPr>
          <t>lenovo:
2015.9.1主体变更</t>
        </r>
      </text>
    </comment>
    <comment ref="C294" authorId="1">
      <text>
        <r>
          <rPr>
            <sz val="9"/>
            <rFont val="宋体"/>
            <family val="3"/>
            <charset val="134"/>
          </rPr>
          <t xml:space="preserve">tian.jf:
只确认面积，年底统一确认收入
</t>
        </r>
      </text>
    </comment>
    <comment ref="C318" authorId="0">
      <text>
        <r>
          <rPr>
            <sz val="9"/>
            <rFont val="宋体"/>
            <family val="3"/>
            <charset val="134"/>
          </rPr>
          <t>lenovo:
2015.12.1主体变更</t>
        </r>
      </text>
    </comment>
    <comment ref="C343" authorId="0">
      <text>
        <r>
          <rPr>
            <sz val="9"/>
            <rFont val="宋体"/>
            <family val="3"/>
            <charset val="134"/>
          </rPr>
          <t>lenovo:
2015.9.1主体变更</t>
        </r>
      </text>
    </comment>
    <comment ref="C376" authorId="0">
      <text>
        <r>
          <rPr>
            <sz val="9"/>
            <rFont val="宋体"/>
            <family val="3"/>
            <charset val="134"/>
          </rPr>
          <t>lenovo:
2015.7.1做主体变更</t>
        </r>
      </text>
    </comment>
    <comment ref="E421" authorId="0">
      <text>
        <r>
          <rPr>
            <sz val="9"/>
            <rFont val="宋体"/>
            <family val="3"/>
            <charset val="134"/>
          </rPr>
          <t>lenovo:
面积核减14.1</t>
        </r>
      </text>
    </comment>
    <comment ref="C434" authorId="0">
      <text>
        <r>
          <rPr>
            <sz val="9"/>
            <rFont val="宋体"/>
            <family val="3"/>
            <charset val="134"/>
          </rPr>
          <t>lenovo:
2015.11.1品牌变更，原品牌为：源和</t>
        </r>
      </text>
    </comment>
    <comment ref="C488" authorId="0">
      <text>
        <r>
          <rPr>
            <sz val="9"/>
            <rFont val="宋体"/>
            <family val="3"/>
            <charset val="134"/>
          </rPr>
          <t>lenovo:
2015.7.1做主体变更</t>
        </r>
      </text>
    </comment>
    <comment ref="C489" authorId="0">
      <text>
        <r>
          <rPr>
            <sz val="9"/>
            <rFont val="宋体"/>
            <family val="3"/>
            <charset val="134"/>
          </rPr>
          <t>lenovo:
2016.4.2品牌变更，原品牌为欧神岛</t>
        </r>
      </text>
    </comment>
    <comment ref="C591" authorId="0">
      <text>
        <r>
          <rPr>
            <sz val="9"/>
            <rFont val="宋体"/>
            <family val="3"/>
            <charset val="134"/>
          </rPr>
          <t>lenovo:
2015.8.1主体变更</t>
        </r>
      </text>
    </comment>
    <comment ref="C634" authorId="0">
      <text>
        <r>
          <rPr>
            <sz val="9"/>
            <rFont val="宋体"/>
            <family val="3"/>
            <charset val="134"/>
          </rPr>
          <t>lenovo:
2015.7.1做主体变更</t>
        </r>
      </text>
    </comment>
    <comment ref="C642" authorId="0">
      <text>
        <r>
          <rPr>
            <sz val="9"/>
            <rFont val="宋体"/>
            <family val="3"/>
            <charset val="134"/>
          </rPr>
          <t>lenovo:
2015.8.1做主体变更</t>
        </r>
      </text>
    </comment>
    <comment ref="F652" authorId="1">
      <text>
        <r>
          <rPr>
            <sz val="9"/>
            <rFont val="宋体"/>
            <family val="3"/>
            <charset val="134"/>
          </rPr>
          <t xml:space="preserve">rhc
2014.5.27备注2013.4.1-2014.3.31
合同期，单价应为330元
</t>
        </r>
      </text>
    </comment>
    <comment ref="E722" authorId="0">
      <text>
        <r>
          <rPr>
            <sz val="9"/>
            <rFont val="宋体"/>
            <family val="3"/>
            <charset val="134"/>
          </rPr>
          <t>lenovo:
面积增加2.7</t>
        </r>
      </text>
    </comment>
    <comment ref="C740" authorId="0">
      <text>
        <r>
          <rPr>
            <sz val="9"/>
            <rFont val="宋体"/>
            <family val="3"/>
            <charset val="134"/>
          </rPr>
          <t>lenovo:
2015.8.1主体变更</t>
        </r>
      </text>
    </comment>
    <comment ref="C757" authorId="0">
      <text>
        <r>
          <rPr>
            <sz val="9"/>
            <rFont val="宋体"/>
            <family val="3"/>
            <charset val="134"/>
          </rPr>
          <t>lenovo:
2015.7.1做主体变更</t>
        </r>
      </text>
    </comment>
    <comment ref="C771" authorId="0">
      <text>
        <r>
          <rPr>
            <sz val="9"/>
            <rFont val="宋体"/>
            <family val="3"/>
            <charset val="134"/>
          </rPr>
          <t>lenovo:
2015.8.1做品牌变更，原品牌为友格，现为旭格</t>
        </r>
      </text>
    </comment>
    <comment ref="C783" authorId="0">
      <text>
        <r>
          <rPr>
            <sz val="9"/>
            <rFont val="宋体"/>
            <family val="3"/>
            <charset val="134"/>
          </rPr>
          <t>lenovo:
2015.7.1做主体变更</t>
        </r>
      </text>
    </comment>
    <comment ref="C829" authorId="0">
      <text>
        <r>
          <rPr>
            <sz val="9"/>
            <rFont val="宋体"/>
            <family val="3"/>
            <charset val="134"/>
          </rPr>
          <t>lenovo:
2015.7.1做主体变更</t>
        </r>
      </text>
    </comment>
    <comment ref="C835" authorId="0">
      <text>
        <r>
          <rPr>
            <sz val="9"/>
            <rFont val="宋体"/>
            <family val="3"/>
            <charset val="134"/>
          </rPr>
          <t>lenovo:
2015.8.1主体变更</t>
        </r>
      </text>
    </comment>
    <comment ref="C851" authorId="0">
      <text>
        <r>
          <rPr>
            <sz val="9"/>
            <rFont val="宋体"/>
            <family val="3"/>
            <charset val="134"/>
          </rPr>
          <t>lenovo:系统问题，合同自2016.1.27日重新做</t>
        </r>
      </text>
    </comment>
    <comment ref="C890" authorId="0">
      <text>
        <r>
          <rPr>
            <sz val="9"/>
            <rFont val="宋体"/>
            <family val="3"/>
            <charset val="134"/>
          </rPr>
          <t>lenovo:
2015.6.1做主体变更</t>
        </r>
      </text>
    </comment>
    <comment ref="C918" authorId="0">
      <text>
        <r>
          <rPr>
            <sz val="9"/>
            <rFont val="宋体"/>
            <family val="3"/>
            <charset val="134"/>
          </rPr>
          <t>lenovo:
2015.7.1做主体变更</t>
        </r>
      </text>
    </comment>
    <comment ref="C923" authorId="0">
      <text>
        <r>
          <rPr>
            <sz val="9"/>
            <rFont val="宋体"/>
            <family val="3"/>
            <charset val="134"/>
          </rPr>
          <t>lenovo:
2015.8.1主体变更</t>
        </r>
      </text>
    </comment>
    <comment ref="C933" authorId="0">
      <text>
        <r>
          <rPr>
            <sz val="9"/>
            <rFont val="宋体"/>
            <family val="3"/>
            <charset val="134"/>
          </rPr>
          <t>lenovo:
2015.8.1做品牌变更，原品牌为天东</t>
        </r>
      </text>
    </comment>
    <comment ref="C976" authorId="0">
      <text>
        <r>
          <rPr>
            <sz val="9"/>
            <rFont val="宋体"/>
            <family val="3"/>
            <charset val="134"/>
          </rPr>
          <t>lenovo:
2015.12.1品牌变更，原品牌为：广铝</t>
        </r>
      </text>
    </comment>
    <comment ref="E1012" authorId="0">
      <text>
        <r>
          <rPr>
            <sz val="9"/>
            <rFont val="宋体"/>
            <family val="3"/>
            <charset val="134"/>
          </rPr>
          <t xml:space="preserve">lenovo:
面积增加7.6
</t>
        </r>
      </text>
    </comment>
    <comment ref="E1033" authorId="0">
      <text>
        <r>
          <rPr>
            <sz val="9"/>
            <rFont val="宋体"/>
            <family val="3"/>
            <charset val="134"/>
          </rPr>
          <t>lenovo:
面积增加2.1</t>
        </r>
      </text>
    </comment>
    <comment ref="C1040" authorId="0">
      <text>
        <r>
          <rPr>
            <sz val="9"/>
            <rFont val="宋体"/>
            <family val="3"/>
            <charset val="134"/>
          </rPr>
          <t>lenovo:
2015.5.1做主体变更</t>
        </r>
      </text>
    </comment>
    <comment ref="C1046" authorId="0">
      <text>
        <r>
          <rPr>
            <sz val="9"/>
            <rFont val="宋体"/>
            <family val="3"/>
            <charset val="134"/>
          </rPr>
          <t>lenovo:
2015.11.1主体变更</t>
        </r>
      </text>
    </comment>
    <comment ref="E1051" authorId="0">
      <text>
        <r>
          <rPr>
            <sz val="9"/>
            <rFont val="宋体"/>
            <family val="3"/>
            <charset val="134"/>
          </rPr>
          <t>lenovo:
面积增加11.99</t>
        </r>
      </text>
    </comment>
    <comment ref="E1071" authorId="0">
      <text>
        <r>
          <rPr>
            <sz val="9"/>
            <rFont val="宋体"/>
            <family val="3"/>
            <charset val="134"/>
          </rPr>
          <t>lenovo:
面积增加1.3</t>
        </r>
      </text>
    </comment>
    <comment ref="C1094" authorId="0">
      <text>
        <r>
          <rPr>
            <sz val="9"/>
            <rFont val="宋体"/>
            <family val="3"/>
            <charset val="134"/>
          </rPr>
          <t>lenovo:
2015.5.1做主体变更</t>
        </r>
      </text>
    </comment>
    <comment ref="E1149" authorId="0">
      <text>
        <r>
          <rPr>
            <sz val="9"/>
            <rFont val="宋体"/>
            <family val="3"/>
            <charset val="134"/>
          </rPr>
          <t>lenovo:
合并通道，面积增加13.79</t>
        </r>
      </text>
    </comment>
    <comment ref="E1162" authorId="0">
      <text>
        <r>
          <rPr>
            <sz val="9"/>
            <rFont val="宋体"/>
            <family val="3"/>
            <charset val="134"/>
          </rPr>
          <t>lenovo:
面积增加2.6</t>
        </r>
      </text>
    </comment>
    <comment ref="C1220" authorId="0">
      <text>
        <r>
          <rPr>
            <sz val="9"/>
            <rFont val="宋体"/>
            <family val="3"/>
            <charset val="134"/>
          </rPr>
          <t>lenovo:
2016.6.1主体变更</t>
        </r>
      </text>
    </comment>
    <comment ref="C1259" authorId="0">
      <text>
        <r>
          <rPr>
            <sz val="9"/>
            <rFont val="宋体"/>
            <family val="3"/>
            <charset val="134"/>
          </rPr>
          <t>lenovo:
2015.6.1做主体变更</t>
        </r>
      </text>
    </comment>
    <comment ref="C1289" authorId="0">
      <text>
        <r>
          <rPr>
            <sz val="9"/>
            <rFont val="宋体"/>
            <family val="3"/>
            <charset val="134"/>
          </rPr>
          <t>lenovo:
2015.6.1做主体变更</t>
        </r>
      </text>
    </comment>
    <comment ref="C1290" authorId="0">
      <text>
        <r>
          <rPr>
            <sz val="9"/>
            <rFont val="宋体"/>
            <family val="3"/>
            <charset val="134"/>
          </rPr>
          <t>lenovo:
2016.5.1主体变更</t>
        </r>
      </text>
    </comment>
    <comment ref="E1290" authorId="0">
      <text>
        <r>
          <rPr>
            <sz val="9"/>
            <rFont val="宋体"/>
            <family val="3"/>
            <charset val="134"/>
          </rPr>
          <t xml:space="preserve">lenovo:
面积增加53.91
</t>
        </r>
      </text>
    </comment>
    <comment ref="C1308" authorId="0">
      <text>
        <r>
          <rPr>
            <sz val="9"/>
            <rFont val="宋体"/>
            <family val="3"/>
            <charset val="134"/>
          </rPr>
          <t>lenovo:
2015.6.1做主体变更</t>
        </r>
      </text>
    </comment>
    <comment ref="C1331" authorId="0">
      <text>
        <r>
          <rPr>
            <sz val="9"/>
            <rFont val="宋体"/>
            <family val="3"/>
            <charset val="134"/>
          </rPr>
          <t>lenovo:
2015.5.1做主体变更</t>
        </r>
      </text>
    </comment>
    <comment ref="C1345" authorId="0">
      <text>
        <r>
          <rPr>
            <sz val="9"/>
            <rFont val="宋体"/>
            <family val="3"/>
            <charset val="134"/>
          </rPr>
          <t>lenovo:
2015.6.1做品牌变更，原品牌为：本科</t>
        </r>
      </text>
    </comment>
    <comment ref="E1351" authorId="0">
      <text>
        <r>
          <rPr>
            <sz val="9"/>
            <rFont val="宋体"/>
            <family val="3"/>
            <charset val="134"/>
          </rPr>
          <t>lenovo:
申鹭达、鹰卫浴、巴弗合并重新测量，面积增加4.91</t>
        </r>
      </text>
    </comment>
    <comment ref="E1368" authorId="0">
      <text>
        <r>
          <rPr>
            <sz val="9"/>
            <rFont val="宋体"/>
            <family val="3"/>
            <charset val="134"/>
          </rPr>
          <t xml:space="preserve">英士利、 英皇、特陶合并，面积增加10.01 </t>
        </r>
      </text>
    </comment>
    <comment ref="C1376" authorId="0">
      <text>
        <r>
          <rPr>
            <sz val="9"/>
            <rFont val="宋体"/>
            <family val="3"/>
            <charset val="134"/>
          </rPr>
          <t>lenovo:
2015.11.1主体变更</t>
        </r>
      </text>
    </comment>
    <comment ref="E1377" authorId="0">
      <text>
        <r>
          <rPr>
            <sz val="9"/>
            <rFont val="宋体"/>
            <family val="3"/>
            <charset val="134"/>
          </rPr>
          <t>lenovo:优米、帅康合并，面积增加7.6</t>
        </r>
      </text>
    </comment>
    <comment ref="C1383" authorId="0">
      <text>
        <r>
          <rPr>
            <sz val="9"/>
            <rFont val="宋体"/>
            <family val="3"/>
            <charset val="134"/>
          </rPr>
          <t>lenovo:
2015.5.20做主体变更</t>
        </r>
      </text>
    </comment>
    <comment ref="C1434" authorId="0">
      <text>
        <r>
          <rPr>
            <sz val="9"/>
            <rFont val="宋体"/>
            <family val="3"/>
            <charset val="134"/>
          </rPr>
          <t>lenovo:
2016.1.1主体变更</t>
        </r>
      </text>
    </comment>
    <comment ref="C1440" authorId="0">
      <text>
        <r>
          <rPr>
            <sz val="9"/>
            <rFont val="宋体"/>
            <family val="3"/>
            <charset val="134"/>
          </rPr>
          <t>lenovo:
2015.5.1做主体变更</t>
        </r>
      </text>
    </comment>
    <comment ref="C1450" authorId="0">
      <text>
        <r>
          <rPr>
            <sz val="9"/>
            <rFont val="宋体"/>
            <family val="3"/>
            <charset val="134"/>
          </rPr>
          <t>lenovo:
2016.5.17主体变更</t>
        </r>
      </text>
    </comment>
    <comment ref="C1509" authorId="0">
      <text>
        <r>
          <rPr>
            <sz val="9"/>
            <rFont val="宋体"/>
            <family val="3"/>
            <charset val="134"/>
          </rPr>
          <t>lenovo:
2015.5.1做主体变更</t>
        </r>
      </text>
    </comment>
    <comment ref="C1563" authorId="0">
      <text>
        <r>
          <rPr>
            <sz val="9"/>
            <rFont val="宋体"/>
            <family val="3"/>
            <charset val="134"/>
          </rPr>
          <t>lenovo:
2015.9.1主体变更</t>
        </r>
      </text>
    </comment>
    <comment ref="C1573" authorId="0">
      <text>
        <r>
          <rPr>
            <sz val="9"/>
            <rFont val="宋体"/>
            <family val="3"/>
            <charset val="134"/>
          </rPr>
          <t>lenovo:
2015.5.1做品牌变更，原品牌为：威达</t>
        </r>
      </text>
    </comment>
    <comment ref="C1583" authorId="0">
      <text>
        <r>
          <rPr>
            <sz val="9"/>
            <rFont val="宋体"/>
            <family val="3"/>
            <charset val="134"/>
          </rPr>
          <t>lenovo:
2015.9.1主题变更</t>
        </r>
      </text>
    </comment>
    <comment ref="C1588" authorId="0">
      <text>
        <r>
          <rPr>
            <sz val="9"/>
            <rFont val="宋体"/>
            <family val="3"/>
            <charset val="134"/>
          </rPr>
          <t>lenovo:
2015.9.1做主体变更</t>
        </r>
      </text>
    </comment>
    <comment ref="C1597" authorId="0">
      <text>
        <r>
          <rPr>
            <sz val="9"/>
            <rFont val="宋体"/>
            <family val="3"/>
            <charset val="134"/>
          </rPr>
          <t>lenovo:
2015.6.1做主体变更</t>
        </r>
      </text>
    </comment>
    <comment ref="E1645" authorId="0">
      <text>
        <r>
          <rPr>
            <sz val="9"/>
            <rFont val="宋体"/>
            <family val="3"/>
            <charset val="134"/>
          </rPr>
          <t>lenovo:
面积增加1.11</t>
        </r>
      </text>
    </comment>
    <comment ref="C1651" authorId="0">
      <text>
        <r>
          <rPr>
            <sz val="9"/>
            <rFont val="宋体"/>
            <family val="3"/>
            <charset val="134"/>
          </rPr>
          <t>lenovo:
2016.5.21主体变更(系统问题）</t>
        </r>
      </text>
    </comment>
    <comment ref="C1681" authorId="0">
      <text>
        <r>
          <rPr>
            <sz val="9"/>
            <rFont val="宋体"/>
            <family val="3"/>
            <charset val="134"/>
          </rPr>
          <t>lenovo:
2015.12.1将其从B馆变回A馆，从新做合同</t>
        </r>
      </text>
    </comment>
    <comment ref="C1686" authorId="0">
      <text>
        <r>
          <rPr>
            <sz val="9"/>
            <rFont val="宋体"/>
            <family val="3"/>
            <charset val="134"/>
          </rPr>
          <t>lenovo:
2015.12.1将其从B馆变到A馆，重新做合同</t>
        </r>
      </text>
    </comment>
    <comment ref="E1687" authorId="0">
      <text>
        <r>
          <rPr>
            <sz val="9"/>
            <rFont val="宋体"/>
            <family val="3"/>
            <charset val="134"/>
          </rPr>
          <t>lenovo:
面积增加1.8  2016.4.1起</t>
        </r>
      </text>
    </comment>
    <comment ref="C1692" authorId="0">
      <text>
        <r>
          <rPr>
            <sz val="9"/>
            <rFont val="宋体"/>
            <family val="3"/>
            <charset val="134"/>
          </rPr>
          <t>lenovo:
2015.12.1将其从B馆变回A馆，从新做合同</t>
        </r>
      </text>
    </comment>
    <comment ref="C1697" authorId="1">
      <text>
        <r>
          <rPr>
            <sz val="9"/>
            <rFont val="宋体"/>
            <family val="3"/>
            <charset val="134"/>
          </rPr>
          <t>rhc:
华雷斯</t>
        </r>
      </text>
    </comment>
    <comment ref="C1769" authorId="0">
      <text>
        <r>
          <rPr>
            <sz val="9"/>
            <rFont val="宋体"/>
            <family val="3"/>
            <charset val="134"/>
          </rPr>
          <t>lenovo:
2015.6.1做主体变更</t>
        </r>
      </text>
    </comment>
    <comment ref="E1864" authorId="0">
      <text>
        <r>
          <rPr>
            <sz val="9"/>
            <rFont val="宋体"/>
            <family val="3"/>
            <charset val="134"/>
          </rPr>
          <t xml:space="preserve">lenovo:
吉朗、慕思剩余部分的和再加1.4
</t>
        </r>
      </text>
    </comment>
    <comment ref="E1894" authorId="0">
      <text>
        <r>
          <rPr>
            <sz val="9"/>
            <rFont val="宋体"/>
            <family val="3"/>
            <charset val="134"/>
          </rPr>
          <t>lenovo:
面积增加5.9</t>
        </r>
      </text>
    </comment>
    <comment ref="E1907" authorId="0">
      <text>
        <r>
          <rPr>
            <sz val="9"/>
            <rFont val="宋体"/>
            <family val="3"/>
            <charset val="134"/>
          </rPr>
          <t>lenovo:
面积增加196</t>
        </r>
      </text>
    </comment>
    <comment ref="C1920" authorId="0">
      <text>
        <r>
          <rPr>
            <sz val="9"/>
            <rFont val="宋体"/>
            <family val="3"/>
            <charset val="134"/>
          </rPr>
          <t>lenovo:
2016年1.1主体变更</t>
        </r>
      </text>
    </comment>
    <comment ref="E1941" authorId="0">
      <text>
        <r>
          <rPr>
            <sz val="9"/>
            <rFont val="宋体"/>
            <family val="3"/>
            <charset val="134"/>
          </rPr>
          <t xml:space="preserve">lenovo:
</t>
        </r>
      </text>
    </comment>
    <comment ref="E1949" authorId="0">
      <text>
        <r>
          <rPr>
            <sz val="9"/>
            <rFont val="宋体"/>
            <family val="3"/>
            <charset val="134"/>
          </rPr>
          <t>lenovo:
面积增加2</t>
        </r>
      </text>
    </comment>
    <comment ref="E1953" authorId="0">
      <text>
        <r>
          <rPr>
            <sz val="9"/>
            <rFont val="宋体"/>
            <family val="3"/>
            <charset val="134"/>
          </rPr>
          <t>lenovo:
面积增加2</t>
        </r>
      </text>
    </comment>
    <comment ref="E1965" authorId="0">
      <text>
        <r>
          <rPr>
            <sz val="9"/>
            <rFont val="宋体"/>
            <family val="3"/>
            <charset val="134"/>
          </rPr>
          <t>lenovo:
面积增加3.51</t>
        </r>
      </text>
    </comment>
    <comment ref="E1988" authorId="0">
      <text>
        <r>
          <rPr>
            <sz val="9"/>
            <rFont val="宋体"/>
            <family val="3"/>
            <charset val="134"/>
          </rPr>
          <t>lenovo:
面积增加2.5</t>
        </r>
      </text>
    </comment>
    <comment ref="C2015" authorId="0">
      <text>
        <r>
          <rPr>
            <sz val="9"/>
            <rFont val="宋体"/>
            <family val="3"/>
            <charset val="134"/>
          </rPr>
          <t>lenovo:
2016.6.1主体变更</t>
        </r>
      </text>
    </comment>
    <comment ref="E2047" authorId="0">
      <text>
        <r>
          <rPr>
            <sz val="9"/>
            <rFont val="宋体"/>
            <family val="3"/>
            <charset val="134"/>
          </rPr>
          <t>lenovo:
面积增加4.7</t>
        </r>
      </text>
    </comment>
    <comment ref="E2119" authorId="0">
      <text>
        <r>
          <rPr>
            <sz val="9"/>
            <rFont val="宋体"/>
            <family val="3"/>
            <charset val="134"/>
          </rPr>
          <t xml:space="preserve">lenovo:
面积增加0.8
</t>
        </r>
      </text>
    </comment>
    <comment ref="C2131" authorId="0">
      <text>
        <r>
          <rPr>
            <sz val="9"/>
            <rFont val="宋体"/>
            <family val="3"/>
            <charset val="134"/>
          </rPr>
          <t>lenovo:
2015-1-1做主体变更</t>
        </r>
      </text>
    </comment>
    <comment ref="E2143" authorId="0">
      <text>
        <r>
          <rPr>
            <sz val="9"/>
            <rFont val="宋体"/>
            <family val="3"/>
            <charset val="134"/>
          </rPr>
          <t xml:space="preserve">lenovo:
面积增加2.39
</t>
        </r>
      </text>
    </comment>
    <comment ref="E2155" authorId="0">
      <text>
        <r>
          <rPr>
            <sz val="9"/>
            <rFont val="宋体"/>
            <family val="3"/>
            <charset val="134"/>
          </rPr>
          <t>lenovo:
面积增加4.5</t>
        </r>
      </text>
    </comment>
    <comment ref="E2162" authorId="0">
      <text>
        <r>
          <rPr>
            <sz val="9"/>
            <rFont val="宋体"/>
            <family val="3"/>
            <charset val="134"/>
          </rPr>
          <t>lenovo:
重新测量面积增加4.9</t>
        </r>
      </text>
    </comment>
    <comment ref="C2177" authorId="0">
      <text>
        <r>
          <rPr>
            <sz val="9"/>
            <rFont val="宋体"/>
            <family val="3"/>
            <charset val="134"/>
          </rPr>
          <t>lenovo:
2015.2.1做品牌变更，原品牌为名佳红木</t>
        </r>
      </text>
    </comment>
    <comment ref="E2189" authorId="0">
      <text>
        <r>
          <rPr>
            <sz val="9"/>
            <rFont val="宋体"/>
            <family val="3"/>
            <charset val="134"/>
          </rPr>
          <t>lenovo:
面积增加2.91</t>
        </r>
      </text>
    </comment>
    <comment ref="E2208" authorId="0">
      <text>
        <r>
          <rPr>
            <sz val="9"/>
            <rFont val="宋体"/>
            <family val="3"/>
            <charset val="134"/>
          </rPr>
          <t xml:space="preserve">lenovo:
面积增加2.6
</t>
        </r>
      </text>
    </comment>
    <comment ref="E2215" authorId="0">
      <text>
        <r>
          <rPr>
            <sz val="9"/>
            <rFont val="宋体"/>
            <family val="3"/>
            <charset val="134"/>
          </rPr>
          <t>lenovo:
紫光拆分两块，面积增加27.76</t>
        </r>
      </text>
    </comment>
    <comment ref="E2237" authorId="0">
      <text>
        <r>
          <rPr>
            <sz val="9"/>
            <rFont val="宋体"/>
            <family val="3"/>
            <charset val="134"/>
          </rPr>
          <t>lenovo:
面积测量增加4.2</t>
        </r>
      </text>
    </comment>
    <comment ref="E2243" authorId="0">
      <text>
        <r>
          <rPr>
            <sz val="9"/>
            <rFont val="宋体"/>
            <family val="3"/>
            <charset val="134"/>
          </rPr>
          <t>lenovo:
重新测量，面积增加2.19</t>
        </r>
      </text>
    </comment>
    <comment ref="E2253" authorId="0">
      <text>
        <r>
          <rPr>
            <sz val="9"/>
            <rFont val="宋体"/>
            <family val="3"/>
            <charset val="134"/>
          </rPr>
          <t>lenovo:
面积增加5.2</t>
        </r>
      </text>
    </comment>
    <comment ref="E2263" authorId="0">
      <text>
        <r>
          <rPr>
            <sz val="9"/>
            <rFont val="宋体"/>
            <family val="3"/>
            <charset val="134"/>
          </rPr>
          <t>lenovo:
面积增加10.3</t>
        </r>
      </text>
    </comment>
    <comment ref="E2274" authorId="0">
      <text>
        <r>
          <rPr>
            <sz val="9"/>
            <rFont val="宋体"/>
            <family val="3"/>
            <charset val="134"/>
          </rPr>
          <t>lenovo:
面积增加7.9</t>
        </r>
      </text>
    </comment>
    <comment ref="E2299" authorId="0">
      <text>
        <r>
          <rPr>
            <sz val="9"/>
            <rFont val="宋体"/>
            <family val="3"/>
            <charset val="134"/>
          </rPr>
          <t>lenovo:
面积增加1.5</t>
        </r>
      </text>
    </comment>
    <comment ref="F2313" authorId="2">
      <text>
        <r>
          <rPr>
            <sz val="9"/>
            <rFont val="宋体"/>
            <family val="3"/>
            <charset val="134"/>
          </rPr>
          <t xml:space="preserve">20块租金优惠
</t>
        </r>
      </text>
    </comment>
    <comment ref="C2329" authorId="0">
      <text>
        <r>
          <rPr>
            <sz val="9"/>
            <rFont val="宋体"/>
            <family val="3"/>
            <charset val="134"/>
          </rPr>
          <t>lenovo:
东方弘叶</t>
        </r>
      </text>
    </comment>
    <comment ref="E2337" authorId="0">
      <text>
        <r>
          <rPr>
            <sz val="9"/>
            <rFont val="宋体"/>
            <family val="3"/>
            <charset val="134"/>
          </rPr>
          <t xml:space="preserve">lenovo:
面积增加2.4
</t>
        </r>
      </text>
    </comment>
    <comment ref="C2347" authorId="0">
      <text>
        <r>
          <rPr>
            <sz val="9"/>
            <rFont val="宋体"/>
            <family val="3"/>
            <charset val="134"/>
          </rPr>
          <t>lenovo:
2015-1-1进行主体变更</t>
        </r>
      </text>
    </comment>
    <comment ref="C2401" authorId="0">
      <text>
        <r>
          <rPr>
            <sz val="9"/>
            <rFont val="宋体"/>
            <family val="3"/>
            <charset val="134"/>
          </rPr>
          <t>lenovo:
京瓷</t>
        </r>
      </text>
    </comment>
    <comment ref="C2404" authorId="0">
      <text>
        <r>
          <rPr>
            <sz val="9"/>
            <rFont val="宋体"/>
            <family val="3"/>
            <charset val="134"/>
          </rPr>
          <t>lenovo:
2015.7.1做品牌变更，原品牌为：皇家鼎间</t>
        </r>
      </text>
    </comment>
    <comment ref="C2458" authorId="0">
      <text>
        <r>
          <rPr>
            <sz val="9"/>
            <rFont val="宋体"/>
            <family val="3"/>
            <charset val="134"/>
          </rPr>
          <t>lenovo:
2016.1.1品牌变更，原品牌为：典派</t>
        </r>
      </text>
    </comment>
    <comment ref="E2459" authorId="0">
      <text>
        <r>
          <rPr>
            <sz val="9"/>
            <rFont val="宋体"/>
            <family val="3"/>
            <charset val="134"/>
          </rPr>
          <t>lenovo:
面积增加11.2</t>
        </r>
      </text>
    </comment>
    <comment ref="C2489" authorId="0">
      <text>
        <r>
          <rPr>
            <sz val="9"/>
            <rFont val="宋体"/>
            <family val="3"/>
            <charset val="134"/>
          </rPr>
          <t>lenovo:
2015.11.1主体变更</t>
        </r>
      </text>
    </comment>
    <comment ref="C2500" authorId="0">
      <text>
        <r>
          <rPr>
            <sz val="9"/>
            <rFont val="宋体"/>
            <family val="3"/>
            <charset val="134"/>
          </rPr>
          <t>lenovo:
非同</t>
        </r>
      </text>
    </comment>
    <comment ref="E2522" authorId="0">
      <text>
        <r>
          <rPr>
            <sz val="9"/>
            <rFont val="宋体"/>
            <family val="3"/>
            <charset val="134"/>
          </rPr>
          <t>lenovo:
重新测量后面积增加0.85</t>
        </r>
      </text>
    </comment>
    <comment ref="E2527" authorId="0">
      <text>
        <r>
          <rPr>
            <sz val="9"/>
            <rFont val="宋体"/>
            <family val="3"/>
            <charset val="134"/>
          </rPr>
          <t>lenovo:
面积增加2.2</t>
        </r>
      </text>
    </comment>
    <comment ref="E2543" authorId="0">
      <text>
        <r>
          <rPr>
            <sz val="9"/>
            <rFont val="宋体"/>
            <family val="3"/>
            <charset val="134"/>
          </rPr>
          <t>lenovo:
面积增加4平米</t>
        </r>
      </text>
    </comment>
    <comment ref="C2558" authorId="0">
      <text>
        <r>
          <rPr>
            <sz val="9"/>
            <rFont val="宋体"/>
            <family val="3"/>
            <charset val="134"/>
          </rPr>
          <t>lenovo:
2015-2-1品牌变更
三柏木坊</t>
        </r>
      </text>
    </comment>
    <comment ref="E2575" authorId="0">
      <text>
        <r>
          <rPr>
            <sz val="9"/>
            <rFont val="宋体"/>
            <family val="3"/>
            <charset val="134"/>
          </rPr>
          <t>lenovo:
面积增加2.7</t>
        </r>
      </text>
    </comment>
    <comment ref="E2578" authorId="0">
      <text>
        <r>
          <rPr>
            <sz val="9"/>
            <rFont val="宋体"/>
            <family val="3"/>
            <charset val="134"/>
          </rPr>
          <t>lenovo:
面积增加36.8</t>
        </r>
      </text>
    </comment>
    <comment ref="C2585" authorId="0">
      <text>
        <r>
          <rPr>
            <sz val="9"/>
            <rFont val="宋体"/>
            <family val="3"/>
            <charset val="134"/>
          </rPr>
          <t>lenovo:
2015.10.16品牌变更，原品牌为艾尚</t>
        </r>
      </text>
    </comment>
    <comment ref="E2621" authorId="0">
      <text>
        <r>
          <rPr>
            <sz val="9"/>
            <rFont val="宋体"/>
            <family val="3"/>
            <charset val="134"/>
          </rPr>
          <t>lenovo:
面积增加3.47</t>
        </r>
      </text>
    </comment>
    <comment ref="E2656" authorId="0">
      <text>
        <r>
          <rPr>
            <sz val="9"/>
            <rFont val="宋体"/>
            <family val="3"/>
            <charset val="134"/>
          </rPr>
          <t>lenovo:
面积增加44</t>
        </r>
      </text>
    </comment>
    <comment ref="C2661" authorId="0">
      <text>
        <r>
          <rPr>
            <sz val="9"/>
            <rFont val="宋体"/>
            <family val="3"/>
            <charset val="134"/>
          </rPr>
          <t>lenovo:
2015-2-1做主体变更</t>
        </r>
      </text>
    </comment>
    <comment ref="E2663" authorId="0">
      <text>
        <r>
          <rPr>
            <sz val="9"/>
            <rFont val="宋体"/>
            <family val="3"/>
            <charset val="134"/>
          </rPr>
          <t>lenovo:
面积增加1.99</t>
        </r>
      </text>
    </comment>
    <comment ref="E2685" authorId="0">
      <text>
        <r>
          <rPr>
            <sz val="9"/>
            <rFont val="宋体"/>
            <family val="3"/>
            <charset val="134"/>
          </rPr>
          <t xml:space="preserve">lenovo:
面积增加1.9
</t>
        </r>
      </text>
    </comment>
    <comment ref="C2692" authorId="0">
      <text>
        <r>
          <rPr>
            <sz val="9"/>
            <rFont val="宋体"/>
            <family val="3"/>
            <charset val="134"/>
          </rPr>
          <t>lenovo:
耐特利尔</t>
        </r>
      </text>
    </comment>
    <comment ref="E2704" authorId="0">
      <text>
        <r>
          <rPr>
            <sz val="9"/>
            <rFont val="宋体"/>
            <family val="3"/>
            <charset val="134"/>
          </rPr>
          <t>lenovo:
面积增加6.1</t>
        </r>
      </text>
    </comment>
    <comment ref="E2717" authorId="0">
      <text>
        <r>
          <rPr>
            <sz val="9"/>
            <rFont val="宋体"/>
            <family val="3"/>
            <charset val="134"/>
          </rPr>
          <t>lenovo:
面积增加59.6</t>
        </r>
      </text>
    </comment>
    <comment ref="C2725" authorId="0">
      <text>
        <r>
          <rPr>
            <sz val="9"/>
            <rFont val="宋体"/>
            <family val="3"/>
            <charset val="134"/>
          </rPr>
          <t>lenovo:
2015-1-1进行主体变更</t>
        </r>
      </text>
    </comment>
    <comment ref="C2744" authorId="0">
      <text>
        <r>
          <rPr>
            <sz val="9"/>
            <rFont val="宋体"/>
            <family val="3"/>
            <charset val="134"/>
          </rPr>
          <t>lenovo:
2015.11.1主体变更</t>
        </r>
      </text>
    </comment>
    <comment ref="E2800" authorId="0">
      <text>
        <r>
          <rPr>
            <sz val="9"/>
            <rFont val="宋体"/>
            <family val="3"/>
            <charset val="134"/>
          </rPr>
          <t>lenovo:
面积增加2.9</t>
        </r>
      </text>
    </comment>
    <comment ref="E2805" authorId="0">
      <text>
        <r>
          <rPr>
            <sz val="9"/>
            <rFont val="宋体"/>
            <family val="3"/>
            <charset val="134"/>
          </rPr>
          <t>lenovo:
面积增加2.91</t>
        </r>
      </text>
    </comment>
    <comment ref="E2812" authorId="0">
      <text>
        <r>
          <rPr>
            <sz val="9"/>
            <rFont val="宋体"/>
            <family val="3"/>
            <charset val="134"/>
          </rPr>
          <t xml:space="preserve">lenovo:
面积增加2.3
</t>
        </r>
      </text>
    </comment>
    <comment ref="E2821" authorId="0">
      <text>
        <r>
          <rPr>
            <sz val="9"/>
            <rFont val="宋体"/>
            <family val="3"/>
            <charset val="134"/>
          </rPr>
          <t>lenovo:
面积增加2.6</t>
        </r>
      </text>
    </comment>
    <comment ref="C2833" authorId="0">
      <text>
        <r>
          <rPr>
            <sz val="9"/>
            <rFont val="宋体"/>
            <family val="3"/>
            <charset val="134"/>
          </rPr>
          <t>lenovo:
2016.5.1主体变更</t>
        </r>
      </text>
    </comment>
    <comment ref="E2904" authorId="0">
      <text>
        <r>
          <rPr>
            <sz val="9"/>
            <rFont val="宋体"/>
            <family val="3"/>
            <charset val="134"/>
          </rPr>
          <t>lenovo:
面积增加20</t>
        </r>
      </text>
    </comment>
    <comment ref="E2911" authorId="0">
      <text>
        <r>
          <rPr>
            <sz val="9"/>
            <rFont val="宋体"/>
            <family val="3"/>
            <charset val="134"/>
          </rPr>
          <t>lenovo:
面积增加8.5</t>
        </r>
      </text>
    </comment>
    <comment ref="F2926" authorId="0">
      <text>
        <r>
          <rPr>
            <sz val="9"/>
            <rFont val="宋体"/>
            <family val="3"/>
            <charset val="134"/>
          </rPr>
          <t xml:space="preserve">lenovo:
</t>
        </r>
      </text>
    </comment>
    <comment ref="C2935" authorId="0">
      <text>
        <r>
          <rPr>
            <sz val="9"/>
            <rFont val="宋体"/>
            <family val="3"/>
            <charset val="134"/>
          </rPr>
          <t>lenovo:
2016.1.1主体变更</t>
        </r>
      </text>
    </comment>
    <comment ref="C2937" authorId="0">
      <text>
        <r>
          <rPr>
            <sz val="9"/>
            <rFont val="宋体"/>
            <family val="3"/>
            <charset val="134"/>
          </rPr>
          <t>lenovo:
2016.5.1主体变更</t>
        </r>
      </text>
    </comment>
    <comment ref="C2994" authorId="0">
      <text>
        <r>
          <rPr>
            <sz val="9"/>
            <rFont val="宋体"/>
            <family val="3"/>
            <charset val="134"/>
          </rPr>
          <t>lenovo:
2015.11.1主体变更</t>
        </r>
      </text>
    </comment>
    <comment ref="I3116" authorId="0">
      <text>
        <r>
          <rPr>
            <sz val="9"/>
            <rFont val="宋体"/>
            <family val="3"/>
            <charset val="134"/>
          </rPr>
          <t xml:space="preserve">lenovo:
做到2017.4.30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<sst xmlns="http://schemas.openxmlformats.org/spreadsheetml/2006/main" count="18359" uniqueCount="5248">
  <si>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</si>
  <si>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</si>
  <si>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</si>
  <si>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</si>
  <si>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</si>
  <si>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</si>
  <si>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</si>
  <si>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</si>
  <si>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</si>
  <si>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</si>
  <si>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</si>
  <si>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</si>
  <si>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</si>
  <si>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</si>
  <si>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</si>
  <si>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</si>
  <si>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</si>
  <si>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</si>
  <si>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</si>
  <si>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</si>
  <si>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</si>
  <si>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</si>
  <si>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</si>
  <si>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</si>
  <si>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</si>
  <si>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</si>
  <si>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</si>
  <si>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</si>
  <si>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</si>
  <si>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</si>
  <si>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</si>
  <si>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</si>
  <si>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</si>
  <si>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</si>
  <si>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</si>
  <si>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</si>
  <si>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</si>
  <si>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</si>
  <si>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</si>
  <si>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</si>
  <si>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</si>
  <si>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</si>
  <si>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</si>
  <si>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</si>
  <si>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</si>
  <si>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</si>
  <si>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</si>
  <si>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</si>
  <si>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</si>
  <si>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</si>
  <si>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</si>
  <si>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</si>
  <si>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</si>
  <si>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</si>
  <si>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</si>
  <si>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</si>
  <si>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</si>
  <si>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</si>
  <si>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</si>
  <si>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</si>
  <si>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</si>
  <si>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</si>
  <si>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</si>
  <si>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</si>
  <si>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</si>
  <si>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</si>
  <si>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</si>
  <si>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</si>
  <si>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</si>
  <si>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</si>
  <si>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</si>
  <si>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</si>
  <si>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</si>
  <si>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</si>
  <si>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</si>
  <si>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</si>
  <si>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</si>
  <si>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</si>
  <si>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</si>
  <si>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</si>
  <si>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</si>
  <si>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</si>
  <si>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</si>
  <si>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</si>
  <si>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</si>
  <si>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</si>
  <si>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</si>
  <si>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</si>
  <si>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</si>
  <si>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</si>
  <si>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</si>
  <si>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</si>
  <si>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</si>
  <si>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</si>
  <si>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</si>
  <si>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</si>
  <si>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</si>
  <si>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</si>
  <si>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</si>
  <si>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</si>
  <si>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</si>
  <si>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</si>
  <si>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</si>
  <si>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</si>
  <si>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</si>
  <si>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</si>
  <si>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</si>
  <si>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</si>
  <si>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</si>
  <si>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</si>
  <si>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</si>
  <si>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</si>
  <si>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</si>
  <si>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</si>
  <si>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</si>
  <si>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</si>
  <si>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</si>
  <si>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</si>
  <si>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</si>
  <si>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</si>
  <si>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</si>
  <si>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</si>
  <si>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</si>
  <si>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</si>
  <si>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</si>
  <si>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</si>
  <si>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</si>
  <si>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</si>
  <si>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</si>
  <si>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</si>
  <si>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</si>
  <si>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</si>
  <si>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</si>
  <si>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</si>
  <si>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</si>
  <si>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</si>
  <si>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</si>
  <si>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</si>
  <si>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</si>
  <si>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</si>
  <si>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</si>
  <si>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</si>
  <si>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</si>
  <si>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</si>
  <si>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</si>
  <si>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</si>
  <si>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</si>
  <si>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</si>
  <si>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</si>
  <si>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</si>
  <si>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</si>
  <si>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</si>
  <si>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</si>
  <si>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</si>
  <si>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</si>
  <si>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</si>
  <si>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</si>
  <si>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</si>
  <si>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</si>
  <si>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</si>
  <si>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</si>
  <si>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</si>
  <si>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</si>
  <si>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</si>
  <si>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</si>
  <si>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</si>
  <si>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</si>
  <si>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</si>
  <si>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</si>
  <si>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</si>
  <si>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</si>
  <si>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</si>
  <si>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</si>
  <si>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</si>
  <si>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</si>
  <si>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</si>
  <si>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</si>
  <si>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</si>
  <si>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</si>
  <si>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</si>
  <si>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</si>
  <si>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</si>
  <si>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</si>
  <si>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</si>
  <si>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</si>
  <si>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</si>
  <si>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</si>
  <si>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</si>
  <si>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</si>
  <si>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</si>
  <si>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</si>
  <si>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</si>
  <si>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</si>
  <si>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</si>
  <si>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</si>
  <si>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</si>
  <si>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</si>
  <si>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</si>
  <si>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</si>
  <si>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</si>
  <si>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</si>
  <si>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</si>
  <si>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</si>
  <si>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</si>
  <si>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</si>
  <si>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</si>
  <si>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</si>
  <si>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</si>
  <si>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</si>
  <si>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</si>
  <si>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</si>
  <si>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</si>
  <si>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</si>
  <si>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</si>
  <si>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</si>
  <si>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</si>
  <si>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</si>
  <si>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</si>
  <si>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</si>
  <si>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</si>
  <si>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</si>
  <si>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</si>
  <si>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</si>
  <si>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</si>
  <si>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</si>
  <si>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</si>
  <si>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</si>
  <si>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</si>
  <si>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</si>
  <si>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</si>
  <si>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</si>
  <si>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</si>
  <si>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</si>
  <si>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</si>
  <si>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</si>
  <si>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</si>
  <si>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</si>
  <si>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</si>
  <si>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</si>
  <si>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</si>
  <si>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</si>
  <si>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</si>
  <si>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</si>
  <si>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</si>
  <si>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</si>
  <si>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</si>
  <si>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</si>
  <si>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</si>
  <si>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</si>
  <si>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</si>
  <si>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</si>
  <si>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</si>
  <si>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</si>
  <si>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</si>
  <si>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</si>
  <si>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</si>
  <si>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</si>
  <si>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</si>
  <si>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</si>
  <si>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</si>
  <si>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</si>
  <si>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</si>
  <si>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</si>
  <si>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</si>
  <si>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</si>
  <si>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</si>
  <si>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</si>
  <si>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</si>
  <si>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</si>
  <si>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</si>
  <si>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</si>
  <si>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</si>
  <si>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</si>
  <si>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</si>
  <si>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</si>
  <si>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</si>
  <si>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</si>
  <si>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</si>
  <si>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</si>
  <si>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</si>
  <si>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</si>
  <si>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</si>
  <si>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</si>
  <si>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</si>
  <si>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</si>
  <si>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</si>
  <si>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</si>
  <si>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</si>
  <si>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</si>
  <si>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</si>
  <si>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</si>
  <si>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</si>
  <si>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</si>
  <si>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</si>
  <si>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</si>
  <si>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</si>
  <si>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</si>
  <si>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</si>
  <si>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</si>
  <si>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</si>
  <si>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</si>
  <si>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</si>
  <si>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</si>
  <si>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</si>
  <si>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</si>
  <si>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</si>
  <si>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</si>
  <si>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</si>
  <si>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</si>
  <si>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</si>
  <si>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</si>
  <si>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</si>
  <si>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</si>
  <si>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</si>
  <si>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</si>
  <si>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</si>
  <si>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</si>
  <si>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</si>
  <si>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</si>
  <si>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</si>
  <si>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</si>
  <si>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</si>
  <si>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</si>
  <si>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</si>
  <si>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</si>
  <si>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</si>
  <si>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</si>
  <si>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</si>
  <si>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</si>
  <si>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</si>
  <si>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</si>
  <si>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</si>
  <si>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</si>
  <si>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</si>
  <si>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</si>
  <si>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</si>
  <si>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</si>
  <si>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</si>
  <si>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</si>
  <si>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</si>
  <si>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</si>
  <si>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</si>
  <si>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</si>
  <si>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</si>
  <si>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</si>
  <si>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</si>
  <si>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</si>
  <si>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</si>
  <si>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</si>
  <si>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</si>
  <si>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</si>
  <si>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</si>
  <si>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</si>
  <si>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</si>
  <si>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</si>
  <si>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</si>
  <si>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</si>
  <si>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</si>
  <si>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</si>
  <si>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</si>
  <si>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</si>
  <si>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</si>
  <si>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</si>
  <si>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</si>
  <si>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</si>
  <si>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</si>
  <si>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</si>
  <si>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</si>
  <si>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</si>
  <si>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</si>
  <si>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</si>
  <si>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</si>
  <si>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</si>
  <si>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</si>
  <si>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</si>
  <si>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</si>
  <si>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</si>
  <si>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</si>
  <si>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</si>
  <si>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</si>
  <si>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</si>
  <si>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</si>
  <si>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</si>
  <si>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</si>
  <si>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</si>
  <si>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</si>
  <si>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</si>
  <si>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</si>
  <si>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</si>
  <si>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</si>
  <si>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</si>
  <si>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</si>
  <si>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</si>
  <si>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</si>
  <si>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</si>
  <si>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</si>
  <si>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</si>
  <si>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</si>
  <si>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</si>
  <si>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</si>
  <si>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</si>
  <si>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</si>
  <si>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</si>
  <si>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</si>
  <si>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</si>
  <si>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</si>
  <si>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</si>
  <si>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</si>
  <si>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</si>
  <si>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</si>
  <si>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</si>
  <si>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</si>
  <si>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</si>
  <si>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</si>
  <si>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</si>
  <si>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</si>
  <si>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</si>
  <si>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</si>
  <si>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</si>
  <si>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</si>
  <si>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</si>
  <si>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</si>
  <si>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</si>
  <si>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</si>
  <si>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</si>
  <si>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</si>
  <si>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</si>
  <si>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</si>
  <si>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</si>
  <si>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</si>
  <si>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</si>
  <si>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</si>
  <si>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</si>
  <si>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</si>
  <si>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</si>
  <si>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</si>
  <si>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</si>
  <si>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</si>
  <si>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</si>
  <si>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</si>
  <si>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</si>
  <si>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</si>
  <si>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</si>
  <si>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</si>
  <si>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</si>
  <si>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</si>
  <si>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</si>
  <si>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</si>
  <si>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</si>
  <si>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</si>
  <si>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</si>
  <si>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</si>
  <si>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</si>
  <si>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</si>
  <si>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</si>
  <si>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</si>
  <si>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</si>
  <si>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</si>
  <si>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</si>
  <si>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</si>
  <si>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</si>
  <si>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</si>
  <si>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</si>
  <si>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</si>
  <si>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</si>
  <si>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</si>
  <si>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</si>
  <si>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</si>
  <si>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</si>
  <si>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</si>
  <si>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</si>
  <si>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</si>
  <si>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</si>
  <si>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</si>
  <si>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</si>
  <si>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</si>
  <si>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</si>
  <si>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</si>
  <si>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</si>
  <si>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</si>
  <si>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</si>
  <si>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</si>
  <si>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</si>
  <si>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</si>
  <si>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</si>
  <si>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</si>
  <si>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</si>
  <si>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</si>
  <si>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</si>
  <si>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</si>
  <si>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</si>
  <si>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</si>
  <si>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</si>
  <si>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</si>
  <si>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</si>
  <si>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</si>
  <si>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</si>
  <si>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</si>
  <si>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</si>
  <si>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</si>
  <si>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</si>
  <si>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</si>
  <si>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</si>
  <si>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</si>
  <si>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</si>
  <si>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</si>
  <si>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</si>
  <si>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</si>
  <si>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</si>
  <si>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</si>
  <si>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</si>
  <si>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</si>
  <si>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</si>
  <si>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</si>
  <si>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</si>
  <si>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</si>
  <si>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</si>
  <si>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</si>
  <si>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</si>
  <si>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</si>
  <si>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</si>
  <si>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</si>
  <si>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</si>
  <si>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</si>
  <si>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</si>
  <si>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</si>
  <si>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</si>
  <si>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</si>
  <si>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</si>
  <si>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</si>
  <si>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</si>
  <si>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</si>
  <si>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</si>
  <si>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</si>
  <si>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</si>
  <si>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</si>
  <si>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</si>
  <si>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</si>
  <si>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</si>
  <si>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</si>
  <si>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</si>
  <si>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</si>
  <si>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</si>
  <si>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</si>
  <si>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</si>
  <si>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</si>
  <si>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</si>
  <si>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</si>
  <si>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</si>
  <si>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</si>
  <si>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</si>
  <si>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</si>
  <si>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</si>
  <si>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</si>
  <si>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</si>
  <si>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</si>
  <si>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</si>
  <si>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</si>
  <si>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</si>
  <si>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</si>
  <si>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</si>
  <si>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</si>
  <si>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</si>
  <si>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</si>
  <si>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</si>
  <si>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</si>
  <si>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</si>
  <si>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</si>
  <si>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</si>
  <si>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</si>
  <si>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</si>
  <si>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</si>
  <si>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</si>
  <si>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</si>
  <si>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</si>
  <si>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</si>
  <si>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</si>
  <si>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</si>
  <si>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</si>
  <si>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</si>
  <si>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</si>
  <si>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</si>
  <si>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</si>
  <si>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</si>
  <si>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</si>
  <si>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</si>
  <si>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</si>
  <si>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</si>
  <si>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</si>
  <si>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</si>
  <si>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</si>
  <si>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</si>
  <si>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</si>
  <si>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</si>
  <si>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</si>
  <si>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</si>
  <si>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</si>
  <si>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</si>
  <si>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</si>
  <si>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</si>
  <si>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</si>
  <si>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</si>
  <si>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</si>
  <si>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</si>
  <si>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</si>
  <si>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</si>
  <si>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</si>
  <si>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</si>
  <si>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</si>
  <si>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</si>
  <si>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</si>
  <si>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</si>
  <si>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</si>
  <si>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</si>
  <si>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</si>
  <si>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</si>
  <si>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</si>
  <si>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</si>
  <si>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</si>
  <si>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</si>
  <si>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</si>
  <si>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</si>
  <si>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</si>
  <si>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</si>
  <si>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</si>
  <si>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</si>
  <si>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</si>
  <si>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</si>
  <si>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</si>
  <si>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</si>
  <si>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</si>
  <si>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</si>
  <si>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</si>
  <si>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</si>
  <si>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</si>
  <si>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</si>
  <si>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</si>
  <si>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</si>
  <si>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</si>
  <si>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</si>
  <si>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</si>
  <si>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</si>
  <si>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</si>
  <si>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</si>
  <si>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</si>
  <si>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</si>
  <si>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</si>
  <si>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</si>
  <si>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</si>
  <si>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</si>
  <si>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</si>
  <si>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</si>
  <si>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</si>
  <si>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</si>
  <si>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</si>
  <si>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</si>
  <si>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</si>
  <si>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</si>
  <si>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</si>
  <si>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</si>
  <si>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</si>
  <si>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</si>
  <si>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</si>
  <si>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</si>
  <si>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</si>
  <si>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</si>
  <si>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</si>
  <si>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</si>
  <si>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</si>
  <si>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</si>
  <si>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</si>
  <si>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</si>
  <si>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</si>
  <si>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</si>
  <si>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</si>
  <si>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</si>
  <si>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</si>
  <si>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</si>
  <si>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</si>
  <si>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</si>
  <si>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</si>
  <si>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</si>
  <si>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</si>
  <si>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</si>
  <si>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</si>
  <si>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</si>
  <si>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</si>
  <si>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</si>
  <si>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</si>
  <si>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</si>
  <si>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</si>
  <si>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</si>
  <si>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</si>
  <si>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</si>
  <si>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</si>
  <si>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</si>
  <si>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</si>
  <si>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</si>
  <si>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</si>
  <si>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</si>
  <si>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</si>
  <si>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</si>
  <si>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</si>
  <si>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</si>
  <si>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</si>
  <si>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</si>
  <si>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</si>
  <si>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</si>
  <si>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</si>
  <si>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</si>
  <si>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</si>
  <si>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</si>
  <si>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</si>
  <si>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</si>
  <si>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</si>
  <si>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</si>
  <si>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</si>
  <si>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</si>
  <si>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</si>
  <si>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</si>
  <si>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</si>
  <si>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</si>
  <si>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</si>
  <si>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</si>
  <si>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</si>
  <si>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</si>
  <si>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</si>
  <si>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</si>
  <si>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</si>
  <si>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</si>
  <si>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</si>
  <si>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</si>
  <si>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</si>
  <si>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</si>
  <si>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</si>
  <si>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</si>
  <si>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</si>
  <si>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</si>
  <si>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</si>
  <si>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</si>
  <si>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</si>
  <si>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</si>
  <si>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</si>
  <si>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</si>
  <si>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</si>
  <si>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</si>
  <si>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</si>
  <si>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</si>
  <si>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</si>
  <si>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</si>
  <si>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</si>
  <si>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</si>
  <si>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</si>
  <si>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</si>
  <si>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</si>
  <si>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</si>
  <si>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</si>
  <si>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</si>
  <si>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</si>
  <si>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</si>
  <si>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</si>
  <si>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</si>
  <si>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</si>
  <si>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</si>
  <si>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</si>
  <si>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</si>
  <si>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</si>
  <si>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</si>
  <si>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</si>
  <si>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</si>
  <si>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</si>
  <si>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</si>
  <si>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</si>
  <si>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</si>
  <si>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</si>
  <si>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</si>
  <si>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</si>
  <si>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</si>
  <si>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</si>
  <si>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</si>
  <si>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</si>
  <si>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</si>
  <si>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</si>
  <si>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</si>
  <si>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</si>
  <si>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</si>
  <si>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</si>
  <si>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</si>
  <si>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</si>
  <si>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</si>
  <si>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</si>
  <si>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</si>
  <si>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</si>
  <si>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</si>
  <si>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</si>
  <si>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</si>
  <si>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</si>
  <si>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</si>
  <si>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</si>
  <si>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</si>
  <si>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</si>
  <si>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</si>
  <si>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</si>
  <si>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</si>
  <si>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</si>
  <si>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</si>
  <si>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</si>
  <si>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</si>
  <si>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</si>
  <si>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</si>
  <si>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</si>
  <si>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</si>
  <si>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</si>
  <si>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</si>
  <si>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</si>
  <si>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</si>
  <si>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</si>
  <si>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</si>
  <si>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</si>
  <si>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</si>
  <si>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</si>
  <si>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</si>
  <si>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</si>
  <si>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</si>
  <si>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</si>
  <si>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</si>
  <si>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</si>
  <si>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</si>
  <si>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</si>
  <si>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</si>
  <si>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</si>
  <si>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</si>
  <si>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</si>
  <si>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</si>
  <si>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</si>
  <si>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</si>
  <si>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</si>
  <si>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</si>
  <si>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</si>
  <si>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</si>
  <si>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</si>
  <si>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</si>
  <si>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</si>
  <si>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</si>
  <si>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</si>
  <si>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</si>
  <si>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</si>
  <si>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</si>
  <si>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</si>
  <si>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</si>
  <si>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</si>
  <si>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</si>
  <si>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</si>
  <si>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</si>
  <si>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</si>
  <si>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</si>
  <si>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</si>
  <si>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</si>
  <si>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</si>
  <si>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</si>
  <si>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</si>
  <si>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</si>
  <si>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</si>
  <si>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</si>
  <si>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</si>
  <si>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</si>
  <si>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</si>
  <si>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</si>
  <si>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</si>
  <si>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</si>
  <si>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</si>
  <si>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</si>
  <si>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</si>
  <si>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</si>
  <si>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</si>
  <si>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</si>
  <si>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</si>
  <si>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</si>
  <si>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</si>
  <si>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</si>
  <si>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</si>
  <si>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</si>
  <si>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</si>
  <si>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</si>
  <si>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</si>
  <si>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</si>
  <si>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</si>
  <si>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</si>
  <si>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</si>
  <si>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</si>
  <si>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</si>
  <si>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</si>
  <si>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</si>
  <si>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</si>
  <si>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</si>
  <si>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</si>
  <si>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</si>
  <si>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</si>
  <si>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</si>
  <si>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</si>
  <si>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</si>
  <si>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</si>
  <si>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</si>
  <si>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</si>
  <si>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</si>
  <si>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</si>
  <si>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</si>
  <si>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</si>
  <si>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</si>
  <si>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</si>
  <si>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</si>
  <si>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</si>
  <si>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</si>
  <si>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</si>
  <si>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</si>
  <si>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</si>
  <si>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</si>
  <si>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</si>
  <si>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</si>
  <si>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</si>
  <si>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</si>
  <si>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</si>
  <si>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</si>
  <si>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</si>
  <si>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</si>
  <si>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</si>
  <si>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</si>
  <si>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</si>
  <si>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</si>
  <si>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</si>
  <si>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</si>
  <si>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</si>
  <si>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</si>
  <si>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</si>
  <si>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</si>
  <si>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</si>
  <si>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</si>
  <si>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</si>
  <si>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</si>
  <si>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</si>
  <si>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</si>
  <si>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</si>
  <si>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</si>
  <si>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</si>
  <si>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</si>
  <si>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</si>
  <si>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</si>
  <si>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</si>
  <si>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</si>
  <si>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</si>
  <si>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</si>
  <si>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</si>
  <si>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</si>
  <si>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</si>
  <si>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</si>
  <si>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</si>
  <si>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</si>
  <si>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</si>
  <si>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</si>
  <si>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</si>
  <si>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</si>
  <si>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</si>
  <si>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</si>
  <si>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</si>
  <si>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</si>
  <si>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</si>
  <si>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</si>
  <si>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</si>
  <si>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</si>
  <si>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</si>
  <si>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</si>
  <si>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</si>
  <si>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</si>
  <si>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</si>
  <si>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</si>
  <si>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</si>
  <si>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</si>
  <si>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</si>
  <si>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</si>
  <si>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</si>
  <si>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</si>
  <si>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</si>
  <si>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</si>
  <si>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</si>
  <si>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</si>
  <si>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</si>
  <si>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</si>
  <si>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</si>
  <si>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</si>
  <si>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</si>
  <si>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</si>
  <si>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</si>
  <si>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</si>
  <si>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</si>
  <si>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</si>
  <si>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</si>
  <si>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</si>
  <si>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</si>
  <si>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</si>
  <si>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</si>
  <si>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</si>
  <si>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</si>
  <si>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</si>
  <si>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</si>
  <si>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</si>
  <si>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</si>
  <si>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</si>
  <si>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</si>
  <si>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</si>
  <si>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</si>
  <si>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</si>
  <si>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</si>
  <si>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</si>
  <si>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</si>
  <si>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</si>
  <si>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</si>
  <si>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</si>
  <si>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</si>
  <si>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</si>
  <si>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</si>
  <si>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</si>
  <si>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</si>
  <si>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</si>
  <si>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</si>
  <si>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</si>
  <si>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</si>
  <si>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</si>
  <si>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</si>
  <si>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</si>
  <si>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</si>
  <si>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</si>
  <si>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</si>
  <si>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</si>
  <si>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</si>
  <si>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</si>
  <si>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</si>
  <si>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</si>
  <si>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</si>
  <si>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</si>
  <si>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</si>
  <si>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</si>
  <si>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</si>
  <si>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</si>
  <si>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</si>
  <si>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</si>
  <si>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</si>
  <si>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</si>
  <si>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</si>
  <si>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</si>
  <si>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</si>
  <si>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</si>
  <si>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</si>
  <si>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</si>
  <si>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</si>
  <si>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</si>
  <si>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</si>
  <si>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</si>
  <si>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</si>
  <si>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</si>
  <si>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</si>
  <si>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</si>
  <si>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</si>
  <si>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</si>
  <si>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</si>
  <si>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</si>
  <si>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</si>
  <si>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</si>
  <si>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</si>
  <si>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</si>
  <si>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</si>
  <si>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</si>
  <si>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</si>
  <si>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</si>
  <si>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</si>
  <si>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</si>
  <si>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</si>
  <si>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</si>
  <si>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</si>
  <si>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</si>
  <si>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</si>
  <si>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</si>
  <si>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</si>
  <si>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</si>
  <si>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</si>
  <si>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</si>
  <si>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</si>
  <si>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</si>
  <si>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</si>
  <si>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</si>
  <si>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</si>
  <si>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</si>
  <si>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</si>
  <si>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</si>
  <si>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</si>
  <si>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</si>
  <si>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</si>
  <si>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</si>
  <si>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</si>
  <si>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</si>
  <si>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</si>
  <si>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</si>
  <si>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</si>
  <si>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</si>
  <si>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</si>
  <si>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</si>
  <si>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</si>
  <si>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</si>
  <si>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</si>
  <si>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</si>
  <si>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</si>
  <si>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</si>
  <si>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</si>
  <si>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</si>
  <si>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</si>
  <si>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</si>
  <si>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</si>
  <si>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</si>
  <si>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</si>
  <si>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</si>
  <si>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</si>
  <si>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</si>
  <si>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</si>
  <si>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</si>
  <si>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</si>
  <si>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</si>
  <si>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</si>
  <si>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</si>
  <si>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</si>
  <si>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</si>
  <si>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</si>
  <si>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</si>
  <si>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</si>
  <si>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</si>
  <si>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</si>
  <si>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</si>
  <si>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</si>
  <si>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</si>
  <si>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</si>
  <si>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</si>
  <si>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</si>
  <si>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</si>
  <si>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</si>
  <si>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</si>
  <si>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</si>
  <si>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</si>
  <si>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</si>
  <si>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</si>
  <si>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</si>
  <si>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</si>
  <si>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</si>
  <si>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</si>
  <si>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</si>
  <si>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</si>
  <si>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</si>
  <si>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</si>
  <si>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</si>
  <si>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</si>
  <si>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</si>
  <si>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</si>
  <si>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</si>
  <si>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</si>
  <si>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</si>
  <si>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</si>
  <si>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</si>
  <si>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</si>
  <si>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</si>
  <si>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</si>
  <si>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</si>
  <si>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</si>
  <si>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</si>
  <si>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</si>
  <si>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</si>
  <si>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</si>
  <si>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</si>
  <si>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</si>
  <si>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</si>
  <si>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</si>
  <si>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</si>
  <si>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</si>
  <si>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</si>
  <si>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</si>
  <si>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</si>
  <si>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</si>
  <si>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</si>
  <si>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</si>
  <si>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</si>
  <si>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</si>
  <si>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</si>
  <si>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</si>
  <si>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</si>
  <si>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</si>
  <si>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</si>
  <si>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</si>
  <si>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</si>
  <si>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</si>
  <si>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</si>
  <si>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</si>
  <si>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</si>
  <si>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</si>
  <si>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</si>
  <si>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</si>
  <si>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</si>
  <si>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</si>
  <si>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</si>
  <si>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</si>
  <si>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</si>
  <si>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</si>
  <si>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</si>
  <si>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</si>
  <si>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</si>
  <si>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</si>
  <si>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</si>
  <si>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</si>
  <si>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</si>
  <si>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</si>
  <si>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</si>
  <si>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</si>
  <si>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</si>
  <si>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</si>
  <si>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</si>
  <si>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</si>
  <si>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</si>
  <si>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</si>
  <si>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</si>
  <si>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</si>
  <si>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</si>
  <si>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</si>
  <si>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</si>
  <si>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</si>
  <si>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</si>
  <si>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</si>
  <si>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</si>
  <si>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</si>
  <si>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</si>
  <si>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</si>
  <si>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</si>
  <si>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</si>
  <si>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</si>
  <si>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</si>
  <si>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</si>
  <si>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</si>
  <si>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</si>
  <si>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</si>
  <si>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</si>
  <si>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</si>
  <si>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</si>
  <si>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</si>
  <si>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</si>
  <si>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</si>
  <si>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</si>
  <si>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</si>
  <si>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</si>
  <si>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</si>
  <si>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</si>
  <si>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</si>
  <si>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</si>
  <si>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</si>
  <si>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</si>
  <si>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</si>
  <si>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</si>
  <si>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</si>
  <si>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</si>
  <si>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</si>
  <si>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</si>
  <si>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</si>
  <si>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</si>
  <si>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</si>
  <si>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</si>
  <si>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</si>
  <si>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</si>
  <si>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</si>
  <si>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</si>
  <si>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</si>
  <si>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</si>
  <si>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</si>
  <si>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</si>
  <si>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</si>
  <si>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</si>
  <si>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</si>
  <si>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</si>
  <si>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</si>
  <si>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</si>
  <si>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</si>
  <si>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</si>
  <si>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</si>
  <si>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</si>
  <si>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</si>
  <si>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</si>
  <si>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</si>
  <si>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</si>
  <si>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</si>
  <si>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</si>
  <si>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</si>
  <si>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</si>
  <si>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</si>
  <si>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</si>
  <si>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</si>
  <si>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</si>
  <si>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</si>
  <si>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</si>
  <si>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</si>
  <si>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</si>
  <si>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</si>
  <si>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</si>
  <si>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</si>
  <si>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</si>
  <si>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</si>
  <si>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</si>
  <si>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</si>
  <si>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</si>
  <si>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</si>
  <si>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</si>
  <si>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</si>
  <si>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</si>
  <si>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</si>
  <si>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</si>
  <si>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</si>
  <si>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</si>
  <si>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</si>
  <si>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</si>
  <si>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</si>
  <si>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</si>
  <si>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</si>
  <si>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</si>
  <si>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</si>
  <si>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</si>
  <si>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</si>
  <si>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</si>
  <si>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</si>
  <si>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</si>
  <si>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</si>
  <si>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</si>
  <si>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</si>
  <si>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</si>
  <si>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</si>
  <si>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</si>
  <si>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</si>
  <si>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</si>
  <si>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</si>
  <si>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</si>
  <si>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</si>
  <si>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</si>
  <si>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</si>
  <si>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</si>
  <si>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</si>
  <si>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</si>
  <si>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</si>
  <si>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</si>
  <si>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</si>
  <si>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</si>
  <si>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</si>
  <si>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</si>
  <si>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</si>
  <si>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</si>
  <si>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</si>
  <si>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</si>
  <si>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</si>
  <si>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</si>
  <si>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</si>
  <si>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</si>
  <si>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</si>
  <si>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</si>
  <si>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</si>
  <si>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</si>
  <si>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</si>
  <si>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</si>
  <si>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</si>
  <si>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</si>
  <si>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</si>
  <si>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</si>
  <si>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</si>
  <si>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</si>
  <si>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</si>
  <si>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</si>
  <si>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</si>
  <si>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</si>
  <si>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</si>
  <si>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</si>
  <si>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</si>
  <si>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</si>
  <si>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</si>
  <si>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</si>
  <si>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</si>
  <si>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</si>
  <si>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</si>
  <si>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</si>
  <si>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</si>
  <si>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</si>
  <si>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</si>
  <si>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</si>
  <si>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</si>
  <si>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</si>
  <si>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</si>
  <si>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</si>
  <si>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</si>
  <si>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</si>
  <si>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</si>
  <si>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</si>
  <si>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</si>
  <si>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</si>
  <si>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</si>
  <si>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</si>
  <si>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</si>
  <si>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</si>
  <si>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</si>
  <si>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</si>
  <si>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</si>
  <si>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</si>
  <si>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</si>
  <si>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</si>
  <si>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</si>
  <si>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</si>
  <si>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</si>
  <si>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</si>
  <si>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</si>
  <si>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</si>
  <si>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</si>
  <si>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</si>
  <si>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</si>
  <si>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</si>
  <si>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</si>
  <si>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</si>
  <si>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</si>
  <si>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</si>
  <si>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</si>
  <si>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</si>
  <si>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</si>
  <si>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</si>
  <si>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</si>
  <si>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</si>
  <si>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</si>
  <si>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</si>
  <si>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</si>
  <si>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</si>
  <si>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</si>
  <si>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</si>
  <si>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</si>
  <si>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</si>
  <si>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</si>
  <si>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</si>
  <si>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</si>
  <si>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</si>
  <si>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</si>
  <si>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</si>
  <si>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</si>
  <si>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</si>
  <si>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</si>
  <si>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</si>
  <si>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</si>
  <si>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</si>
  <si>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</si>
  <si>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</si>
  <si>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</si>
  <si>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</si>
  <si>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</si>
  <si>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</si>
  <si>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</si>
  <si>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</si>
  <si>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</si>
  <si>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</si>
  <si>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</si>
  <si>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</si>
  <si>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</si>
  <si>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</si>
  <si>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</si>
  <si>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</si>
  <si>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</si>
  <si>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</si>
  <si>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</si>
  <si>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</si>
  <si>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</si>
  <si>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</si>
  <si>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</si>
  <si>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</si>
  <si>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</si>
  <si>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</si>
  <si>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</si>
  <si>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</si>
  <si>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</si>
  <si>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</si>
  <si>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</si>
  <si>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</si>
  <si>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</si>
  <si>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</si>
  <si>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</si>
  <si>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</si>
  <si>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</si>
  <si>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</si>
  <si>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</si>
  <si>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</si>
  <si>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</si>
  <si>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</si>
  <si>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</si>
  <si>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</si>
  <si>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</si>
  <si>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</si>
  <si>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</si>
  <si>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</si>
  <si>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</si>
  <si>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</si>
  <si>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</si>
  <si>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</si>
  <si>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</si>
  <si>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</si>
  <si>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</si>
  <si>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</si>
  <si>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</si>
  <si>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</si>
  <si>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</si>
  <si>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</si>
  <si>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</si>
  <si>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</si>
  <si>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</si>
  <si>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</si>
  <si>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</si>
  <si>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</si>
  <si>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</si>
  <si>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</si>
  <si>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</si>
  <si>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</si>
  <si>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</si>
  <si>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</si>
  <si>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</si>
  <si>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</si>
  <si>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</si>
  <si>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</si>
  <si>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</si>
  <si>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</si>
  <si>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</si>
  <si>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</si>
  <si>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</si>
  <si>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</si>
  <si>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</si>
  <si>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</si>
  <si>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</si>
  <si>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</si>
  <si>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</si>
  <si>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</si>
  <si>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</si>
  <si>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</si>
  <si>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</si>
  <si>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</si>
  <si>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</si>
  <si>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</si>
  <si>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</si>
  <si>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</si>
  <si>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</si>
  <si>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</si>
  <si>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</si>
  <si>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</si>
  <si>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</si>
  <si>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</si>
  <si>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</si>
  <si>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</si>
  <si>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</si>
  <si>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</si>
  <si>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</si>
  <si>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</si>
  <si>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</si>
  <si>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</si>
  <si>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</si>
  <si>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</si>
  <si>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</si>
  <si>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</si>
  <si>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</si>
  <si>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</si>
  <si>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</si>
  <si>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</si>
  <si>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</si>
  <si>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</si>
  <si>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</si>
  <si>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</si>
  <si>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</si>
  <si>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</si>
  <si>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</si>
  <si>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</si>
  <si>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</si>
  <si>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</si>
  <si>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</si>
  <si>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</si>
  <si>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</si>
  <si>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</si>
  <si>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</si>
  <si>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</si>
  <si>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</si>
  <si>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</si>
  <si>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</si>
  <si>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</si>
  <si>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</si>
  <si>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</si>
  <si>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</si>
  <si>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</si>
  <si>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</si>
  <si>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</si>
  <si>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</si>
  <si>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</si>
  <si>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</si>
  <si>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</si>
  <si>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</si>
  <si>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</si>
  <si>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</si>
  <si>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</si>
  <si>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</si>
  <si>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</si>
  <si>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</si>
  <si>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</si>
  <si>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</si>
  <si>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</si>
  <si>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</si>
  <si>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</si>
  <si>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</si>
  <si>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</si>
  <si>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</si>
  <si>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</si>
  <si>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</si>
  <si>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</si>
  <si>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</si>
  <si>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</si>
  <si>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</si>
  <si>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</si>
  <si>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</si>
  <si>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</si>
  <si>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</si>
  <si>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</si>
  <si>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</si>
  <si>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</si>
  <si>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</si>
  <si>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</si>
  <si>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</si>
  <si>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</si>
  <si>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</si>
  <si>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</si>
  <si>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</si>
  <si>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</si>
  <si>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</si>
  <si>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</si>
  <si>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</si>
  <si>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</si>
  <si>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</si>
  <si>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</si>
  <si>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</si>
  <si>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</si>
  <si>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</si>
  <si>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</si>
  <si>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</si>
  <si>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</si>
  <si>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</si>
  <si>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</si>
  <si>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</si>
  <si>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</si>
  <si>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</si>
  <si>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</si>
  <si>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</si>
  <si>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</si>
  <si>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</si>
  <si>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</si>
  <si>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</si>
  <si>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</si>
  <si>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</si>
  <si>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</si>
  <si>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</si>
  <si>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</si>
  <si>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</si>
  <si>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</si>
  <si>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</si>
  <si>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</si>
  <si>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</si>
  <si>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</si>
  <si>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</si>
  <si>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</si>
  <si>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</si>
  <si>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</si>
  <si>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</si>
  <si>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</si>
  <si>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</si>
  <si>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</si>
  <si>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</si>
  <si>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</si>
  <si>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</si>
  <si>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</si>
  <si>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</si>
  <si>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</si>
  <si>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</si>
  <si>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</si>
  <si>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</si>
  <si>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</si>
  <si>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</si>
  <si>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</si>
  <si>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</si>
  <si>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</si>
  <si>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</si>
  <si>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</si>
  <si>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</si>
  <si>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</si>
  <si>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</si>
  <si>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</si>
  <si>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</si>
  <si>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</si>
  <si>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</si>
  <si>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</si>
  <si>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</si>
  <si>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</si>
  <si>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</si>
  <si>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</si>
  <si>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</si>
  <si>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</si>
  <si>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</si>
  <si>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</si>
  <si>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</si>
  <si>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</si>
  <si>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</si>
  <si>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</si>
  <si>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</si>
  <si>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</si>
  <si>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</si>
  <si>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</si>
  <si>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</si>
  <si>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</si>
  <si>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</si>
  <si>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</si>
  <si>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</si>
  <si>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</si>
  <si>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</si>
  <si>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</si>
  <si>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</si>
  <si>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</si>
  <si>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</si>
  <si>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</si>
  <si>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</si>
  <si>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</si>
  <si>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</si>
  <si>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</si>
  <si>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</si>
  <si>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</si>
  <si>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</si>
  <si>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</si>
  <si>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</si>
  <si>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</si>
  <si>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</si>
  <si>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</si>
  <si>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</si>
  <si>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</si>
  <si>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</si>
  <si>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</si>
  <si>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</si>
  <si>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</si>
  <si>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</si>
  <si>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</si>
  <si>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</si>
  <si>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</si>
  <si>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</si>
  <si>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</si>
  <si>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</si>
  <si>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</si>
  <si>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</si>
  <si>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</si>
  <si>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</si>
  <si>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</si>
  <si>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</si>
  <si>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</si>
  <si>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</si>
  <si>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</si>
  <si>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</si>
  <si>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</si>
  <si>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</si>
  <si>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</si>
  <si>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</si>
  <si>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</si>
  <si>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</si>
  <si>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</si>
  <si>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</si>
  <si>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</si>
  <si>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</si>
  <si>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</si>
  <si>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</si>
  <si>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</si>
  <si>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</si>
  <si>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</si>
  <si>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</si>
  <si>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</si>
  <si>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</si>
  <si>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</si>
  <si>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</si>
  <si>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</si>
  <si>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</si>
  <si>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</si>
  <si>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</si>
  <si>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</si>
  <si>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</si>
  <si>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</si>
  <si>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</si>
  <si>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</si>
  <si>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</si>
  <si>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</si>
  <si>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</si>
  <si>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</si>
  <si>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</si>
  <si>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</si>
  <si>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</si>
  <si>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</si>
  <si>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</si>
  <si>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</si>
  <si>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</si>
  <si>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</si>
  <si>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</si>
  <si>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</si>
  <si>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</si>
  <si>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</si>
  <si>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</si>
  <si>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</si>
  <si>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</si>
  <si>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</si>
  <si>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</si>
  <si>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</si>
  <si>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</si>
  <si>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</si>
  <si>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</si>
  <si>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</si>
  <si>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</si>
  <si>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</si>
  <si>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</si>
  <si>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</si>
  <si>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</si>
  <si>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</si>
  <si>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</si>
  <si>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</si>
  <si>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</si>
  <si>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</si>
  <si>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</si>
  <si>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</si>
  <si>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</si>
  <si>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</si>
  <si>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</si>
  <si>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</si>
  <si>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</si>
  <si>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</si>
  <si>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</si>
  <si>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</si>
  <si>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</si>
  <si>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</si>
  <si>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</si>
  <si>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</si>
  <si>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</si>
  <si>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</si>
  <si>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</si>
  <si>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</si>
  <si>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</si>
  <si>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</si>
  <si>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</si>
  <si>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</si>
  <si>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</si>
  <si>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</si>
  <si>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</si>
  <si>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</si>
  <si>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</si>
  <si>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</si>
  <si>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</si>
  <si>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</si>
  <si>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</si>
  <si>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</si>
  <si>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</si>
  <si>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</si>
  <si>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</si>
  <si>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</si>
  <si>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</si>
  <si>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</si>
  <si>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</si>
  <si>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</si>
  <si>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</si>
  <si>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</si>
  <si>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</si>
  <si>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</si>
  <si>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</si>
  <si>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</si>
  <si>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</si>
  <si>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</si>
  <si>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</si>
  <si>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</si>
  <si>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</si>
  <si>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</si>
  <si>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</si>
  <si>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</si>
  <si>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</si>
  <si>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</si>
  <si>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</si>
  <si>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</si>
  <si>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</si>
  <si>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</si>
  <si>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</si>
  <si>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</si>
  <si>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</si>
  <si>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</si>
  <si>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</si>
  <si>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</si>
  <si>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</si>
  <si>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</si>
  <si>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</si>
  <si>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</si>
  <si>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</si>
  <si>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</si>
  <si>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</si>
  <si>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</si>
  <si>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</si>
  <si>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</si>
  <si>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</si>
  <si>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</si>
  <si>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</si>
  <si>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</si>
  <si>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</si>
  <si>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</si>
  <si>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</si>
  <si>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</si>
  <si>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</si>
  <si>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</si>
  <si>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</si>
  <si>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</si>
  <si>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</si>
  <si>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</si>
  <si>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</si>
  <si>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</si>
  <si>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</si>
  <si>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</si>
  <si>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</si>
  <si>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</si>
  <si>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</si>
  <si>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</si>
  <si>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</si>
  <si>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</si>
  <si>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</si>
  <si>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</si>
  <si>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</si>
  <si>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</si>
  <si>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</si>
  <si>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</si>
  <si>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</si>
  <si>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</si>
  <si>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</si>
  <si>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</si>
  <si>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</si>
  <si>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</si>
  <si>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</si>
  <si>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</si>
  <si>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</si>
  <si>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</si>
  <si>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</si>
  <si>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</si>
  <si>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</si>
  <si>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</si>
  <si>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</si>
  <si>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</si>
  <si>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</si>
  <si>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</si>
  <si>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</si>
  <si>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</si>
  <si>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</si>
  <si>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</si>
  <si>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</si>
  <si>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</si>
  <si>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</si>
  <si>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</si>
  <si>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</si>
  <si>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</si>
  <si>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</si>
  <si>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</si>
  <si>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</si>
  <si>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</si>
  <si>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</si>
  <si>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</si>
  <si>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</si>
  <si>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</si>
  <si>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</si>
  <si>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</si>
  <si>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</si>
  <si>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</si>
  <si>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</si>
  <si>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</si>
  <si>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</si>
  <si>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</si>
  <si>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</si>
  <si>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</si>
  <si>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</si>
  <si>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</si>
  <si>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</si>
  <si>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</si>
  <si>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</si>
  <si>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</si>
  <si>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</si>
  <si>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</si>
  <si>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</si>
  <si>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</si>
  <si>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</si>
  <si>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</si>
  <si>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</si>
  <si>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</si>
  <si>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</si>
  <si>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</si>
  <si>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</si>
  <si>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</si>
  <si>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</si>
  <si>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</si>
  <si>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</si>
  <si>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</si>
  <si>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</si>
  <si>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</si>
  <si>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</si>
  <si>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</si>
  <si>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</si>
  <si>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</si>
  <si>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</si>
  <si>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</si>
  <si>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</si>
  <si>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</si>
  <si>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</si>
  <si>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</si>
  <si>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</si>
  <si>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</si>
  <si>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</si>
  <si>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</si>
  <si>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</si>
  <si>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</si>
  <si>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</si>
  <si>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</si>
  <si>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</si>
  <si>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</si>
  <si>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</si>
  <si>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</si>
  <si>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</si>
  <si>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</si>
  <si>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</si>
  <si>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</si>
  <si>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</si>
  <si>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</si>
  <si>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</si>
  <si>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</si>
  <si>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</si>
  <si>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</si>
  <si>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</si>
  <si>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</si>
  <si>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</si>
  <si>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</si>
  <si>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</si>
  <si>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</si>
  <si>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</si>
  <si>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</si>
  <si>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</si>
  <si>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</si>
  <si>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</si>
  <si>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</si>
  <si>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</si>
  <si>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</si>
  <si>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</si>
  <si>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</si>
  <si>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</si>
  <si>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</si>
  <si>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</si>
  <si>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</si>
  <si>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</si>
  <si>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</si>
  <si>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</si>
  <si>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</si>
  <si>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</si>
  <si>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</si>
  <si>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</si>
  <si>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</si>
  <si>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</si>
  <si>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</si>
  <si>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</si>
  <si>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</si>
  <si>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</si>
  <si>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</si>
  <si>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</si>
  <si>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</si>
  <si>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</si>
  <si>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</si>
  <si>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</si>
  <si>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</si>
  <si>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</si>
  <si>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</si>
  <si>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</si>
  <si>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</si>
  <si>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</si>
  <si>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</si>
  <si>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</si>
  <si>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</si>
  <si>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</si>
  <si>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</si>
  <si>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</si>
  <si>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</si>
  <si>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</si>
  <si>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</si>
  <si>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</si>
  <si>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</si>
  <si>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</si>
  <si>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</si>
  <si>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</si>
  <si>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</si>
  <si>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</si>
  <si>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</si>
  <si>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</si>
  <si>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</si>
  <si>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</si>
  <si>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</si>
  <si>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</si>
  <si>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</si>
  <si>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</si>
  <si>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</si>
  <si>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</si>
  <si>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</si>
  <si>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</si>
  <si>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</si>
  <si>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</si>
  <si>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</si>
  <si>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</si>
  <si>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</si>
  <si>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</si>
  <si>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</si>
  <si>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</si>
  <si>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</si>
  <si>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</si>
  <si>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</si>
  <si>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</si>
  <si>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</si>
  <si>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</si>
  <si>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</si>
  <si>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</si>
  <si>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</si>
  <si>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</si>
  <si>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</si>
  <si>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</si>
  <si>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</si>
  <si>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</si>
  <si>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</si>
  <si>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</si>
  <si>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</si>
  <si>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</si>
  <si>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</si>
  <si>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</si>
  <si>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</si>
  <si>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</si>
  <si>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</si>
  <si>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</si>
  <si>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</si>
  <si>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</si>
  <si>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</si>
  <si>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</si>
  <si>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</si>
  <si>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</si>
  <si>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</si>
  <si>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</si>
  <si>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</si>
  <si>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</si>
  <si>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</si>
  <si>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</si>
  <si>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</si>
  <si>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</si>
  <si>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</si>
  <si>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</si>
  <si>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</si>
  <si>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</si>
  <si>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</si>
  <si>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</si>
  <si>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</si>
  <si>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</si>
  <si>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</si>
  <si>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</si>
  <si>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</si>
  <si>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</si>
  <si>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</si>
  <si>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</si>
  <si>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</si>
  <si>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</si>
  <si>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</si>
  <si>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</si>
  <si>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</si>
  <si>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</si>
  <si>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</si>
  <si>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</si>
  <si>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</si>
  <si>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</si>
  <si>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</si>
  <si>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</si>
  <si>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</si>
  <si>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</si>
  <si>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</si>
  <si>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</si>
  <si>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</si>
  <si>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</si>
  <si>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</si>
  <si>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</si>
  <si>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</si>
  <si>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</si>
  <si>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</si>
  <si>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</si>
  <si>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</si>
  <si>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</si>
  <si>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</si>
  <si>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</si>
  <si>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</si>
  <si>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</si>
  <si>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</si>
  <si>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</si>
  <si>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</si>
  <si>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</si>
  <si>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</si>
  <si>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</si>
  <si>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</si>
  <si>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</si>
  <si>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</si>
  <si>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</si>
  <si>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</si>
  <si>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</si>
  <si>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</si>
  <si>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</si>
  <si>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</si>
  <si>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</si>
  <si>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</si>
  <si>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</si>
  <si>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</si>
  <si>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</si>
  <si>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</si>
  <si>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</si>
  <si>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</si>
  <si>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</si>
  <si>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</si>
  <si>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</si>
  <si>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</si>
  <si>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</si>
  <si>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</si>
  <si>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</si>
  <si>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</si>
  <si>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</si>
  <si>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</si>
  <si>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</si>
  <si>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</si>
  <si>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</si>
  <si>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</si>
  <si>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</si>
  <si>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</si>
  <si>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</si>
  <si>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</si>
  <si>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</si>
  <si>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</si>
  <si>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</si>
  <si>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</si>
  <si>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</si>
  <si>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</si>
  <si>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</si>
  <si>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</si>
  <si>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</si>
  <si>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</si>
  <si>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</si>
  <si>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</si>
  <si>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</si>
  <si>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</si>
  <si>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</si>
  <si>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</si>
  <si>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</si>
  <si>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</si>
  <si>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</si>
  <si>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</si>
  <si>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</si>
  <si>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</si>
  <si>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</si>
  <si>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</si>
  <si>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</si>
  <si>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</si>
  <si>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</si>
  <si>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</si>
  <si>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</si>
  <si>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</si>
  <si>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</si>
  <si>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</si>
  <si>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</si>
  <si>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</si>
  <si>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</si>
  <si>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</si>
  <si>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</si>
  <si>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</si>
  <si>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</si>
  <si>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</si>
  <si>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</si>
  <si>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</si>
  <si>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</si>
  <si>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</si>
  <si>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</si>
  <si>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</si>
  <si>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</si>
  <si>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</si>
  <si>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</si>
  <si>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</si>
  <si>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</si>
  <si>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</si>
  <si>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</si>
  <si>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</si>
  <si>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</si>
  <si>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</si>
  <si>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</si>
  <si>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</si>
  <si>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</si>
  <si>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</si>
  <si>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</si>
  <si>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</si>
  <si>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</si>
  <si>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</si>
  <si>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</si>
  <si>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</si>
  <si>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</si>
  <si>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</si>
  <si>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</si>
  <si>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</si>
  <si>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</si>
  <si>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</si>
  <si>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</si>
  <si>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</si>
  <si>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</si>
  <si>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</si>
  <si>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</si>
  <si>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</si>
  <si>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</si>
  <si>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</si>
  <si>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</si>
  <si>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</si>
  <si>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</si>
  <si>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</si>
  <si>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</si>
  <si>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</si>
  <si>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</si>
  <si>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</si>
  <si>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</si>
  <si>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</si>
  <si>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</si>
  <si>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</si>
  <si>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</si>
  <si>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</si>
  <si>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</si>
  <si>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</si>
  <si>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</si>
  <si>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</si>
  <si>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</si>
  <si>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</si>
  <si>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</si>
  <si>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</si>
  <si>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</si>
  <si>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</si>
  <si>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</si>
  <si>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</si>
  <si>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</si>
  <si>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</si>
  <si>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</si>
  <si>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</si>
  <si>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</si>
  <si>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</si>
  <si>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</si>
  <si>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</si>
  <si>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</si>
  <si>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</si>
  <si>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</si>
  <si>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</si>
  <si>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</si>
  <si>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</si>
  <si>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</si>
  <si>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</si>
  <si>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</si>
  <si>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</si>
  <si>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</si>
  <si>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</si>
  <si>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</si>
  <si>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</si>
  <si>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</si>
  <si>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</si>
  <si>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</si>
  <si>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</si>
  <si>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</si>
  <si>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</si>
  <si>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</si>
  <si>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</si>
  <si>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</si>
  <si>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</si>
  <si>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</si>
  <si>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</si>
  <si>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</si>
  <si>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</si>
  <si>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</si>
  <si>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</si>
  <si>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</si>
  <si>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</si>
  <si>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</si>
  <si>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</si>
  <si>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</si>
  <si>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</si>
  <si>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</si>
  <si>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</si>
  <si>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</si>
  <si>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</si>
  <si>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</si>
  <si>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</si>
  <si>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</si>
  <si>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</si>
  <si>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</si>
  <si>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</si>
  <si>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</si>
  <si>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</si>
  <si>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</si>
  <si>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</si>
  <si>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</si>
  <si>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</si>
  <si>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</si>
  <si>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</si>
  <si>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</si>
  <si>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</si>
  <si>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</si>
  <si>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</si>
  <si>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</si>
  <si>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</si>
  <si>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</si>
  <si>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</si>
  <si>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</si>
  <si>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</si>
  <si>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</si>
  <si>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</si>
  <si>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</si>
  <si>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</si>
  <si>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</si>
  <si>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</si>
  <si>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</si>
  <si>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</si>
  <si>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</si>
  <si>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</si>
  <si>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</si>
  <si>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</si>
  <si>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</si>
  <si>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</si>
  <si>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</si>
  <si>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</si>
  <si>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</si>
  <si>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</si>
  <si>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</si>
  <si>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</si>
  <si>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</si>
  <si>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</si>
  <si>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</si>
  <si>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</si>
  <si>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</si>
  <si>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</si>
  <si>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</si>
  <si>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</si>
  <si>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</si>
  <si>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</si>
  <si>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</si>
  <si>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</si>
  <si>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</si>
  <si>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</si>
  <si>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</si>
  <si>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</si>
  <si>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</si>
  <si>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</si>
  <si>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</si>
  <si>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</si>
  <si>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</si>
  <si>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</si>
  <si>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</si>
  <si>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</si>
  <si>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</si>
  <si>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</si>
  <si>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</si>
  <si>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</si>
  <si>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</si>
  <si>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</si>
  <si>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</si>
  <si>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</si>
  <si>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</si>
  <si>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</si>
  <si>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</si>
  <si>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</si>
  <si>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</si>
  <si>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</si>
  <si>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</si>
  <si>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</si>
  <si>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</si>
  <si>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</si>
  <si>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</si>
  <si>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</si>
  <si>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</si>
  <si>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</si>
  <si>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</si>
  <si>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</si>
  <si>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</si>
  <si>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</si>
  <si>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</si>
  <si>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</si>
  <si>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</si>
  <si>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</si>
  <si>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</si>
  <si>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</si>
  <si>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</si>
  <si>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</si>
  <si>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</si>
  <si>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</si>
  <si>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</si>
  <si>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</si>
  <si>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</si>
  <si>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</si>
  <si>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</si>
  <si>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</si>
  <si>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</si>
  <si>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</si>
  <si>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</si>
  <si>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</si>
  <si>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</si>
  <si>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</si>
  <si>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</si>
  <si>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</si>
  <si>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</si>
  <si>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</si>
  <si>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</si>
  <si>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</si>
  <si>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</si>
  <si>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</si>
  <si>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</si>
  <si>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</si>
  <si>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</si>
  <si>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</si>
  <si>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</si>
  <si>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</si>
  <si>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</si>
  <si>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</si>
  <si>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</si>
  <si>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</si>
  <si>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</si>
  <si>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</si>
  <si>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</si>
  <si>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</si>
  <si>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</si>
  <si>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</si>
  <si>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</si>
  <si>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</si>
  <si>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</si>
  <si>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</si>
  <si>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</si>
  <si>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</si>
  <si>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</si>
  <si>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</si>
  <si>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</si>
  <si>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</si>
  <si>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</si>
  <si>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</si>
  <si>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</si>
  <si>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</si>
  <si>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</si>
  <si>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</si>
  <si>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</si>
  <si>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</si>
  <si>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</si>
  <si>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</si>
  <si>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</si>
  <si>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</si>
  <si>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</si>
  <si>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</si>
  <si>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</si>
  <si>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</si>
  <si>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</si>
  <si>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</si>
  <si>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</si>
  <si>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</si>
  <si>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</si>
  <si>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</si>
  <si>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</si>
  <si>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</si>
  <si>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</si>
  <si>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</si>
  <si>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</si>
  <si>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</si>
  <si>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</si>
  <si>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</si>
  <si>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</si>
  <si>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</si>
  <si>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</si>
  <si>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</si>
  <si>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</si>
  <si>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</si>
  <si>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</si>
  <si>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</si>
  <si>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</si>
  <si>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</si>
  <si>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</si>
  <si>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</si>
  <si>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</si>
  <si>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</si>
  <si>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</si>
  <si>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</si>
  <si>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</si>
  <si>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</si>
  <si>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</si>
  <si>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</si>
  <si>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</si>
  <si>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</si>
  <si>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</si>
  <si>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</si>
  <si>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</si>
  <si>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</si>
  <si>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</si>
  <si>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</si>
  <si>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</si>
  <si>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</si>
  <si>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</si>
  <si>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</si>
  <si>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</si>
  <si>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</si>
  <si>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</si>
  <si>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</si>
  <si>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</si>
  <si>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</si>
  <si>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</si>
  <si>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</si>
  <si>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</si>
  <si>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</si>
  <si>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</si>
  <si>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</si>
  <si>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</si>
  <si>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</si>
  <si>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</si>
  <si>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</si>
  <si>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</si>
  <si>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</si>
  <si>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</si>
  <si>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</si>
  <si>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</si>
  <si>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</si>
  <si>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</si>
  <si>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</si>
  <si>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</si>
  <si>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</si>
  <si>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</si>
  <si>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</si>
  <si>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</si>
  <si>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</si>
  <si>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</si>
  <si>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</si>
  <si>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</si>
  <si>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</si>
  <si>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</si>
  <si>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</si>
  <si>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</si>
  <si>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</si>
  <si>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</si>
  <si>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</si>
  <si>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</si>
  <si>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</si>
  <si>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</si>
  <si>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</si>
  <si>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</si>
  <si>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</si>
  <si>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</si>
  <si>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</si>
  <si>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</si>
  <si>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</si>
  <si>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</si>
  <si>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</si>
  <si>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</si>
  <si>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</si>
  <si>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</si>
  <si>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</si>
  <si>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</si>
  <si>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</si>
  <si>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</si>
  <si>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</si>
  <si>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</si>
  <si>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</si>
  <si>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</si>
  <si>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</si>
  <si>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</si>
  <si>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</si>
  <si>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</si>
  <si>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</si>
  <si>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</si>
  <si>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</si>
  <si>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</si>
  <si>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</si>
  <si>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</si>
  <si>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</si>
  <si>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</si>
  <si>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</si>
  <si>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</si>
  <si>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</si>
  <si>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</si>
  <si>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</si>
  <si>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</si>
  <si>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</si>
  <si>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</si>
  <si>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</si>
  <si>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</si>
  <si>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</si>
  <si>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</si>
  <si>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</si>
  <si>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</si>
  <si>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</si>
  <si>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</si>
  <si>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</si>
  <si>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</si>
  <si>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</si>
  <si>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</si>
  <si>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</si>
  <si>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</si>
  <si>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</si>
  <si>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</si>
  <si>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</si>
  <si>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</si>
  <si>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</si>
  <si>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</si>
  <si>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</si>
  <si>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</si>
  <si>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</si>
  <si>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</si>
  <si>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</si>
  <si>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</si>
  <si>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</si>
  <si>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</si>
  <si>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</si>
  <si>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</si>
  <si>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</si>
  <si>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</si>
  <si>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</si>
  <si>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</si>
  <si>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</si>
  <si>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</si>
  <si>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</si>
  <si>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</si>
  <si>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</si>
  <si>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</si>
  <si>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</si>
  <si>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</si>
  <si>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</si>
  <si>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</si>
  <si>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</si>
  <si>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</si>
  <si>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</si>
  <si>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</si>
  <si>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</si>
  <si>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</si>
  <si>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</si>
  <si>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</si>
  <si>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</si>
  <si>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</si>
  <si>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</si>
  <si>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</si>
  <si>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</si>
  <si>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</si>
  <si>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</si>
  <si>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</si>
  <si>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</si>
  <si>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</si>
  <si>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</si>
  <si>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</si>
  <si>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</si>
  <si>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</si>
  <si>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</si>
  <si>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</si>
  <si>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</si>
  <si>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</si>
  <si>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</si>
  <si>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</si>
  <si>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</si>
  <si>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</si>
  <si>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</si>
  <si>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</si>
  <si>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</si>
  <si>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</si>
  <si>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</si>
  <si>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</si>
  <si>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</si>
  <si>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</si>
  <si>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</si>
  <si>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</si>
  <si>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</si>
  <si>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</si>
  <si>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</si>
  <si>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</si>
  <si>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</si>
  <si>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</si>
  <si>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</si>
  <si>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</si>
  <si>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</si>
  <si>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</si>
  <si>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</si>
  <si>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</si>
  <si>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</si>
  <si>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</si>
  <si>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</si>
  <si>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</si>
  <si>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</si>
  <si>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</si>
  <si>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</si>
  <si>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</si>
  <si>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</si>
  <si>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</si>
  <si>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</si>
  <si>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</si>
  <si>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</si>
  <si>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</si>
  <si>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</si>
  <si>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</si>
  <si>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</si>
  <si>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</si>
  <si>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</si>
  <si>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</si>
  <si>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</si>
  <si>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</si>
  <si>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</si>
  <si>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</si>
  <si>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</si>
  <si>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</si>
  <si>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</si>
  <si>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</si>
  <si>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</si>
  <si>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</si>
  <si>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</si>
  <si>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</si>
  <si>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</si>
  <si>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</si>
  <si>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</si>
  <si>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</si>
  <si>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</si>
  <si>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</si>
  <si>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</si>
  <si>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</si>
  <si>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</si>
  <si>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</si>
  <si>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</si>
  <si>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</si>
  <si>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</si>
  <si>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</si>
  <si>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</si>
  <si>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</si>
  <si>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</si>
  <si>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</si>
  <si>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</si>
  <si>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</si>
  <si>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</si>
  <si>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</si>
  <si>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</si>
  <si>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</si>
  <si>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</si>
  <si>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</si>
  <si>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</si>
  <si>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</si>
  <si>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</si>
  <si>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</si>
  <si>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</si>
  <si>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</si>
  <si>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</si>
  <si>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</si>
  <si>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</si>
  <si>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</si>
  <si>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</si>
  <si>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</si>
  <si>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</si>
  <si>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</si>
  <si>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</si>
  <si>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</si>
  <si>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</si>
  <si>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</si>
  <si>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</si>
  <si>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</si>
  <si>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</si>
  <si>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</si>
  <si>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</si>
  <si>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</si>
  <si>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</si>
  <si>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</si>
  <si>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</si>
  <si>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</si>
  <si>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</si>
  <si>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</si>
  <si>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</si>
  <si>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</si>
  <si>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</si>
  <si>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</si>
  <si>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</si>
  <si>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</si>
  <si>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</si>
  <si>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</si>
  <si>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</si>
  <si>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</si>
  <si>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</si>
  <si>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</si>
  <si>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</si>
  <si>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</si>
  <si>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</si>
  <si>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</si>
  <si>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</si>
  <si>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</si>
  <si>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</si>
  <si>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</si>
  <si>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</si>
  <si>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</si>
  <si>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</si>
  <si>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</si>
  <si>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</si>
  <si>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</si>
  <si>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</si>
  <si>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</si>
  <si>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</si>
  <si>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</si>
  <si>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</si>
  <si>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</si>
  <si>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</si>
  <si>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</si>
  <si>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</si>
  <si>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</si>
  <si>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</si>
  <si>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</si>
  <si>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</si>
  <si>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</si>
  <si>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</si>
  <si>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</si>
  <si>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</si>
  <si>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</si>
  <si>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</si>
  <si>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</si>
  <si>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</si>
  <si>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</si>
  <si>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</si>
  <si>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</si>
  <si>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</si>
  <si>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</si>
  <si>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</si>
  <si>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</si>
  <si>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</si>
  <si>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</si>
  <si>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</si>
  <si>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</si>
  <si>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</si>
  <si>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</si>
  <si>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</si>
  <si>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</si>
  <si>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</si>
  <si>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</si>
  <si>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</si>
  <si>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</si>
  <si>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</si>
  <si>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</si>
  <si>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</si>
  <si>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</si>
  <si>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</si>
  <si>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</si>
  <si>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</si>
  <si>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</si>
  <si>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</si>
  <si>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</si>
  <si>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</si>
  <si>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</si>
  <si>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</si>
  <si>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</si>
  <si>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</si>
  <si>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</si>
  <si>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</si>
  <si>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</si>
  <si>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</si>
  <si>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</si>
  <si>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</si>
  <si>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</si>
  <si>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</si>
  <si>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</si>
  <si>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</si>
  <si>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</si>
  <si>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</si>
  <si>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</si>
  <si>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</si>
  <si>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</si>
  <si>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</si>
  <si>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</si>
  <si>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</si>
  <si>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</si>
  <si>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</si>
  <si>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</si>
  <si>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</si>
  <si>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</si>
  <si>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</si>
  <si>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</si>
  <si>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</si>
  <si>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</si>
  <si>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</si>
  <si>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</si>
  <si>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</si>
  <si>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</si>
  <si>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</si>
  <si>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</si>
  <si>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</si>
  <si>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</si>
  <si>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</si>
  <si>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</si>
  <si>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</si>
  <si>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</si>
  <si>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</si>
  <si>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</si>
  <si>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</si>
  <si>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</si>
  <si>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</si>
  <si>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</si>
  <si>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</si>
  <si>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</si>
  <si>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</si>
  <si>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</si>
  <si>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</si>
  <si>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</si>
  <si>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</si>
  <si>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</si>
  <si>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</si>
  <si>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</si>
  <si>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</si>
  <si>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</si>
  <si>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</si>
  <si>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</si>
  <si>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</si>
  <si>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</si>
  <si>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</si>
  <si>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</si>
  <si>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</si>
  <si>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</si>
  <si>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</si>
  <si>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</si>
  <si>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</si>
  <si>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</si>
  <si>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</si>
  <si>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</si>
  <si>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</si>
  <si>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</si>
  <si>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</si>
  <si>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</si>
  <si>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</si>
  <si>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</si>
  <si>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</si>
  <si>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</si>
  <si>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</si>
  <si>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</si>
  <si>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</si>
  <si>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</si>
  <si>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</si>
  <si>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</si>
  <si>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</si>
  <si>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</si>
  <si>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</si>
  <si>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</si>
  <si>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 xml:space="preserve"> 2018-1-0100-P01DYGJ1</t>
    <phoneticPr fontId="7" type="noConversion"/>
  </si>
  <si>
    <t>梁津</t>
  </si>
  <si>
    <t>欧红伟</t>
  </si>
  <si>
    <t>北京红星美凯龙国际家具建材广场有限公司</t>
    <phoneticPr fontId="7" type="noConversion"/>
  </si>
  <si>
    <t>中国工商银行股份有限公司北京九龙山支行</t>
    <phoneticPr fontId="7" type="noConversion"/>
  </si>
  <si>
    <t>抵押</t>
  </si>
  <si>
    <t>房地产抵押价值</t>
  </si>
  <si>
    <t>已注销</t>
  </si>
  <si>
    <t>北京市</t>
  </si>
  <si>
    <r>
      <rPr>
        <sz val="12"/>
        <color theme="9" tint="-0.249977111117893"/>
        <rFont val="宋体"/>
        <family val="3"/>
        <charset val="134"/>
      </rPr>
      <t>丰台区西四环中路</t>
    </r>
    <r>
      <rPr>
        <sz val="12"/>
        <color theme="9" tint="-0.249977111117893"/>
        <rFont val="Arial"/>
        <family val="2"/>
      </rPr>
      <t>113</t>
    </r>
    <r>
      <rPr>
        <sz val="12"/>
        <color theme="9" tint="-0.249977111117893"/>
        <rFont val="宋体"/>
        <family val="3"/>
        <charset val="134"/>
      </rPr>
      <t>号</t>
    </r>
    <phoneticPr fontId="7" type="noConversion"/>
  </si>
  <si>
    <t>企业</t>
  </si>
  <si>
    <t>出让</t>
  </si>
  <si>
    <t>商业、地下车库</t>
    <phoneticPr fontId="7" type="noConversion"/>
  </si>
  <si>
    <r>
      <rPr>
        <sz val="12"/>
        <color theme="9" tint="-0.249977111117893"/>
        <rFont val="宋体"/>
        <family val="3"/>
        <charset val="134"/>
      </rPr>
      <t>商业</t>
    </r>
    <r>
      <rPr>
        <sz val="12"/>
        <color theme="9" tint="-0.249977111117893"/>
        <rFont val="Arial"/>
        <family val="2"/>
      </rPr>
      <t>29.5</t>
    </r>
    <r>
      <rPr>
        <sz val="12"/>
        <color theme="9" tint="-0.249977111117893"/>
        <rFont val="宋体"/>
        <family val="3"/>
        <charset val="134"/>
      </rPr>
      <t>、地下车库</t>
    </r>
    <r>
      <rPr>
        <sz val="12"/>
        <color theme="9" tint="-0.249977111117893"/>
        <rFont val="Arial"/>
        <family val="2"/>
      </rPr>
      <t>39.5</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</si>
  <si>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262598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、《房号清单》</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</si>
  <si>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00202</t>
    </r>
    <r>
      <rPr>
        <sz val="12"/>
        <color theme="9" tint="-0.249977111117893"/>
        <rFont val="宋体"/>
        <family val="3"/>
        <charset val="134"/>
      </rPr>
      <t>号</t>
    </r>
    <r>
      <rPr>
        <sz val="12"/>
        <color theme="9" tint="-0.249977111117893"/>
        <rFont val="Arial"/>
        <family val="2"/>
      </rPr>
      <t>]</t>
    </r>
    <phoneticPr fontId="7" type="noConversion"/>
  </si>
  <si>
    <t>是</t>
  </si>
  <si>
    <t>复印件</t>
  </si>
  <si>
    <t>商业项目</t>
  </si>
  <si>
    <t>无</t>
  </si>
  <si>
    <t>现房</t>
  </si>
  <si>
    <t>通路</t>
  </si>
  <si>
    <t>通电</t>
  </si>
  <si>
    <t>通讯</t>
  </si>
  <si>
    <t>通上水</t>
  </si>
  <si>
    <t>通下水</t>
  </si>
  <si>
    <t>燃气</t>
  </si>
  <si>
    <t>幢号</t>
  </si>
  <si>
    <t>所在层数</t>
  </si>
  <si>
    <t>房号及部位</t>
  </si>
  <si>
    <r>
      <t>建筑面积(m</t>
    </r>
    <r>
      <rPr>
        <b/>
        <vertAlign val="superscript"/>
        <sz val="10"/>
        <color theme="1"/>
        <rFont val="楷体_GB2312"/>
        <family val="3"/>
        <charset val="134"/>
      </rPr>
      <t>2</t>
    </r>
    <r>
      <rPr>
        <b/>
        <sz val="10"/>
        <color theme="1"/>
        <rFont val="楷体_GB2312"/>
        <family val="3"/>
        <charset val="134"/>
      </rPr>
      <t>)</t>
    </r>
  </si>
  <si>
    <t>5/-1</t>
  </si>
  <si>
    <t>地上</t>
  </si>
  <si>
    <t>独立商业</t>
  </si>
  <si>
    <t>商业</t>
    <phoneticPr fontId="4" type="noConversion"/>
  </si>
  <si>
    <t>地下</t>
  </si>
  <si>
    <t>车库</t>
  </si>
  <si>
    <t>商业</t>
    <phoneticPr fontId="8" type="noConversion"/>
  </si>
  <si>
    <t>地下车库</t>
    <phoneticPr fontId="8" type="noConversion"/>
  </si>
  <si>
    <t>成新度</t>
  </si>
  <si>
    <t>直线</t>
    <phoneticPr fontId="4" type="noConversion"/>
  </si>
  <si>
    <t>观察</t>
    <phoneticPr fontId="4" type="noConversion"/>
  </si>
  <si>
    <t>批发零售用地</t>
  </si>
  <si>
    <t>六通一平</t>
  </si>
  <si>
    <t>缺少</t>
  </si>
  <si>
    <t>通热</t>
  </si>
  <si>
    <t>不临58条商业街</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</si>
  <si>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商圈，周边商业氛围成熟，人流量大，商业繁华度一般</t>
    </r>
    <phoneticPr fontId="26" type="noConversion"/>
  </si>
  <si>
    <t>估价对象所在区域公共配套设施齐备情况较好</t>
    <phoneticPr fontId="42" type="noConversion"/>
  </si>
  <si>
    <t>六通</t>
    <phoneticPr fontId="26" type="noConversion"/>
  </si>
  <si>
    <t>区域自然环境：天元公园；人文环境；综合评价环境状况一般</t>
    <phoneticPr fontId="42"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</si>
  <si>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西四环</t>
    </r>
    <phoneticPr fontId="26" type="noConversion"/>
  </si>
  <si>
    <t>一般</t>
  </si>
  <si>
    <t>较好</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</si>
  <si>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300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临街宽度及深度比例适宜程度较好，对土地利用的影响较好</t>
    </r>
    <phoneticPr fontId="80" type="noConversion"/>
  </si>
  <si>
    <t>宗地形状较规则</t>
    <phoneticPr fontId="80" type="noConversion"/>
  </si>
  <si>
    <t>基准地价修正1</t>
  </si>
  <si>
    <t>基准地价修正1</t>
    <phoneticPr fontId="17" type="noConversion"/>
  </si>
  <si>
    <t>基准地价修正2</t>
  </si>
  <si>
    <t>基准地价修正3</t>
  </si>
  <si>
    <t>基准地价修正4</t>
  </si>
  <si>
    <t>基准地价修正5</t>
  </si>
  <si>
    <t>按公示增长率计算</t>
  </si>
  <si>
    <t>已包含在土地取得成本中</t>
  </si>
  <si>
    <t>未包含在土地购买价格中</t>
  </si>
  <si>
    <t>全部缴纳</t>
  </si>
  <si>
    <t>填报单位（简称）：</t>
  </si>
  <si>
    <t>北京西四环</t>
  </si>
  <si>
    <t xml:space="preserve">        </t>
  </si>
  <si>
    <t>楼层</t>
  </si>
  <si>
    <t>本月实租面积</t>
  </si>
  <si>
    <t>填报月份：</t>
  </si>
  <si>
    <t>序号</t>
  </si>
  <si>
    <t>场地出租基础信息</t>
  </si>
  <si>
    <r>
      <rPr>
        <sz val="9"/>
        <rFont val="宋体"/>
        <family val="3"/>
        <charset val="134"/>
      </rPr>
      <t>单位</t>
    </r>
    <r>
      <rPr>
        <sz val="9"/>
        <rFont val="Times New Roman"/>
        <family val="1"/>
      </rPr>
      <t>/</t>
    </r>
    <r>
      <rPr>
        <sz val="9"/>
        <rFont val="宋体"/>
        <family val="3"/>
        <charset val="134"/>
      </rPr>
      <t>品牌
名称</t>
    </r>
  </si>
  <si>
    <t>场地位置</t>
  </si>
  <si>
    <t>面积</t>
  </si>
  <si>
    <t>月单价</t>
  </si>
  <si>
    <t>起止时间</t>
  </si>
  <si>
    <t>付款方式</t>
  </si>
  <si>
    <t>-1F</t>
  </si>
  <si>
    <t>合同开始</t>
  </si>
  <si>
    <t>应收截至</t>
  </si>
  <si>
    <t>合同截止</t>
  </si>
  <si>
    <t>1F</t>
  </si>
  <si>
    <t>负一层</t>
  </si>
  <si>
    <t>皇嘉鼎间</t>
  </si>
  <si>
    <t>A8001</t>
  </si>
  <si>
    <t>2F</t>
  </si>
  <si>
    <t>3F</t>
  </si>
  <si>
    <t>兰舍</t>
  </si>
  <si>
    <t>4F</t>
  </si>
  <si>
    <t>5F</t>
  </si>
  <si>
    <t>兰舍硅藻泥</t>
  </si>
  <si>
    <t>A8021</t>
  </si>
  <si>
    <t>6F</t>
  </si>
  <si>
    <t>创收表</t>
  </si>
  <si>
    <t>森森</t>
  </si>
  <si>
    <t>B1.C0003</t>
  </si>
  <si>
    <t>意莱德</t>
  </si>
  <si>
    <t>A8003</t>
  </si>
  <si>
    <t>美洛士</t>
  </si>
  <si>
    <r>
      <rPr>
        <sz val="9"/>
        <rFont val="宋体"/>
        <family val="3"/>
        <charset val="134"/>
      </rPr>
      <t>负</t>
    </r>
    <r>
      <rPr>
        <sz val="10"/>
        <rFont val="宋体"/>
        <family val="3"/>
        <charset val="134"/>
      </rPr>
      <t>一层</t>
    </r>
  </si>
  <si>
    <t>芬享</t>
  </si>
  <si>
    <t>东鹏瓷砖</t>
  </si>
  <si>
    <t>东鹏硅藻泥</t>
  </si>
  <si>
    <t>爱乐屋</t>
  </si>
  <si>
    <t>A8026-1</t>
  </si>
  <si>
    <t>-1</t>
  </si>
  <si>
    <t>索菲亚移门衣柜</t>
  </si>
  <si>
    <t>A8021、A8026-1</t>
  </si>
  <si>
    <t>好莱客</t>
  </si>
  <si>
    <t>A8005</t>
  </si>
  <si>
    <t>益圆</t>
  </si>
  <si>
    <t>A8026</t>
  </si>
  <si>
    <t>梦天</t>
  </si>
  <si>
    <t>B1.C0004</t>
  </si>
  <si>
    <t>澜爵公馆</t>
  </si>
  <si>
    <t>A8007</t>
  </si>
  <si>
    <t>金鹊</t>
  </si>
  <si>
    <t>B1.C0005</t>
  </si>
  <si>
    <t>德耐尔</t>
  </si>
  <si>
    <t>A8009</t>
  </si>
  <si>
    <t>德杰（昊盛）</t>
  </si>
  <si>
    <t>昊盛</t>
  </si>
  <si>
    <t>A8026-2</t>
  </si>
  <si>
    <t>日上</t>
  </si>
  <si>
    <t>A8026-3</t>
  </si>
  <si>
    <t>森阁</t>
  </si>
  <si>
    <t>金宝艺</t>
  </si>
  <si>
    <t>B1.C0007</t>
  </si>
  <si>
    <t>杰乐</t>
  </si>
  <si>
    <t>A8011</t>
  </si>
  <si>
    <t>瓦里瓦里</t>
  </si>
  <si>
    <t>A8028-1</t>
  </si>
  <si>
    <t>德诚</t>
  </si>
  <si>
    <t>A8013</t>
  </si>
  <si>
    <t>日上木门</t>
  </si>
  <si>
    <t>A8028</t>
  </si>
  <si>
    <t>鸿然悦居</t>
    <phoneticPr fontId="4" type="noConversion"/>
  </si>
  <si>
    <t>德杰</t>
  </si>
  <si>
    <t>A8029</t>
  </si>
  <si>
    <t>中涛衣柜</t>
  </si>
  <si>
    <t>A8015</t>
  </si>
  <si>
    <t>和信盛达</t>
  </si>
  <si>
    <t>森格</t>
  </si>
  <si>
    <t>A8017</t>
  </si>
  <si>
    <t>A8030</t>
  </si>
  <si>
    <t>尚品·佳</t>
  </si>
  <si>
    <t>B1.C0010</t>
  </si>
  <si>
    <t>美心</t>
  </si>
  <si>
    <t>A8019</t>
  </si>
  <si>
    <t>A8032</t>
  </si>
  <si>
    <t>飞美地板</t>
  </si>
  <si>
    <t>A8030、A8032</t>
  </si>
  <si>
    <t>杭州佳居</t>
  </si>
  <si>
    <t>B1.C0011</t>
  </si>
  <si>
    <t>派的</t>
  </si>
  <si>
    <t>龙甲木门</t>
  </si>
  <si>
    <t>龙甲</t>
  </si>
  <si>
    <t>A8031-4</t>
  </si>
  <si>
    <t>龙翔</t>
  </si>
  <si>
    <t>B1.C0012</t>
  </si>
  <si>
    <t>一品富贵</t>
  </si>
  <si>
    <t>A8033</t>
  </si>
  <si>
    <t>美森耐</t>
  </si>
  <si>
    <t>B1.C0013</t>
  </si>
  <si>
    <t>森森（威尔凯撒）</t>
  </si>
  <si>
    <t>A8023</t>
  </si>
  <si>
    <t>京霖木门</t>
  </si>
  <si>
    <t>威尔凯撒</t>
  </si>
  <si>
    <t>欣和昊宇</t>
  </si>
  <si>
    <t>豪登（豪登）</t>
  </si>
  <si>
    <t>B1.C0015</t>
  </si>
  <si>
    <r>
      <rPr>
        <sz val="9"/>
        <rFont val="宋体"/>
        <family val="3"/>
        <charset val="134"/>
      </rPr>
      <t>M</t>
    </r>
    <r>
      <rPr>
        <sz val="9"/>
        <rFont val="宋体"/>
        <family val="3"/>
        <charset val="134"/>
      </rPr>
      <t>OOTO</t>
    </r>
  </si>
  <si>
    <t>构筑木门</t>
  </si>
  <si>
    <t>A8025</t>
  </si>
  <si>
    <t>腾达</t>
  </si>
  <si>
    <t>A8031-1</t>
  </si>
  <si>
    <t>B1.C0016</t>
  </si>
  <si>
    <t>尚品佳</t>
  </si>
  <si>
    <t>A8027</t>
  </si>
  <si>
    <t>陆锋伯森</t>
  </si>
  <si>
    <t>A8031</t>
  </si>
  <si>
    <t>日上安全门</t>
  </si>
  <si>
    <t>B1.C0017</t>
  </si>
  <si>
    <t>盼盼</t>
  </si>
  <si>
    <t>B1.C0018</t>
  </si>
  <si>
    <t>卡尔凯旋</t>
  </si>
  <si>
    <t>维尔蒂尼</t>
  </si>
  <si>
    <t>威得利</t>
  </si>
  <si>
    <t>A8031-2</t>
  </si>
  <si>
    <t>步阳</t>
  </si>
  <si>
    <t>B1.C0019</t>
  </si>
  <si>
    <t>王力</t>
  </si>
  <si>
    <t>振生安防</t>
  </si>
  <si>
    <t>A8031-3</t>
  </si>
  <si>
    <t>汉狮加华</t>
  </si>
  <si>
    <t>B1.C0020</t>
  </si>
  <si>
    <t>盼盼安全门</t>
  </si>
  <si>
    <t>十上</t>
  </si>
  <si>
    <t>B1.C0021</t>
  </si>
  <si>
    <t>斯卡特</t>
  </si>
  <si>
    <t>A8053</t>
  </si>
  <si>
    <t>A8035</t>
  </si>
  <si>
    <t>图盾</t>
  </si>
  <si>
    <t>A8033、A8035</t>
  </si>
  <si>
    <t>友格</t>
  </si>
  <si>
    <t>B1.C0022</t>
  </si>
  <si>
    <t>A8037</t>
  </si>
  <si>
    <t>A8052-3</t>
  </si>
  <si>
    <t>亚斯王</t>
  </si>
  <si>
    <t>A8701</t>
  </si>
  <si>
    <t>A8006</t>
  </si>
  <si>
    <t>广铝</t>
  </si>
  <si>
    <t>B1.C0024</t>
  </si>
  <si>
    <t>A8039</t>
  </si>
  <si>
    <t>A8052-1</t>
  </si>
  <si>
    <t>辉乐豪</t>
  </si>
  <si>
    <t>A8057-2</t>
  </si>
  <si>
    <t>川一</t>
  </si>
  <si>
    <t>B1.C0025</t>
  </si>
  <si>
    <t>柏朗斯</t>
  </si>
  <si>
    <t>A8058</t>
  </si>
  <si>
    <t>雷士</t>
  </si>
  <si>
    <t>A8705</t>
  </si>
  <si>
    <t>A8060-3</t>
  </si>
  <si>
    <t>海尔厨卫电器</t>
    <phoneticPr fontId="4" type="noConversion"/>
  </si>
  <si>
    <t>欧普</t>
  </si>
  <si>
    <t>A8703</t>
  </si>
  <si>
    <t>欧普吊顶</t>
  </si>
  <si>
    <t>A8060-6</t>
  </si>
  <si>
    <t>现代吊顶</t>
  </si>
  <si>
    <t>A8702</t>
  </si>
  <si>
    <t>长虹厨卫</t>
  </si>
  <si>
    <t>10064-AB1-T8-00085</t>
  </si>
  <si>
    <t>A8060-7</t>
  </si>
  <si>
    <t>格瑞生态木</t>
    <phoneticPr fontId="4" type="noConversion"/>
  </si>
  <si>
    <t>TCL</t>
  </si>
  <si>
    <t>A8707</t>
  </si>
  <si>
    <t>纳恩</t>
  </si>
  <si>
    <t>BNN贝莱尔-NON纳恩</t>
  </si>
  <si>
    <t>A8060</t>
  </si>
  <si>
    <t>松下</t>
  </si>
  <si>
    <t>三星</t>
  </si>
  <si>
    <t>A8706</t>
  </si>
  <si>
    <t>三星吊顶</t>
  </si>
  <si>
    <t>A8060-5</t>
  </si>
  <si>
    <t>小布点</t>
  </si>
  <si>
    <t>B1.C0027</t>
  </si>
  <si>
    <t>名族</t>
  </si>
  <si>
    <t>A8710</t>
  </si>
  <si>
    <t>名族吊顶</t>
  </si>
  <si>
    <t>A8060-2</t>
  </si>
  <si>
    <t>法狮龙</t>
  </si>
  <si>
    <t>A8709</t>
  </si>
  <si>
    <t>A8060-1</t>
  </si>
  <si>
    <t>奥普</t>
  </si>
  <si>
    <t>A8708</t>
  </si>
  <si>
    <t>奥普集成吊顶</t>
  </si>
  <si>
    <t>A8060-4</t>
  </si>
  <si>
    <t>-1</t>
    <phoneticPr fontId="4" type="noConversion"/>
  </si>
  <si>
    <t>南方</t>
  </si>
  <si>
    <t>B1.C0028</t>
  </si>
  <si>
    <t>CASADECO壁纸</t>
  </si>
  <si>
    <t>B1.C00291</t>
  </si>
  <si>
    <t>德朗斯</t>
  </si>
  <si>
    <t>A8712</t>
  </si>
  <si>
    <t>A8062-1</t>
  </si>
  <si>
    <t>潜水艇</t>
  </si>
  <si>
    <t>A8062-2</t>
  </si>
  <si>
    <t>晾霸</t>
  </si>
  <si>
    <t>A8062-3</t>
  </si>
  <si>
    <t>富思特</t>
  </si>
  <si>
    <t>A8711</t>
  </si>
  <si>
    <t>诺瑞地毯</t>
  </si>
  <si>
    <t>B1.C00292</t>
  </si>
  <si>
    <t>A8062</t>
  </si>
  <si>
    <t>阳光窗饰</t>
  </si>
  <si>
    <t>B1.C0031</t>
  </si>
  <si>
    <t>卓越玻璃</t>
  </si>
  <si>
    <t>A8511</t>
  </si>
  <si>
    <t>卓越</t>
  </si>
  <si>
    <t>A8001-2</t>
  </si>
  <si>
    <t>A8001-3</t>
  </si>
  <si>
    <t>艾芬达</t>
  </si>
  <si>
    <t>一良尚品</t>
  </si>
  <si>
    <t>A8508</t>
  </si>
  <si>
    <t>介仁</t>
  </si>
  <si>
    <t>A8510</t>
  </si>
  <si>
    <t>罗福（介仁）</t>
  </si>
  <si>
    <t>A8001-4</t>
  </si>
  <si>
    <t>花样年华</t>
  </si>
  <si>
    <t>A8509</t>
  </si>
  <si>
    <t>利民</t>
  </si>
  <si>
    <t>君鸿和室</t>
  </si>
  <si>
    <t>A8507</t>
  </si>
  <si>
    <t>格拉夫</t>
  </si>
  <si>
    <t>A8507、A8058</t>
  </si>
  <si>
    <t>艺佳和室</t>
  </si>
  <si>
    <t>A8506</t>
  </si>
  <si>
    <t>花剪子</t>
  </si>
  <si>
    <t>B1.C0034</t>
  </si>
  <si>
    <t>一品和</t>
  </si>
  <si>
    <t>A8505</t>
  </si>
  <si>
    <t>艺佳（世纪星辰）</t>
  </si>
  <si>
    <t>A8505、8506</t>
  </si>
  <si>
    <t>世纪星辰</t>
  </si>
  <si>
    <t>都芳</t>
  </si>
  <si>
    <t xml:space="preserve">A8011-6 </t>
  </si>
  <si>
    <t>唐艺和风</t>
  </si>
  <si>
    <t>A8503</t>
  </si>
  <si>
    <t>维斯卡缔</t>
  </si>
  <si>
    <t>B1.C0035</t>
  </si>
  <si>
    <t>和室之屋</t>
  </si>
  <si>
    <t>A8502</t>
  </si>
  <si>
    <t>阔达</t>
  </si>
  <si>
    <t>A8502、8503</t>
  </si>
  <si>
    <t>山邦</t>
  </si>
  <si>
    <t>A8011-12</t>
  </si>
  <si>
    <t>A8001-1 ,A8011-1 ,A8011-6 ,A8076 ,A8076 -1,A8001-1</t>
  </si>
  <si>
    <t>立邦</t>
  </si>
  <si>
    <t xml:space="preserve">A8011-1 </t>
  </si>
  <si>
    <t>A8011-1</t>
  </si>
  <si>
    <t>家倍得</t>
  </si>
  <si>
    <t>A8008-1</t>
  </si>
  <si>
    <t>A8096</t>
  </si>
  <si>
    <t>昆鹏</t>
  </si>
  <si>
    <t>A8008</t>
  </si>
  <si>
    <t>日上散热器</t>
  </si>
  <si>
    <t>A8616</t>
  </si>
  <si>
    <t>A8002</t>
  </si>
  <si>
    <t>佛罗伦萨散热器</t>
  </si>
  <si>
    <t>A8615</t>
  </si>
  <si>
    <t>佛罗伦萨</t>
  </si>
  <si>
    <t>A8010-1</t>
  </si>
  <si>
    <t>太阳花散热器</t>
  </si>
  <si>
    <t>A8613</t>
  </si>
  <si>
    <t>A8612</t>
  </si>
  <si>
    <t>A8010</t>
  </si>
  <si>
    <t>米兰春天散热器</t>
  </si>
  <si>
    <t>A8611</t>
  </si>
  <si>
    <t>米兰春天</t>
  </si>
  <si>
    <t>A8008-3</t>
  </si>
  <si>
    <t>全鸿</t>
  </si>
  <si>
    <t>B1.C0037</t>
  </si>
  <si>
    <t>全鸿（三星）</t>
  </si>
  <si>
    <t>派维散热器</t>
  </si>
  <si>
    <t>A8610</t>
  </si>
  <si>
    <t>派维地暖</t>
  </si>
  <si>
    <t>和室榻榻米</t>
  </si>
  <si>
    <t>B1.C0038</t>
  </si>
  <si>
    <t>森德散热器</t>
  </si>
  <si>
    <t>A8609</t>
  </si>
  <si>
    <t>森德</t>
  </si>
  <si>
    <t>圣火散热器</t>
  </si>
  <si>
    <t>A8608</t>
  </si>
  <si>
    <t>圣火</t>
  </si>
  <si>
    <t>三叶散热器</t>
  </si>
  <si>
    <t>A8606</t>
  </si>
  <si>
    <t>三叶水暖</t>
  </si>
  <si>
    <t>A8012</t>
  </si>
  <si>
    <t>B1.C0040</t>
  </si>
  <si>
    <t>努奥罗散热器</t>
  </si>
  <si>
    <t>A8605</t>
  </si>
  <si>
    <t>努奥罗</t>
  </si>
  <si>
    <t>A8008-2</t>
  </si>
  <si>
    <t>容声</t>
  </si>
  <si>
    <t>慕思艾娅</t>
  </si>
  <si>
    <t>A8603</t>
  </si>
  <si>
    <t>慕思艾娅（和室之屋）</t>
  </si>
  <si>
    <t>和室之屋榻榻米</t>
  </si>
  <si>
    <t>A8013-1</t>
  </si>
  <si>
    <t>现代冠军</t>
  </si>
  <si>
    <t>B1.C0042</t>
  </si>
  <si>
    <t>欧派衣柜</t>
  </si>
  <si>
    <t>A8602</t>
  </si>
  <si>
    <t>艺佳</t>
  </si>
  <si>
    <t>唐缘工坊</t>
  </si>
  <si>
    <t>A8015-1</t>
  </si>
  <si>
    <t>B1.C0047</t>
  </si>
  <si>
    <t>鑫鑫法兰克</t>
  </si>
  <si>
    <t>A8601</t>
  </si>
  <si>
    <t>一品和榻榻米</t>
  </si>
  <si>
    <t>加藤榻榻米</t>
  </si>
  <si>
    <t>A8018</t>
  </si>
  <si>
    <t>B1.C0048</t>
  </si>
  <si>
    <t>B1.C0049</t>
  </si>
  <si>
    <t>诗尼曼</t>
  </si>
  <si>
    <t>A8129</t>
  </si>
  <si>
    <t>和室之家</t>
  </si>
  <si>
    <t>仁贵和</t>
  </si>
  <si>
    <t>A8131</t>
  </si>
  <si>
    <t>永盛和室</t>
  </si>
  <si>
    <t>巴赫曼</t>
  </si>
  <si>
    <t>B1.C0050</t>
  </si>
  <si>
    <t>艾尚</t>
  </si>
  <si>
    <t>英龙（森德豪门）</t>
  </si>
  <si>
    <t>森德豪门</t>
  </si>
  <si>
    <t>A8130</t>
  </si>
  <si>
    <t>TATA</t>
  </si>
  <si>
    <t>B1.C0051</t>
  </si>
  <si>
    <t>A8126</t>
  </si>
  <si>
    <t xml:space="preserve">鑫迪家美 </t>
  </si>
  <si>
    <t xml:space="preserve">A8127 </t>
  </si>
  <si>
    <t>鑫迪家美</t>
  </si>
  <si>
    <t>构筑</t>
  </si>
  <si>
    <t xml:space="preserve">A8127-1 </t>
  </si>
  <si>
    <t>博洛尼家装</t>
  </si>
  <si>
    <t>A8125</t>
  </si>
  <si>
    <t>尚品本色</t>
  </si>
  <si>
    <t>左尚明舍</t>
  </si>
  <si>
    <t>A8132</t>
  </si>
  <si>
    <t>布鲁斯特</t>
  </si>
  <si>
    <t>北美蓝山</t>
  </si>
  <si>
    <t>美克思丽</t>
  </si>
  <si>
    <t>德诺</t>
  </si>
  <si>
    <t>英龙（源和）</t>
  </si>
  <si>
    <t>A8132-1</t>
  </si>
  <si>
    <t xml:space="preserve">欧铂尼 </t>
  </si>
  <si>
    <t>U品</t>
  </si>
  <si>
    <t>B1.C0054</t>
  </si>
  <si>
    <t>A8133</t>
  </si>
  <si>
    <t>昊艺</t>
  </si>
  <si>
    <t>A8061</t>
  </si>
  <si>
    <t>福进</t>
  </si>
  <si>
    <t>B1.C0055</t>
  </si>
  <si>
    <t>宝石龙</t>
  </si>
  <si>
    <t>盼盼盼宝宝</t>
  </si>
  <si>
    <t>艺峰</t>
  </si>
  <si>
    <t>星星木门</t>
  </si>
  <si>
    <t>星星</t>
  </si>
  <si>
    <t>A8135</t>
  </si>
  <si>
    <t>大自然木业</t>
  </si>
  <si>
    <t>B1.C0056</t>
  </si>
  <si>
    <t>朗饰</t>
  </si>
  <si>
    <t>A8109</t>
  </si>
  <si>
    <t>A8120-1</t>
  </si>
  <si>
    <t>润新</t>
  </si>
  <si>
    <t>名筑</t>
  </si>
  <si>
    <t>A8120</t>
  </si>
  <si>
    <t>特步楼梯</t>
    <phoneticPr fontId="4" type="noConversion"/>
  </si>
  <si>
    <t>特诺发</t>
  </si>
  <si>
    <t>B1.C0057</t>
  </si>
  <si>
    <t>A8022</t>
  </si>
  <si>
    <t>中涛</t>
  </si>
  <si>
    <t>中涛移门衣柜</t>
  </si>
  <si>
    <t>A8136</t>
  </si>
  <si>
    <t>汇盈</t>
  </si>
  <si>
    <t>A8137</t>
  </si>
  <si>
    <t>英龙</t>
  </si>
  <si>
    <t>王力安全门</t>
  </si>
  <si>
    <t>利迩旺族</t>
  </si>
  <si>
    <t>B1.C0059</t>
  </si>
  <si>
    <t>龙鹏卓尔</t>
  </si>
  <si>
    <t>旭阁尔</t>
  </si>
  <si>
    <t>A8138</t>
  </si>
  <si>
    <t>禾臣家格</t>
  </si>
  <si>
    <t>金诚永信</t>
  </si>
  <si>
    <t>A8119-1</t>
  </si>
  <si>
    <t>普斯帝安全门</t>
  </si>
  <si>
    <t>维卡斯特</t>
  </si>
  <si>
    <t>B1.C0060</t>
  </si>
  <si>
    <t>A8139</t>
  </si>
  <si>
    <t>环球大自然</t>
  </si>
  <si>
    <t>万嘉防盗门</t>
  </si>
  <si>
    <t>A8150</t>
  </si>
  <si>
    <t>LG</t>
  </si>
  <si>
    <t>B1.C00611</t>
  </si>
  <si>
    <t>万嘉</t>
  </si>
  <si>
    <t>金诺德</t>
  </si>
  <si>
    <t>A8117</t>
  </si>
  <si>
    <t>德维特</t>
  </si>
  <si>
    <t>B1.C00621</t>
  </si>
  <si>
    <t>A8036</t>
  </si>
  <si>
    <t>天东</t>
  </si>
  <si>
    <t>B1.C00641</t>
  </si>
  <si>
    <t>A8151-1</t>
  </si>
  <si>
    <t>A8040</t>
  </si>
  <si>
    <t>大自然木门</t>
  </si>
  <si>
    <t>A8038</t>
  </si>
  <si>
    <t>雅帝乐</t>
  </si>
  <si>
    <t>A8038、A8040</t>
  </si>
  <si>
    <t>A8116-3</t>
  </si>
  <si>
    <t>A8042</t>
  </si>
  <si>
    <t>A8116</t>
  </si>
  <si>
    <t>港田</t>
  </si>
  <si>
    <t>B1.C0066</t>
  </si>
  <si>
    <t>神将</t>
  </si>
  <si>
    <t>A8046</t>
  </si>
  <si>
    <t>A8116-2</t>
  </si>
  <si>
    <t>维盾</t>
  </si>
  <si>
    <t>A8157</t>
  </si>
  <si>
    <t>A8048</t>
  </si>
  <si>
    <t>汇盈铜门</t>
  </si>
  <si>
    <t>A8116-6</t>
  </si>
  <si>
    <t>B1.C0068</t>
  </si>
  <si>
    <t>友邦</t>
  </si>
  <si>
    <t>A8216</t>
  </si>
  <si>
    <t>泉佳美</t>
  </si>
  <si>
    <t>B1.C0069</t>
  </si>
  <si>
    <t>美克思麗</t>
  </si>
  <si>
    <t>B1.C0070</t>
  </si>
  <si>
    <t>A8123</t>
  </si>
  <si>
    <t>A8161</t>
  </si>
  <si>
    <t>TCL吊顶</t>
    <phoneticPr fontId="4" type="noConversion"/>
  </si>
  <si>
    <t>今顶</t>
  </si>
  <si>
    <t xml:space="preserve"> </t>
    <phoneticPr fontId="4" type="noConversion"/>
  </si>
  <si>
    <t>A8116-1</t>
  </si>
  <si>
    <t>JPHTT金牌好太太</t>
  </si>
  <si>
    <t>菲迪科尔</t>
  </si>
  <si>
    <t>B1.C0071</t>
  </si>
  <si>
    <t>中涛楼梯</t>
  </si>
  <si>
    <t>A8121</t>
  </si>
  <si>
    <t>奥华</t>
  </si>
  <si>
    <t>A8116-4</t>
  </si>
  <si>
    <t>多正</t>
  </si>
  <si>
    <t>B1.C0072</t>
  </si>
  <si>
    <t>特普丽</t>
  </si>
  <si>
    <t>A8119</t>
  </si>
  <si>
    <t>A8119、8036</t>
  </si>
  <si>
    <t>特普丽壁纸</t>
  </si>
  <si>
    <t>A8116-5</t>
  </si>
  <si>
    <t>格莱美</t>
  </si>
  <si>
    <t>B1.C0073</t>
  </si>
  <si>
    <t>维朗</t>
  </si>
  <si>
    <t>科曼多</t>
  </si>
  <si>
    <t>B1.C0074</t>
  </si>
  <si>
    <t>美国约克</t>
  </si>
  <si>
    <t>约克墙纸</t>
  </si>
  <si>
    <t>A8115</t>
  </si>
  <si>
    <t>玉兰</t>
  </si>
  <si>
    <t>爱亿</t>
  </si>
  <si>
    <t>A8113</t>
  </si>
  <si>
    <t>艾瑞斯曼</t>
  </si>
  <si>
    <t>A8118</t>
  </si>
  <si>
    <t>B1.C0075</t>
  </si>
  <si>
    <t>瑞宝壁纸</t>
  </si>
  <si>
    <t>A8111</t>
  </si>
  <si>
    <t>瑞宝</t>
  </si>
  <si>
    <t>B1.C0077</t>
  </si>
  <si>
    <t>A8107</t>
  </si>
  <si>
    <t>嫣然</t>
  </si>
  <si>
    <t>A8105</t>
  </si>
  <si>
    <t>宝顿</t>
  </si>
  <si>
    <t>宝顿壁纸</t>
  </si>
  <si>
    <t>A8122</t>
  </si>
  <si>
    <t>索菲亚</t>
  </si>
  <si>
    <t>B1.C0079</t>
  </si>
  <si>
    <t>A8128</t>
  </si>
  <si>
    <t>圣和</t>
  </si>
  <si>
    <t>缘和伟业</t>
  </si>
  <si>
    <t>A8128-1</t>
  </si>
  <si>
    <t>科莱诺</t>
  </si>
  <si>
    <t>B1.C0080</t>
  </si>
  <si>
    <t>A8127</t>
  </si>
  <si>
    <t>顶固壁柜</t>
  </si>
  <si>
    <t>A8106</t>
  </si>
  <si>
    <t>展拜邸</t>
  </si>
  <si>
    <t>摩曼</t>
  </si>
  <si>
    <t>A8106-1</t>
  </si>
  <si>
    <t>欧曼城堡</t>
  </si>
  <si>
    <t>B1.C0082</t>
  </si>
  <si>
    <t>安信</t>
  </si>
  <si>
    <t>B1.C00831</t>
  </si>
  <si>
    <t>A8102-2</t>
  </si>
  <si>
    <t>B1.C00832</t>
  </si>
  <si>
    <t>玛堡</t>
  </si>
  <si>
    <t>A8110</t>
  </si>
  <si>
    <t>A8102</t>
  </si>
  <si>
    <t>介仁玻璃</t>
  </si>
  <si>
    <t>B1.C00833</t>
  </si>
  <si>
    <t>奥斯卡</t>
  </si>
  <si>
    <t>A8108</t>
  </si>
  <si>
    <t>美家美户</t>
  </si>
  <si>
    <t>A8102-1</t>
  </si>
  <si>
    <t>利凯城</t>
  </si>
  <si>
    <t>B1.C008401</t>
  </si>
  <si>
    <t>固特丽</t>
  </si>
  <si>
    <t>中涛家居</t>
  </si>
  <si>
    <t>B1.C008402</t>
  </si>
  <si>
    <t>A8112</t>
  </si>
  <si>
    <t>A8101-2</t>
  </si>
  <si>
    <t>艾薇尼</t>
  </si>
  <si>
    <t>B1.C0085</t>
  </si>
  <si>
    <t>百饰特</t>
  </si>
  <si>
    <t>沃斯贝特</t>
  </si>
  <si>
    <t>展邦</t>
  </si>
  <si>
    <t>MSNEG·展邦</t>
  </si>
  <si>
    <t>A8101-4</t>
  </si>
  <si>
    <t>皇家森林</t>
  </si>
  <si>
    <t>A8101-3</t>
  </si>
  <si>
    <r>
      <rPr>
        <sz val="9"/>
        <rFont val="宋体"/>
        <family val="3"/>
        <charset val="134"/>
      </rPr>
      <t>-</t>
    </r>
    <r>
      <rPr>
        <sz val="9"/>
        <rFont val="宋体"/>
        <family val="3"/>
        <charset val="134"/>
      </rPr>
      <t>1</t>
    </r>
  </si>
  <si>
    <t>墙酷</t>
  </si>
  <si>
    <t>B1.C0086</t>
  </si>
  <si>
    <t>白璧</t>
  </si>
  <si>
    <t>A8120、A8118</t>
  </si>
  <si>
    <t>B1.C0088</t>
  </si>
  <si>
    <t>德合家</t>
  </si>
  <si>
    <t>A8211</t>
  </si>
  <si>
    <t>A8101</t>
  </si>
  <si>
    <t>别丽美特</t>
  </si>
  <si>
    <t>美之选</t>
  </si>
  <si>
    <t>B1.C0089</t>
  </si>
  <si>
    <t>誉丰</t>
  </si>
  <si>
    <t>A8207</t>
  </si>
  <si>
    <t>龙森</t>
  </si>
  <si>
    <t>10064-AB1-T8-00067</t>
  </si>
  <si>
    <t>A8101-1</t>
  </si>
  <si>
    <t>名佳</t>
  </si>
  <si>
    <t>A8209</t>
  </si>
  <si>
    <t>新振泰山</t>
  </si>
  <si>
    <t>誉丰</t>
    <phoneticPr fontId="4" type="noConversion"/>
  </si>
  <si>
    <t>久盛</t>
  </si>
  <si>
    <r>
      <rPr>
        <sz val="9"/>
        <rFont val="宋体"/>
        <family val="3"/>
        <charset val="134"/>
      </rPr>
      <t>A8013</t>
    </r>
    <r>
      <rPr>
        <sz val="9"/>
        <rFont val="宋体"/>
        <family val="3"/>
        <charset val="134"/>
      </rPr>
      <t>-1</t>
    </r>
  </si>
  <si>
    <t>邦迪</t>
  </si>
  <si>
    <t>比乐</t>
  </si>
  <si>
    <t>B1.C0090</t>
  </si>
  <si>
    <t>林牌</t>
  </si>
  <si>
    <t>A8203</t>
  </si>
  <si>
    <t>史丹利</t>
  </si>
  <si>
    <t>B1.C0091</t>
  </si>
  <si>
    <t>书香门地</t>
  </si>
  <si>
    <t>世友</t>
  </si>
  <si>
    <t>B1.C0092</t>
  </si>
  <si>
    <t>A8098</t>
  </si>
  <si>
    <t>世友地板</t>
  </si>
  <si>
    <t>生活家</t>
  </si>
  <si>
    <t>B1.C0094</t>
  </si>
  <si>
    <t>A8095</t>
  </si>
  <si>
    <t>A8097-1</t>
  </si>
  <si>
    <t>A8212</t>
  </si>
  <si>
    <t>柏尔</t>
  </si>
  <si>
    <t>A8086</t>
  </si>
  <si>
    <t>负一层</t>
    <phoneticPr fontId="4" type="noConversion"/>
  </si>
  <si>
    <t>A8321</t>
  </si>
  <si>
    <t xml:space="preserve">京港亚 </t>
  </si>
  <si>
    <t>A8086-6,A8280,A8281</t>
  </si>
  <si>
    <t>辛巴</t>
  </si>
  <si>
    <t>B1.C0101</t>
  </si>
  <si>
    <t>旭格（友格）</t>
  </si>
  <si>
    <t>A8319</t>
  </si>
  <si>
    <t>旭阁（友格）</t>
  </si>
  <si>
    <t>旭格</t>
  </si>
  <si>
    <t>A8086-1</t>
  </si>
  <si>
    <t>弗朗克</t>
  </si>
  <si>
    <t>B1.C0102</t>
  </si>
  <si>
    <t>B1.C01021</t>
  </si>
  <si>
    <t>LG（蓝卡）</t>
  </si>
  <si>
    <t>A8317</t>
  </si>
  <si>
    <t>蓝卡</t>
  </si>
  <si>
    <t>A8086-2</t>
  </si>
  <si>
    <t>实德</t>
  </si>
  <si>
    <t>A8315</t>
  </si>
  <si>
    <t>A8086-3</t>
  </si>
  <si>
    <t>大自然地板</t>
  </si>
  <si>
    <t>A8210</t>
  </si>
  <si>
    <t>A8086-4</t>
  </si>
  <si>
    <t>A8313</t>
  </si>
  <si>
    <t>A8086-5</t>
  </si>
  <si>
    <t>坚美</t>
  </si>
  <si>
    <t>B1.C0104</t>
  </si>
  <si>
    <t>扬子</t>
  </si>
  <si>
    <t>B1.C01051</t>
  </si>
  <si>
    <t>春洲</t>
  </si>
  <si>
    <t>B1.C010512</t>
  </si>
  <si>
    <t>A8309</t>
  </si>
  <si>
    <t>A8097-5</t>
  </si>
  <si>
    <t>飞美（爱格）</t>
  </si>
  <si>
    <t>B1.C0106A</t>
  </si>
  <si>
    <t>爱格（飞美）</t>
  </si>
  <si>
    <t>A8206</t>
  </si>
  <si>
    <t>A8097-2</t>
  </si>
  <si>
    <t>忠旺</t>
  </si>
  <si>
    <t>A8307</t>
  </si>
  <si>
    <t>忠旺铝材</t>
  </si>
  <si>
    <t>A8097-3</t>
  </si>
  <si>
    <t>沃伦</t>
  </si>
  <si>
    <t>A8305</t>
  </si>
  <si>
    <t>奥朗斯</t>
  </si>
  <si>
    <t>A8097</t>
  </si>
  <si>
    <t>菲林格尔</t>
  </si>
  <si>
    <t>B1.C01071</t>
  </si>
  <si>
    <t>A8081</t>
  </si>
  <si>
    <t>德高</t>
  </si>
  <si>
    <t>德高门窗</t>
  </si>
  <si>
    <t>圣象</t>
  </si>
  <si>
    <t>B1.C0108A</t>
  </si>
  <si>
    <t>A8079</t>
  </si>
  <si>
    <t>强化地板</t>
  </si>
  <si>
    <t>B1.C0109A</t>
  </si>
  <si>
    <t>A8078</t>
  </si>
  <si>
    <t>博洛尼装饰公司</t>
  </si>
  <si>
    <t>凯达</t>
  </si>
  <si>
    <t>B1.C0112</t>
  </si>
  <si>
    <t>元洲家装</t>
  </si>
  <si>
    <t>A8501</t>
  </si>
  <si>
    <t>多乐士</t>
  </si>
  <si>
    <t>A8501-1</t>
  </si>
  <si>
    <t>多乐士油漆涂料</t>
  </si>
  <si>
    <t>芬琳</t>
  </si>
  <si>
    <t>A8501-2</t>
  </si>
  <si>
    <t>实创家装</t>
  </si>
  <si>
    <t>B1.C0113</t>
  </si>
  <si>
    <t>A8075</t>
  </si>
  <si>
    <t>A8015-6</t>
  </si>
  <si>
    <t>今朝</t>
  </si>
  <si>
    <t>B1.C0114</t>
  </si>
  <si>
    <t>A8073</t>
  </si>
  <si>
    <t>万福</t>
  </si>
  <si>
    <t>太平洋</t>
  </si>
  <si>
    <t>太平洋石膏线</t>
  </si>
  <si>
    <t>瑞恒</t>
  </si>
  <si>
    <t>A8268,A8269,A8270</t>
  </si>
  <si>
    <t>顺昌玉龙</t>
  </si>
  <si>
    <t>桃红</t>
  </si>
  <si>
    <t>恒达</t>
  </si>
  <si>
    <t>京盛顺达</t>
  </si>
  <si>
    <t>京盛顺达石材</t>
  </si>
  <si>
    <t>宏发</t>
  </si>
  <si>
    <t>宏发石材</t>
  </si>
  <si>
    <t>A8266,A8265,A8262,A8261,A8267</t>
  </si>
  <si>
    <t>业之峰</t>
  </si>
  <si>
    <t>B1.C0115</t>
  </si>
  <si>
    <t>A8072</t>
  </si>
  <si>
    <t>汉赢</t>
  </si>
  <si>
    <t>墨克</t>
  </si>
  <si>
    <t>伊博莱</t>
  </si>
  <si>
    <t>诺阁斯特</t>
    <phoneticPr fontId="4" type="noConversion"/>
  </si>
  <si>
    <t>盛景</t>
  </si>
  <si>
    <t>春秋门窗</t>
  </si>
  <si>
    <t>轻舟</t>
  </si>
  <si>
    <t>B1.C0116</t>
  </si>
  <si>
    <t>A8071</t>
  </si>
  <si>
    <t>洲际</t>
  </si>
  <si>
    <t>B1.C0117</t>
  </si>
  <si>
    <t>A8070</t>
  </si>
  <si>
    <t>凯斯盾</t>
  </si>
  <si>
    <t>邦美诺</t>
    <phoneticPr fontId="4" type="noConversion"/>
  </si>
  <si>
    <t>阿姆斯壮</t>
  </si>
  <si>
    <t>B1.C0118</t>
  </si>
  <si>
    <t>蓝佳艺术</t>
  </si>
  <si>
    <t>A8318</t>
  </si>
  <si>
    <t>皇家断桥铝</t>
  </si>
  <si>
    <t>迎春塌塌米</t>
  </si>
  <si>
    <t>A8318-1</t>
  </si>
  <si>
    <t>思耐</t>
  </si>
  <si>
    <t>威克纳</t>
  </si>
  <si>
    <t>WICONA</t>
  </si>
  <si>
    <t>A8068-4</t>
  </si>
  <si>
    <t>A8318-2</t>
  </si>
  <si>
    <t>德欧斯</t>
  </si>
  <si>
    <t>B1.C0119</t>
  </si>
  <si>
    <t>A8512</t>
  </si>
  <si>
    <t>A8069-1</t>
  </si>
  <si>
    <t>天驰美佳（天东）</t>
  </si>
  <si>
    <t>A8320</t>
  </si>
  <si>
    <t>威朗克</t>
  </si>
  <si>
    <t>兴发</t>
  </si>
  <si>
    <t>兴发门窗</t>
  </si>
  <si>
    <t>A8069-3</t>
  </si>
  <si>
    <t>四季沐歌</t>
  </si>
  <si>
    <t>B1.C0120</t>
  </si>
  <si>
    <t>B1.C0120A</t>
  </si>
  <si>
    <t>A8322</t>
  </si>
  <si>
    <t>A8069-4</t>
  </si>
  <si>
    <t>顶固五金</t>
  </si>
  <si>
    <t>A8513</t>
  </si>
  <si>
    <t>A8069</t>
  </si>
  <si>
    <t>西门子五金</t>
  </si>
  <si>
    <t>A8515</t>
  </si>
  <si>
    <t>西门子灯具</t>
  </si>
  <si>
    <t>A8066-2</t>
  </si>
  <si>
    <t>海川</t>
  </si>
  <si>
    <t>B1.C0121</t>
  </si>
  <si>
    <t>米兰米</t>
  </si>
  <si>
    <t>凤铝</t>
  </si>
  <si>
    <t>A8328</t>
  </si>
  <si>
    <t>A8067</t>
  </si>
  <si>
    <t>A8326</t>
  </si>
  <si>
    <t>A8066-4</t>
  </si>
  <si>
    <t>坚美</t>
    <phoneticPr fontId="4" type="noConversion"/>
  </si>
  <si>
    <t>雅洁五金</t>
  </si>
  <si>
    <t>A8516</t>
  </si>
  <si>
    <t>A8066-5</t>
  </si>
  <si>
    <t>盼盼硅藻泥</t>
  </si>
  <si>
    <t>B1.C0122</t>
  </si>
  <si>
    <t>A8065</t>
  </si>
  <si>
    <t>A8330</t>
  </si>
  <si>
    <t>德技欧卡</t>
  </si>
  <si>
    <t>A8332</t>
  </si>
  <si>
    <t>WICONA（威克纳）</t>
  </si>
  <si>
    <t>南山铝业</t>
  </si>
  <si>
    <t>A8063</t>
  </si>
  <si>
    <t>ABB五金</t>
  </si>
  <si>
    <t>A8517</t>
  </si>
  <si>
    <r>
      <rPr>
        <sz val="9"/>
        <rFont val="宋体"/>
        <family val="3"/>
        <charset val="134"/>
      </rPr>
      <t>A</t>
    </r>
    <r>
      <rPr>
        <sz val="9"/>
        <rFont val="宋体"/>
        <family val="3"/>
        <charset val="134"/>
      </rPr>
      <t>BB</t>
    </r>
  </si>
  <si>
    <t>A8066</t>
  </si>
  <si>
    <t>元洲</t>
  </si>
  <si>
    <t>B1.C0123</t>
  </si>
  <si>
    <t>德技旭格</t>
  </si>
  <si>
    <t>A8333</t>
  </si>
  <si>
    <t>公牛</t>
  </si>
  <si>
    <t>好太太</t>
  </si>
  <si>
    <t>A8066-1</t>
  </si>
  <si>
    <t>朝友保险箱</t>
    <phoneticPr fontId="4" type="noConversion"/>
  </si>
  <si>
    <t>A8066-1-1</t>
    <phoneticPr fontId="4" type="noConversion"/>
  </si>
  <si>
    <t>多乐士油漆涂料</t>
    <phoneticPr fontId="4" type="noConversion"/>
  </si>
  <si>
    <t>A8066-1-2</t>
    <phoneticPr fontId="4" type="noConversion"/>
  </si>
  <si>
    <t>藏羊地毯</t>
    <phoneticPr fontId="4" type="noConversion"/>
  </si>
  <si>
    <t>A8066-1-3</t>
    <phoneticPr fontId="4" type="noConversion"/>
  </si>
  <si>
    <t>洛高斯</t>
  </si>
  <si>
    <t>A8323</t>
  </si>
  <si>
    <t xml:space="preserve">维尔斯 </t>
  </si>
  <si>
    <t>维尔斯</t>
  </si>
  <si>
    <t>A8066-3</t>
  </si>
  <si>
    <t>公牛正泰</t>
  </si>
  <si>
    <t>A8518</t>
  </si>
  <si>
    <t>英威特</t>
  </si>
  <si>
    <t>三星智能锁</t>
  </si>
  <si>
    <t>A8066-6</t>
  </si>
  <si>
    <t>F0001</t>
  </si>
  <si>
    <t>A8101-5</t>
  </si>
  <si>
    <t>-1 汇总</t>
  </si>
  <si>
    <t>一层</t>
  </si>
  <si>
    <t xml:space="preserve">CAV </t>
  </si>
  <si>
    <t>B8172</t>
  </si>
  <si>
    <t>B8191</t>
  </si>
  <si>
    <t>唯宝</t>
  </si>
  <si>
    <t>1</t>
  </si>
  <si>
    <t>汉斯格雅</t>
  </si>
  <si>
    <t>B8192</t>
  </si>
  <si>
    <t>汉斯格雅（进口）</t>
  </si>
  <si>
    <t>B8172-2</t>
  </si>
  <si>
    <t>美标</t>
  </si>
  <si>
    <t>B8193</t>
  </si>
  <si>
    <t>欧神诺</t>
  </si>
  <si>
    <t>F1.C0002</t>
  </si>
  <si>
    <t>B8210</t>
  </si>
  <si>
    <t>兰佘</t>
  </si>
  <si>
    <t>F1.C0003</t>
  </si>
  <si>
    <t>B8212</t>
  </si>
  <si>
    <t>美大</t>
  </si>
  <si>
    <t>D8382</t>
  </si>
  <si>
    <t>亚细亚</t>
  </si>
  <si>
    <t>F1.C0004</t>
  </si>
  <si>
    <t>B8211</t>
  </si>
  <si>
    <t>B8382</t>
  </si>
  <si>
    <t>B8211-1</t>
  </si>
  <si>
    <t>曲美</t>
  </si>
  <si>
    <t>冠军</t>
  </si>
  <si>
    <t>F1.C0005</t>
  </si>
  <si>
    <t>B8213</t>
  </si>
  <si>
    <t>大唐合盛</t>
  </si>
  <si>
    <t>奥普吊顶</t>
  </si>
  <si>
    <t>F1.C0006-1</t>
  </si>
  <si>
    <t>B8215</t>
  </si>
  <si>
    <t>威迪斯</t>
  </si>
  <si>
    <t>强辉</t>
  </si>
  <si>
    <t>F1.C0006-2</t>
  </si>
  <si>
    <t>花开富贵</t>
  </si>
  <si>
    <t>B8215-1</t>
  </si>
  <si>
    <t>罗马利奥</t>
  </si>
  <si>
    <t>阿克苏</t>
  </si>
  <si>
    <t>B8216/B8216-1</t>
  </si>
  <si>
    <t>B8112</t>
  </si>
  <si>
    <t>海尔</t>
  </si>
  <si>
    <t>海尔热水器</t>
  </si>
  <si>
    <t>B8220-1</t>
  </si>
  <si>
    <t>格力</t>
  </si>
  <si>
    <t>艺树家</t>
  </si>
  <si>
    <t>B8109</t>
  </si>
  <si>
    <t>金贝壳</t>
  </si>
  <si>
    <t>多乐士（阿克苏）</t>
  </si>
  <si>
    <t>B8110</t>
  </si>
  <si>
    <t>德普</t>
  </si>
  <si>
    <t>B8216-1</t>
  </si>
  <si>
    <t>万家乐</t>
  </si>
  <si>
    <t xml:space="preserve">B8216-2 </t>
  </si>
  <si>
    <t>B8217/B8217-1</t>
  </si>
  <si>
    <t>创信实</t>
  </si>
  <si>
    <t>F1.C0009</t>
  </si>
  <si>
    <t>威能</t>
  </si>
  <si>
    <t>B8115</t>
  </si>
  <si>
    <t>Vaillant威能</t>
  </si>
  <si>
    <t>B8220-2</t>
  </si>
  <si>
    <t>日月</t>
  </si>
  <si>
    <t>F1.C0010</t>
  </si>
  <si>
    <t>爱尼克斯</t>
  </si>
  <si>
    <t>B8118</t>
  </si>
  <si>
    <t>B8220</t>
  </si>
  <si>
    <t>F1.C0011</t>
  </si>
  <si>
    <t>莱克</t>
  </si>
  <si>
    <t>大金</t>
  </si>
  <si>
    <t>F1.C0013</t>
  </si>
  <si>
    <t>B8221-1</t>
  </si>
  <si>
    <t>火星人</t>
  </si>
  <si>
    <t>B8123</t>
  </si>
  <si>
    <t>3M</t>
  </si>
  <si>
    <t>B8221-4</t>
  </si>
  <si>
    <t>华帝</t>
  </si>
  <si>
    <t>B8122</t>
  </si>
  <si>
    <t>华帝电器</t>
  </si>
  <si>
    <t>B8221-3</t>
  </si>
  <si>
    <t>林内</t>
  </si>
  <si>
    <t>B8221</t>
  </si>
  <si>
    <t>多美多</t>
  </si>
  <si>
    <t>B8125</t>
  </si>
  <si>
    <t>B8221-2</t>
  </si>
  <si>
    <t>时哥</t>
  </si>
  <si>
    <t>B8126</t>
  </si>
  <si>
    <t>博世</t>
  </si>
  <si>
    <t>B8222-1</t>
  </si>
  <si>
    <t>博世暖通</t>
  </si>
  <si>
    <t>万家乐（伊莱克斯）</t>
  </si>
  <si>
    <t>B8130</t>
  </si>
  <si>
    <t>能率</t>
  </si>
  <si>
    <t>B8222</t>
  </si>
  <si>
    <t>F1.C0023</t>
  </si>
  <si>
    <t>B8226</t>
  </si>
  <si>
    <t>B8225</t>
  </si>
  <si>
    <t>F1.C00241</t>
  </si>
  <si>
    <t>B8203-1</t>
  </si>
  <si>
    <t>老板</t>
  </si>
  <si>
    <t>B8203</t>
  </si>
  <si>
    <t>怡口</t>
  </si>
  <si>
    <t>F1.C00242</t>
  </si>
  <si>
    <t>B8133</t>
  </si>
  <si>
    <t>无穷花</t>
  </si>
  <si>
    <t>F1.C0025</t>
  </si>
  <si>
    <t>帅丰</t>
  </si>
  <si>
    <t>B8129</t>
  </si>
  <si>
    <t>大金空调</t>
  </si>
  <si>
    <t>B8205</t>
  </si>
  <si>
    <t>B8205-4</t>
  </si>
  <si>
    <t>蓝飘</t>
  </si>
  <si>
    <t>F1.C0026</t>
  </si>
  <si>
    <t>史密斯</t>
  </si>
  <si>
    <t>F1.C0028</t>
  </si>
  <si>
    <t>B8202</t>
  </si>
  <si>
    <t>AO史密斯</t>
  </si>
  <si>
    <t>德丽嘉</t>
  </si>
  <si>
    <t>B8120</t>
  </si>
  <si>
    <t>B8205-1</t>
  </si>
  <si>
    <t>安吉尔</t>
  </si>
  <si>
    <t>B8205-2</t>
  </si>
  <si>
    <t>F1.C0029</t>
  </si>
  <si>
    <t>奥田</t>
  </si>
  <si>
    <t>B8121</t>
  </si>
  <si>
    <t>雅洁</t>
  </si>
  <si>
    <t>F1.C0031</t>
  </si>
  <si>
    <t>B8119</t>
  </si>
  <si>
    <t>B8208</t>
  </si>
  <si>
    <t>霍尼韦尔</t>
  </si>
  <si>
    <t>B8116</t>
  </si>
  <si>
    <t>曼瑞德</t>
  </si>
  <si>
    <t>B8209</t>
  </si>
  <si>
    <t>亚伦</t>
  </si>
  <si>
    <t>F1.C0032</t>
  </si>
  <si>
    <t>嘉德</t>
  </si>
  <si>
    <t>B8136</t>
  </si>
  <si>
    <t>嘉德橱柜</t>
  </si>
  <si>
    <t>B8201</t>
  </si>
  <si>
    <t>阿特贝尔</t>
  </si>
  <si>
    <t>冠珠</t>
  </si>
  <si>
    <t>F1.C0033</t>
  </si>
  <si>
    <t>海纳利尔</t>
  </si>
  <si>
    <t>大诚</t>
  </si>
  <si>
    <t>B8138</t>
  </si>
  <si>
    <t>大诚橱柜</t>
  </si>
  <si>
    <t>B8200-1</t>
  </si>
  <si>
    <t>健鹏精致建材</t>
  </si>
  <si>
    <t>B8113</t>
  </si>
  <si>
    <t>诺孚</t>
  </si>
  <si>
    <t>B8200</t>
  </si>
  <si>
    <t>B8200、B8200-1、B8199-1</t>
  </si>
  <si>
    <t>新中源</t>
  </si>
  <si>
    <t>F1.C00342</t>
  </si>
  <si>
    <t>B8199</t>
  </si>
  <si>
    <t>枫丹白露</t>
  </si>
  <si>
    <t>三棵树</t>
  </si>
  <si>
    <t>F1.C00341</t>
  </si>
  <si>
    <t>家得宝</t>
  </si>
  <si>
    <t>B8199-1</t>
  </si>
  <si>
    <t>百色熊</t>
  </si>
  <si>
    <t>帅康</t>
  </si>
  <si>
    <t>金意陶</t>
  </si>
  <si>
    <t>F1.C0035</t>
  </si>
  <si>
    <t>蒙娜丽莎</t>
  </si>
  <si>
    <t>F1.C0036</t>
  </si>
  <si>
    <t>塞尚印象</t>
  </si>
  <si>
    <t>B8198</t>
  </si>
  <si>
    <t>LD</t>
  </si>
  <si>
    <t>B8196</t>
  </si>
  <si>
    <t>B8196-1</t>
  </si>
  <si>
    <t>蓝珀</t>
  </si>
  <si>
    <t xml:space="preserve">诺贝尔 </t>
  </si>
  <si>
    <t>B8195</t>
  </si>
  <si>
    <t xml:space="preserve"> </t>
  </si>
  <si>
    <t>新中源瓷砖</t>
  </si>
  <si>
    <t>B8195-1</t>
  </si>
  <si>
    <t>依诺瓷砖</t>
  </si>
  <si>
    <t>马可波罗</t>
  </si>
  <si>
    <t>F1.C0039</t>
  </si>
  <si>
    <t>1295（马可波罗）</t>
  </si>
  <si>
    <r>
      <rPr>
        <sz val="9"/>
        <rFont val="宋体"/>
        <family val="3"/>
        <charset val="134"/>
      </rPr>
      <t>B8193</t>
    </r>
    <r>
      <rPr>
        <sz val="9"/>
        <rFont val="宋体"/>
        <family val="3"/>
        <charset val="134"/>
      </rPr>
      <t>-1</t>
    </r>
  </si>
  <si>
    <t>西玛饰家</t>
  </si>
  <si>
    <t>F1.J0001</t>
  </si>
  <si>
    <t>美加华</t>
  </si>
  <si>
    <t>欧派</t>
  </si>
  <si>
    <t>B8171</t>
  </si>
  <si>
    <t>艺藤居</t>
  </si>
  <si>
    <t>F1.J0002</t>
  </si>
  <si>
    <t>科马</t>
  </si>
  <si>
    <t>鹰卫浴</t>
  </si>
  <si>
    <t>合轩</t>
  </si>
  <si>
    <t>F1.J0004</t>
  </si>
  <si>
    <t>本科</t>
  </si>
  <si>
    <t>巴弗</t>
  </si>
  <si>
    <r>
      <rPr>
        <sz val="9"/>
        <rFont val="宋体"/>
        <family val="3"/>
        <charset val="134"/>
      </rPr>
      <t>慕思V</t>
    </r>
    <r>
      <rPr>
        <sz val="9"/>
        <rFont val="宋体"/>
        <family val="3"/>
        <charset val="134"/>
      </rPr>
      <t>6</t>
    </r>
  </si>
  <si>
    <t>B8168</t>
  </si>
  <si>
    <t>申鹭达</t>
  </si>
  <si>
    <t xml:space="preserve">B8170 </t>
  </si>
  <si>
    <t>伊丽伯特</t>
  </si>
  <si>
    <t>F1.J0005</t>
  </si>
  <si>
    <t>英士利</t>
  </si>
  <si>
    <t>强力</t>
  </si>
  <si>
    <t>F1.J0006</t>
  </si>
  <si>
    <t>英皇</t>
  </si>
  <si>
    <t>宇莱</t>
  </si>
  <si>
    <t>特陶</t>
  </si>
  <si>
    <t xml:space="preserve">B8166 </t>
  </si>
  <si>
    <t>B8166</t>
  </si>
  <si>
    <t>钜豪</t>
  </si>
  <si>
    <t>F1.J0007-1</t>
  </si>
  <si>
    <t>B8165-1</t>
  </si>
  <si>
    <t>优米</t>
  </si>
  <si>
    <t>名亿</t>
  </si>
  <si>
    <t>F1.J0007-2</t>
  </si>
  <si>
    <t>B8165</t>
  </si>
  <si>
    <t>博洛尼</t>
  </si>
  <si>
    <t xml:space="preserve">B8165 </t>
  </si>
  <si>
    <t>博洛尼橱柜</t>
  </si>
  <si>
    <t>吉斯</t>
  </si>
  <si>
    <t>F1.J0008</t>
  </si>
  <si>
    <t>家美之鑫</t>
  </si>
  <si>
    <t>B8163</t>
  </si>
  <si>
    <t>思迈特</t>
  </si>
  <si>
    <t>大丰</t>
  </si>
  <si>
    <t>F1.J0009</t>
  </si>
  <si>
    <t>B8162</t>
  </si>
  <si>
    <t>柏橱</t>
  </si>
  <si>
    <t>诗漫尔</t>
  </si>
  <si>
    <t>穗宝</t>
  </si>
  <si>
    <t>F1.J0010</t>
  </si>
  <si>
    <t>皓瑞思特</t>
  </si>
  <si>
    <t>B8216</t>
  </si>
  <si>
    <t>B8161</t>
  </si>
  <si>
    <t>巴弗</t>
    <phoneticPr fontId="4" type="noConversion"/>
  </si>
  <si>
    <t>B8161-1</t>
  </si>
  <si>
    <t>便洁宝</t>
  </si>
  <si>
    <t>大自然床垫</t>
  </si>
  <si>
    <t>F1.J0011</t>
  </si>
  <si>
    <t>博成（光大）</t>
  </si>
  <si>
    <t>B8219</t>
  </si>
  <si>
    <t>爱琴海（光大）</t>
  </si>
  <si>
    <t>B8160-1</t>
  </si>
  <si>
    <t>自然梦床垫</t>
  </si>
  <si>
    <t>F1.J0012</t>
  </si>
  <si>
    <t>法罗纳</t>
  </si>
  <si>
    <t>B8160</t>
  </si>
  <si>
    <t>B8223</t>
  </si>
  <si>
    <t>圣火（努奥罗）</t>
  </si>
  <si>
    <t>F1.J0013</t>
  </si>
  <si>
    <t>B8222-2</t>
  </si>
  <si>
    <t>B8222-3</t>
  </si>
  <si>
    <t>东方雨虹</t>
  </si>
  <si>
    <t>B8222-5</t>
  </si>
  <si>
    <t>B8222-6</t>
  </si>
  <si>
    <t>B8222-8</t>
  </si>
  <si>
    <t xml:space="preserve">B8158-6 </t>
  </si>
  <si>
    <t>B8158-6</t>
  </si>
  <si>
    <t>西门子</t>
  </si>
  <si>
    <t>B8158-1</t>
  </si>
  <si>
    <t>新优美</t>
  </si>
  <si>
    <t>F1.J0014</t>
  </si>
  <si>
    <t>欧力宝</t>
  </si>
  <si>
    <t>B8186</t>
  </si>
  <si>
    <t>玫瑰岛</t>
  </si>
  <si>
    <t>德立</t>
  </si>
  <si>
    <t>B8186-1</t>
  </si>
  <si>
    <t>1</t>
    <phoneticPr fontId="4" type="noConversion"/>
  </si>
  <si>
    <t>康比特</t>
  </si>
  <si>
    <t>F1.J0015</t>
  </si>
  <si>
    <t>爱舒</t>
  </si>
  <si>
    <t>依思蒙沙</t>
  </si>
  <si>
    <t>F1.J0016</t>
  </si>
  <si>
    <t>依派</t>
  </si>
  <si>
    <t>F1.J0017</t>
  </si>
  <si>
    <t>中德奥尼</t>
  </si>
  <si>
    <t>B8182-1</t>
  </si>
  <si>
    <t>DELTA德雅（进口）</t>
  </si>
  <si>
    <t>欧贝斯</t>
  </si>
  <si>
    <t>B8182-2</t>
  </si>
  <si>
    <t>东鹏卫浴</t>
  </si>
  <si>
    <t>B8182-3</t>
  </si>
  <si>
    <t>忆家</t>
  </si>
  <si>
    <t>B8182</t>
  </si>
  <si>
    <t>B8182-4</t>
  </si>
  <si>
    <t>松下电器</t>
    <phoneticPr fontId="4" type="noConversion"/>
  </si>
  <si>
    <t>B8182-5</t>
  </si>
  <si>
    <t>潜水艇地漏</t>
    <phoneticPr fontId="4" type="noConversion"/>
  </si>
  <si>
    <t>B8182-3</t>
    <phoneticPr fontId="4" type="noConversion"/>
  </si>
  <si>
    <t>B8180-3</t>
  </si>
  <si>
    <t>B8180-1</t>
  </si>
  <si>
    <t>喜临门</t>
  </si>
  <si>
    <t>F1.J0018</t>
  </si>
  <si>
    <t>百兰</t>
  </si>
  <si>
    <t>F1.J0019</t>
  </si>
  <si>
    <t>欧派橱柜</t>
  </si>
  <si>
    <t>B8185</t>
  </si>
  <si>
    <t>朗斯</t>
  </si>
  <si>
    <t>B8185-1</t>
  </si>
  <si>
    <t>中山雅立</t>
  </si>
  <si>
    <t>B8185-2</t>
  </si>
  <si>
    <t>伊丽丝</t>
  </si>
  <si>
    <t>F1.J0020</t>
  </si>
  <si>
    <t xml:space="preserve">惠达 </t>
  </si>
  <si>
    <t>惠达卫浴</t>
  </si>
  <si>
    <t>B8178-2</t>
  </si>
  <si>
    <t>圣托玛斯</t>
  </si>
  <si>
    <t>B8206</t>
  </si>
  <si>
    <t>B8178-1</t>
  </si>
  <si>
    <t>米兰印象</t>
  </si>
  <si>
    <t>F1.J0021</t>
  </si>
  <si>
    <t>B8178</t>
  </si>
  <si>
    <t>法恩莎</t>
  </si>
  <si>
    <t>法恩莎卫浴</t>
  </si>
  <si>
    <t>天艺雅轩</t>
  </si>
  <si>
    <t>B8180-4</t>
  </si>
  <si>
    <t>B8180</t>
  </si>
  <si>
    <t>弗洛迪</t>
  </si>
  <si>
    <t>旭辉</t>
  </si>
  <si>
    <t>圣莉亚</t>
  </si>
  <si>
    <t>B8180-2</t>
  </si>
  <si>
    <t>箭牌</t>
  </si>
  <si>
    <t>箭牌卫浴</t>
  </si>
  <si>
    <t>B8177</t>
  </si>
  <si>
    <t>慕思0769</t>
  </si>
  <si>
    <t>F1.J0023</t>
  </si>
  <si>
    <t>科勒</t>
  </si>
  <si>
    <t>B8188</t>
  </si>
  <si>
    <t>B8176</t>
  </si>
  <si>
    <t>科勒卫浴</t>
  </si>
  <si>
    <t>乐家</t>
  </si>
  <si>
    <t>B8189</t>
  </si>
  <si>
    <t>高仪</t>
  </si>
  <si>
    <t>B8189-1</t>
  </si>
  <si>
    <t>高仪（进口）</t>
  </si>
  <si>
    <t>B8175-1</t>
  </si>
  <si>
    <t>B8189-2</t>
  </si>
  <si>
    <t>B8175</t>
  </si>
  <si>
    <t>威达</t>
  </si>
  <si>
    <t>B8190</t>
  </si>
  <si>
    <t>B8173</t>
  </si>
  <si>
    <t>TOTO</t>
  </si>
  <si>
    <t>B8155</t>
  </si>
  <si>
    <t>摩恩</t>
  </si>
  <si>
    <t>B8156</t>
  </si>
  <si>
    <t>TOTO/摩恩</t>
  </si>
  <si>
    <t>B8192-1</t>
  </si>
  <si>
    <t>爱依瑞斯（床垫）</t>
  </si>
  <si>
    <t>F1.J0028</t>
  </si>
  <si>
    <t>九牧</t>
  </si>
  <si>
    <t>B8181</t>
  </si>
  <si>
    <t>普乐美</t>
  </si>
  <si>
    <t>B8181、B8183</t>
  </si>
  <si>
    <t>惠达</t>
  </si>
  <si>
    <t>B8191-1</t>
  </si>
  <si>
    <t>帝朗</t>
  </si>
  <si>
    <t>B8183</t>
  </si>
  <si>
    <t>朗乐福</t>
  </si>
  <si>
    <t>F1.J0029</t>
  </si>
  <si>
    <t>恒洁</t>
  </si>
  <si>
    <t>B8169</t>
  </si>
  <si>
    <t>美梦思</t>
  </si>
  <si>
    <t>F1.J0030</t>
  </si>
  <si>
    <t>卡西尼</t>
  </si>
  <si>
    <t>B8159</t>
  </si>
  <si>
    <t>一迪</t>
  </si>
  <si>
    <t>蒙娜丽莎瓷砖</t>
  </si>
  <si>
    <t>B8189-5</t>
  </si>
  <si>
    <t>B8158</t>
  </si>
  <si>
    <t>B8189-4</t>
  </si>
  <si>
    <t>澳斯曼</t>
  </si>
  <si>
    <t>B8189-3</t>
  </si>
  <si>
    <t>吉朗</t>
  </si>
  <si>
    <t>F1.J0031</t>
  </si>
  <si>
    <t>凤阳</t>
  </si>
  <si>
    <t>F1.J0032</t>
  </si>
  <si>
    <t>百纳璐诗</t>
  </si>
  <si>
    <t>金牌</t>
  </si>
  <si>
    <t>金牌橱柜</t>
  </si>
  <si>
    <t>B8189-6</t>
  </si>
  <si>
    <t>法恩莎瓷砖</t>
  </si>
  <si>
    <t>B8189-7</t>
  </si>
  <si>
    <t>鹰牌</t>
  </si>
  <si>
    <t>F1.K0047</t>
  </si>
  <si>
    <t>B8230</t>
  </si>
  <si>
    <t>方太</t>
  </si>
  <si>
    <t>B8702</t>
  </si>
  <si>
    <t>西门子厨卫电器</t>
  </si>
  <si>
    <r>
      <rPr>
        <sz val="9"/>
        <rFont val="宋体"/>
        <family val="3"/>
        <charset val="134"/>
      </rPr>
      <t>B8166</t>
    </r>
    <r>
      <rPr>
        <sz val="9"/>
        <rFont val="宋体"/>
        <family val="3"/>
        <charset val="134"/>
      </rPr>
      <t>-1</t>
    </r>
  </si>
  <si>
    <t>B8231</t>
  </si>
  <si>
    <t>B8123-2</t>
  </si>
  <si>
    <t>B8013</t>
  </si>
  <si>
    <t>B8123-3</t>
  </si>
  <si>
    <t>B8014</t>
  </si>
  <si>
    <t>B8123-1</t>
  </si>
  <si>
    <t>1 汇总</t>
  </si>
  <si>
    <t>二层</t>
  </si>
  <si>
    <t>米兰家居沙发</t>
  </si>
  <si>
    <t>F2.C0001</t>
  </si>
  <si>
    <t>雅栖卓尔</t>
  </si>
  <si>
    <t>C8278</t>
  </si>
  <si>
    <t>春之家</t>
  </si>
  <si>
    <t>春之家-华雷斯</t>
  </si>
  <si>
    <t>C8278-1</t>
  </si>
  <si>
    <t>春之家-尚驰</t>
  </si>
  <si>
    <t>C8278-2</t>
  </si>
  <si>
    <t>非同</t>
  </si>
  <si>
    <t>C8271</t>
  </si>
  <si>
    <t>2</t>
  </si>
  <si>
    <t>顾家家居</t>
  </si>
  <si>
    <t>中宇</t>
  </si>
  <si>
    <t>F2.C0002</t>
  </si>
  <si>
    <t>希尔曼</t>
  </si>
  <si>
    <t>C8277</t>
  </si>
  <si>
    <t>汉高</t>
  </si>
  <si>
    <t>C8276</t>
  </si>
  <si>
    <t>C8253</t>
  </si>
  <si>
    <t>C8270</t>
  </si>
  <si>
    <t>F2.C0004</t>
  </si>
  <si>
    <t>C8260</t>
  </si>
  <si>
    <t>C8231</t>
  </si>
  <si>
    <t>朗乐福（Long Life Basics）</t>
    <phoneticPr fontId="4" type="noConversion"/>
  </si>
  <si>
    <t>罗马</t>
  </si>
  <si>
    <t>C8275</t>
  </si>
  <si>
    <t>嘉熙</t>
  </si>
  <si>
    <t>F2.C0005</t>
  </si>
  <si>
    <t>加枫铭阳</t>
  </si>
  <si>
    <t>F2.C0006</t>
  </si>
  <si>
    <t>C8272</t>
  </si>
  <si>
    <t>苏尔达</t>
  </si>
  <si>
    <t>F2.C0007</t>
  </si>
  <si>
    <t>佳德</t>
  </si>
  <si>
    <t>F2.C0008</t>
  </si>
  <si>
    <t>C8269</t>
  </si>
  <si>
    <t>非常空间</t>
  </si>
  <si>
    <t>C8252</t>
  </si>
  <si>
    <t>F2.C0010</t>
  </si>
  <si>
    <t>C8251</t>
  </si>
  <si>
    <t>C8267</t>
  </si>
  <si>
    <t>IVI</t>
  </si>
  <si>
    <t>F2.C0012</t>
  </si>
  <si>
    <t>C8229</t>
  </si>
  <si>
    <t xml:space="preserve">C8251-1 </t>
  </si>
  <si>
    <r>
      <rPr>
        <sz val="9"/>
        <rFont val="宋体"/>
        <family val="3"/>
        <charset val="134"/>
      </rPr>
      <t>C8251-</t>
    </r>
    <r>
      <rPr>
        <sz val="9"/>
        <rFont val="宋体"/>
        <family val="3"/>
        <charset val="134"/>
      </rPr>
      <t>2</t>
    </r>
  </si>
  <si>
    <t xml:space="preserve">C8252-1 </t>
  </si>
  <si>
    <t>皖宝</t>
  </si>
  <si>
    <t>尚驰</t>
  </si>
  <si>
    <t>F2.C0013</t>
  </si>
  <si>
    <t>F2.C0014</t>
  </si>
  <si>
    <t>C8228</t>
  </si>
  <si>
    <t>金可儿</t>
  </si>
  <si>
    <t>C8263</t>
  </si>
  <si>
    <t>金可儿（进口）</t>
    <phoneticPr fontId="4" type="noConversion"/>
  </si>
  <si>
    <t>浪鲸</t>
  </si>
  <si>
    <t>C8262</t>
  </si>
  <si>
    <t>曼丽菲斯</t>
  </si>
  <si>
    <t>C8226</t>
  </si>
  <si>
    <t>MAGNIFLEX（曼丽菲斯）</t>
  </si>
  <si>
    <t>F2.C0016</t>
  </si>
  <si>
    <t>航标</t>
  </si>
  <si>
    <t>F2.C0018</t>
  </si>
  <si>
    <t>C8225</t>
  </si>
  <si>
    <t>C8225-1</t>
  </si>
  <si>
    <t>乐德飞翼</t>
  </si>
  <si>
    <t xml:space="preserve">舒达 </t>
  </si>
  <si>
    <t>C8225-2</t>
  </si>
  <si>
    <t>舒达 （完美系列）</t>
  </si>
  <si>
    <t>凯奇</t>
  </si>
  <si>
    <t>C8258</t>
  </si>
  <si>
    <t>C8300</t>
  </si>
  <si>
    <t>益高</t>
  </si>
  <si>
    <t>F2.C0021</t>
  </si>
  <si>
    <t>欧路莎</t>
  </si>
  <si>
    <t>C8223</t>
  </si>
  <si>
    <t>C8257</t>
  </si>
  <si>
    <t>F2.C0022</t>
  </si>
  <si>
    <t>福瑞</t>
  </si>
  <si>
    <t>C8222</t>
  </si>
  <si>
    <t>自然梦</t>
  </si>
  <si>
    <t>旭晖</t>
  </si>
  <si>
    <t>F2.C0024</t>
  </si>
  <si>
    <t>C8221</t>
  </si>
  <si>
    <t>C8221、C8222</t>
  </si>
  <si>
    <t>蒙丽 赫尔班纳</t>
  </si>
  <si>
    <t>冠军洁具</t>
  </si>
  <si>
    <t>C8220</t>
  </si>
  <si>
    <t xml:space="preserve">C8250-1 </t>
  </si>
  <si>
    <t>C8250-1</t>
  </si>
  <si>
    <t>C8250</t>
  </si>
  <si>
    <t>F2.C00271</t>
  </si>
  <si>
    <t>F2.C00272</t>
  </si>
  <si>
    <t>雅立</t>
  </si>
  <si>
    <t>F2.C0028</t>
  </si>
  <si>
    <t>F2.C0029</t>
  </si>
  <si>
    <t>C8265</t>
  </si>
  <si>
    <t>棕床垫系列</t>
  </si>
  <si>
    <t>C8298-2</t>
  </si>
  <si>
    <t>GOBO</t>
  </si>
  <si>
    <t>F2.C0030</t>
  </si>
  <si>
    <t>C8081</t>
  </si>
  <si>
    <t>F2.C0031</t>
  </si>
  <si>
    <t>泊客</t>
  </si>
  <si>
    <t>C8266</t>
  </si>
  <si>
    <t>席梦思</t>
  </si>
  <si>
    <t>C8298</t>
  </si>
  <si>
    <t>尚高</t>
  </si>
  <si>
    <t>F2.C0032</t>
  </si>
  <si>
    <t>MPE</t>
  </si>
  <si>
    <t>C8298-1</t>
  </si>
  <si>
    <t>爱依瑞斯（布床）</t>
  </si>
  <si>
    <t>布床系列</t>
  </si>
  <si>
    <t>C8299</t>
  </si>
  <si>
    <t>F2.C0035</t>
  </si>
  <si>
    <t>C8306</t>
  </si>
  <si>
    <t>C8256</t>
  </si>
  <si>
    <t>C8325</t>
  </si>
  <si>
    <t>阿米纳</t>
    <phoneticPr fontId="4" type="noConversion"/>
  </si>
  <si>
    <t>箭牌洁具</t>
  </si>
  <si>
    <t>F2.C0036</t>
  </si>
  <si>
    <t>C8308</t>
  </si>
  <si>
    <t>慕思V6</t>
  </si>
  <si>
    <t>C8261</t>
  </si>
  <si>
    <t>0769</t>
  </si>
  <si>
    <t>C8233</t>
  </si>
  <si>
    <t>龙凤</t>
  </si>
  <si>
    <t>C8261、C8259</t>
  </si>
  <si>
    <t>龙凤床垫</t>
  </si>
  <si>
    <t>C8232</t>
  </si>
  <si>
    <t>和成</t>
  </si>
  <si>
    <t>F2.C0037</t>
  </si>
  <si>
    <t>F2.C0038</t>
  </si>
  <si>
    <t>C8311</t>
  </si>
  <si>
    <t xml:space="preserve">   席玛</t>
  </si>
  <si>
    <t>F2.C0039</t>
  </si>
  <si>
    <t>C8259</t>
  </si>
  <si>
    <t>西文</t>
  </si>
  <si>
    <t>F2.C0040</t>
  </si>
  <si>
    <t>舒曼</t>
  </si>
  <si>
    <t>F2.C0041</t>
  </si>
  <si>
    <t>布兰卡</t>
  </si>
  <si>
    <t>F2.J0001</t>
  </si>
  <si>
    <t>帷特思</t>
  </si>
  <si>
    <t>F2.J0002</t>
  </si>
  <si>
    <t>安琪俪卡</t>
  </si>
  <si>
    <t>乔诺</t>
  </si>
  <si>
    <t>C8279</t>
  </si>
  <si>
    <t>欧嘉璐尼</t>
  </si>
  <si>
    <t>大鹏米克</t>
  </si>
  <si>
    <t>F2.J0003</t>
  </si>
  <si>
    <t>然羽</t>
  </si>
  <si>
    <t>那里</t>
  </si>
  <si>
    <t>C8281</t>
  </si>
  <si>
    <t>致酷</t>
  </si>
  <si>
    <t xml:space="preserve">孔雀王 </t>
  </si>
  <si>
    <t>C8305</t>
  </si>
  <si>
    <t>古奇依诺</t>
  </si>
  <si>
    <t>都市家园</t>
  </si>
  <si>
    <t>F2.J0004</t>
  </si>
  <si>
    <t>C8082</t>
  </si>
  <si>
    <t>古奇依诺</t>
    <phoneticPr fontId="4" type="noConversion"/>
  </si>
  <si>
    <t>米兰饰家</t>
  </si>
  <si>
    <t>C8282</t>
  </si>
  <si>
    <t>2</t>
    <phoneticPr fontId="4" type="noConversion"/>
  </si>
  <si>
    <t>志达家居生活馆</t>
    <phoneticPr fontId="4" type="noConversion"/>
  </si>
  <si>
    <t>德克</t>
  </si>
  <si>
    <t>F2.J0006</t>
  </si>
  <si>
    <t>宜美家饰</t>
  </si>
  <si>
    <t>麦斯德尔</t>
  </si>
  <si>
    <t>F2.J0007</t>
  </si>
  <si>
    <t>F2.J0008</t>
  </si>
  <si>
    <t>阳光卷帘</t>
  </si>
  <si>
    <t>C8283-2</t>
  </si>
  <si>
    <t>C8268</t>
  </si>
  <si>
    <t>C8283-3</t>
  </si>
  <si>
    <t>南方布艺</t>
  </si>
  <si>
    <t>C8283-5</t>
  </si>
  <si>
    <t>雪龙</t>
  </si>
  <si>
    <t>F2.J0010</t>
  </si>
  <si>
    <t>恒大</t>
  </si>
  <si>
    <t>志达</t>
  </si>
  <si>
    <t>C8235</t>
  </si>
  <si>
    <t>凯达布业</t>
  </si>
  <si>
    <t>C8283</t>
  </si>
  <si>
    <t>C8283-1</t>
  </si>
  <si>
    <t>铟琦诚</t>
  </si>
  <si>
    <t>F2.J0011</t>
  </si>
  <si>
    <t>C8236</t>
  </si>
  <si>
    <t>C8236-1</t>
  </si>
  <si>
    <t>雅然风尚</t>
  </si>
  <si>
    <t>C8236-2</t>
  </si>
  <si>
    <t>汉帛</t>
  </si>
  <si>
    <t>枫叶时代</t>
    <phoneticPr fontId="4" type="noConversion"/>
  </si>
  <si>
    <t>C8237</t>
  </si>
  <si>
    <t>颐美居</t>
  </si>
  <si>
    <t>F2.J0013</t>
  </si>
  <si>
    <t>华意空间</t>
  </si>
  <si>
    <t>名古天尼</t>
  </si>
  <si>
    <t>C8238</t>
  </si>
  <si>
    <t>美林</t>
  </si>
  <si>
    <t xml:space="preserve">C8211 </t>
  </si>
  <si>
    <t>爱依瑞斯（皮沙发）</t>
  </si>
  <si>
    <t>F2.J0014</t>
  </si>
  <si>
    <t>C8239</t>
  </si>
  <si>
    <t>皮沙发系列</t>
  </si>
  <si>
    <t>顾家工艺</t>
  </si>
  <si>
    <t>F2.J0015</t>
  </si>
  <si>
    <t>C8289</t>
  </si>
  <si>
    <t>德驰</t>
  </si>
  <si>
    <t>爱依瑞斯（布艺沙发）</t>
  </si>
  <si>
    <t>F2.J0016</t>
  </si>
  <si>
    <t>C8293</t>
  </si>
  <si>
    <t>布沙发系列</t>
  </si>
  <si>
    <t>C8292</t>
  </si>
  <si>
    <t>玛斯特</t>
  </si>
  <si>
    <t>F2.J0017</t>
  </si>
  <si>
    <t>C8287</t>
  </si>
  <si>
    <t>玛奇朵</t>
  </si>
  <si>
    <t>C8271、C8272</t>
  </si>
  <si>
    <t xml:space="preserve">C8287 </t>
  </si>
  <si>
    <t>嘉华</t>
  </si>
  <si>
    <t>芝华仕（布艺）</t>
  </si>
  <si>
    <t>F2.J0018</t>
  </si>
  <si>
    <t>芝华仕</t>
  </si>
  <si>
    <t>C8290</t>
  </si>
  <si>
    <t>C8291</t>
  </si>
  <si>
    <t>F2.J0019</t>
  </si>
  <si>
    <t>VVsofa</t>
  </si>
  <si>
    <t>F2.J0020</t>
  </si>
  <si>
    <t>C8288</t>
  </si>
  <si>
    <t>华雷斯</t>
  </si>
  <si>
    <t>C8288-1</t>
  </si>
  <si>
    <t>家美之鑫灯具</t>
  </si>
  <si>
    <t>C8288-2</t>
  </si>
  <si>
    <t>斯可馨</t>
  </si>
  <si>
    <t>德驰MAX</t>
    <phoneticPr fontId="4" type="noConversion"/>
  </si>
  <si>
    <t>卡萨迪尼</t>
  </si>
  <si>
    <t>爱依瑞斯</t>
  </si>
  <si>
    <t>爱丽奴</t>
  </si>
  <si>
    <t>F2.J0022</t>
  </si>
  <si>
    <t>C8295</t>
  </si>
  <si>
    <t>索菲莉尔</t>
  </si>
  <si>
    <t>意空间</t>
  </si>
  <si>
    <t>凯旋风</t>
  </si>
  <si>
    <t>福尔伊德</t>
  </si>
  <si>
    <t>F2.J0023</t>
  </si>
  <si>
    <t>C8296</t>
  </si>
  <si>
    <t>F2.J0024</t>
  </si>
  <si>
    <t>C8297</t>
  </si>
  <si>
    <t>2 汇总</t>
  </si>
  <si>
    <t>三层</t>
  </si>
  <si>
    <t>家的橱柜</t>
  </si>
  <si>
    <t>D8397</t>
  </si>
  <si>
    <t>简约风情</t>
  </si>
  <si>
    <t>D8396</t>
  </si>
  <si>
    <t>南洋胡氏</t>
  </si>
  <si>
    <t>3</t>
  </si>
  <si>
    <t>MEI YAN 美宴</t>
    <phoneticPr fontId="4" type="noConversion"/>
  </si>
  <si>
    <t>洁永</t>
  </si>
  <si>
    <t>F3.C0002</t>
  </si>
  <si>
    <t>金秋红</t>
  </si>
  <si>
    <t>D8395</t>
  </si>
  <si>
    <t>三强</t>
  </si>
  <si>
    <t>功匠工房</t>
  </si>
  <si>
    <t>曲美（古诺凡希）</t>
  </si>
  <si>
    <t>F3.C0004</t>
  </si>
  <si>
    <t>泰诺</t>
  </si>
  <si>
    <t>D8369</t>
  </si>
  <si>
    <t>D8393</t>
  </si>
  <si>
    <t>邦威工匠（赖公馆）</t>
  </si>
  <si>
    <t>邦威工匠</t>
  </si>
  <si>
    <t>F3.C0005</t>
  </si>
  <si>
    <t>欧琳洁具</t>
  </si>
  <si>
    <t>F3.C0007</t>
  </si>
  <si>
    <t>F3.C0008</t>
  </si>
  <si>
    <t>F3.C0009</t>
  </si>
  <si>
    <t>柏森</t>
  </si>
  <si>
    <t>D8368</t>
  </si>
  <si>
    <t>梨歌</t>
  </si>
  <si>
    <t>名士达</t>
  </si>
  <si>
    <t>光明</t>
  </si>
  <si>
    <t>大成橱柜</t>
  </si>
  <si>
    <t>F3.C0010</t>
  </si>
  <si>
    <t>丰美</t>
  </si>
  <si>
    <t>F3.C0011</t>
  </si>
  <si>
    <t>亿田</t>
  </si>
  <si>
    <t>F3.C0012</t>
  </si>
  <si>
    <t>F3.C0013</t>
  </si>
  <si>
    <t>D8358</t>
  </si>
  <si>
    <t>私门店</t>
  </si>
  <si>
    <t>F3.C00152</t>
  </si>
  <si>
    <t>D8358-1</t>
  </si>
  <si>
    <t>赖氏家具-胡桃大师</t>
  </si>
  <si>
    <t>D8360</t>
  </si>
  <si>
    <t>香柏年（铭御）</t>
  </si>
  <si>
    <t>D8367</t>
  </si>
  <si>
    <t>凯琳威尔</t>
  </si>
  <si>
    <t>F3.C0016</t>
  </si>
  <si>
    <t>华典</t>
  </si>
  <si>
    <t>D8356</t>
  </si>
  <si>
    <t>海福莱尔</t>
  </si>
  <si>
    <t>F3.C0017</t>
  </si>
  <si>
    <t>美中源</t>
  </si>
  <si>
    <t>世纪腾达</t>
  </si>
  <si>
    <t>易红堂</t>
  </si>
  <si>
    <t>喜之林</t>
  </si>
  <si>
    <t>国寿红木</t>
  </si>
  <si>
    <t>D8335</t>
  </si>
  <si>
    <t>国寿-世外桃源</t>
    <phoneticPr fontId="4" type="noConversion"/>
  </si>
  <si>
    <t>F3.C0018</t>
  </si>
  <si>
    <t>时哥厨电</t>
  </si>
  <si>
    <t>D8332</t>
  </si>
  <si>
    <t>艺橡美家</t>
  </si>
  <si>
    <t>D8333</t>
  </si>
  <si>
    <t>艺橡东方-东方弘叶</t>
  </si>
  <si>
    <t>波澜小镇</t>
  </si>
  <si>
    <t>珍木乌金</t>
  </si>
  <si>
    <t>世纪嘉美</t>
  </si>
  <si>
    <t xml:space="preserve">伯爵印象 </t>
  </si>
  <si>
    <t>F3.C0020</t>
  </si>
  <si>
    <t>意风实木</t>
  </si>
  <si>
    <t>D8381</t>
  </si>
  <si>
    <t>F3.C0021</t>
  </si>
  <si>
    <t>博成</t>
  </si>
  <si>
    <t>F3.C0023</t>
  </si>
  <si>
    <t>D8383</t>
  </si>
  <si>
    <t>F3.C0024</t>
  </si>
  <si>
    <t>北欧E家-卓卡乌金</t>
  </si>
  <si>
    <t>D8385</t>
  </si>
  <si>
    <t>卓卡乌金</t>
  </si>
  <si>
    <t>D8386</t>
  </si>
  <si>
    <t>F3.C0025</t>
  </si>
  <si>
    <t>东方弘叶</t>
  </si>
  <si>
    <t>D8371</t>
  </si>
  <si>
    <t>富贵红-东方弘叶</t>
  </si>
  <si>
    <t>F3.C0026</t>
  </si>
  <si>
    <t>欧琳橱柜</t>
  </si>
  <si>
    <t>F3.C0027</t>
  </si>
  <si>
    <t>志邦</t>
  </si>
  <si>
    <t>D8071</t>
  </si>
  <si>
    <t>F3.C0028</t>
  </si>
  <si>
    <t>F3.C0029</t>
  </si>
  <si>
    <t>苏梨</t>
  </si>
  <si>
    <t>D8370</t>
  </si>
  <si>
    <t xml:space="preserve">D8022 </t>
  </si>
  <si>
    <t>耐特利尔</t>
  </si>
  <si>
    <t>悠闲BOSS</t>
  </si>
  <si>
    <t>F3.J0001</t>
  </si>
  <si>
    <t>东方韵</t>
  </si>
  <si>
    <t>国际公馆</t>
  </si>
  <si>
    <t>D8398</t>
  </si>
  <si>
    <t>弗沃德</t>
  </si>
  <si>
    <t>沃克（柚木）</t>
  </si>
  <si>
    <t>F3.J0002</t>
  </si>
  <si>
    <t>D8399</t>
  </si>
  <si>
    <t>柏斯诺</t>
  </si>
  <si>
    <t>阳光赐福</t>
  </si>
  <si>
    <t>木御风尚（京通光明）</t>
  </si>
  <si>
    <t>木御风尚</t>
  </si>
  <si>
    <t>京通光明（木御风尚）</t>
    <phoneticPr fontId="4" type="noConversion"/>
  </si>
  <si>
    <t>舒谊佳</t>
  </si>
  <si>
    <t>D8352</t>
  </si>
  <si>
    <t>雷罗纳</t>
  </si>
  <si>
    <t>艾维迪</t>
  </si>
  <si>
    <t>前进</t>
  </si>
  <si>
    <t>梓乔</t>
    <phoneticPr fontId="4" type="noConversion"/>
  </si>
  <si>
    <t>墨客榆木</t>
  </si>
  <si>
    <t>F3.J0004</t>
  </si>
  <si>
    <t>名佳红木</t>
  </si>
  <si>
    <t>D8353</t>
  </si>
  <si>
    <t>雷罗纳（名佳红木）</t>
  </si>
  <si>
    <t>澳凡</t>
  </si>
  <si>
    <t>皇榜</t>
  </si>
  <si>
    <t>贡多拉</t>
  </si>
  <si>
    <t>蒂克豪斯</t>
  </si>
  <si>
    <t>F3.J0005</t>
  </si>
  <si>
    <t>D8355</t>
  </si>
  <si>
    <t>蒂克豪斯（名匠木枋）</t>
  </si>
  <si>
    <t>名匠木坊</t>
  </si>
  <si>
    <t>桢楠坊</t>
  </si>
  <si>
    <t>F3.J0006</t>
  </si>
  <si>
    <t>查理世家-凤凰佳美</t>
  </si>
  <si>
    <t>凤皇佳美</t>
  </si>
  <si>
    <t>布莱诗顿</t>
  </si>
  <si>
    <t>F3.J0007</t>
  </si>
  <si>
    <t>东方家隆</t>
  </si>
  <si>
    <t>D8357</t>
  </si>
  <si>
    <t>百年印记</t>
  </si>
  <si>
    <t>清风阁</t>
  </si>
  <si>
    <t>F3.J0008</t>
  </si>
  <si>
    <t>品致家居</t>
  </si>
  <si>
    <t>F3.J0009</t>
  </si>
  <si>
    <t>润恩轩</t>
  </si>
  <si>
    <t>F3.J0010</t>
  </si>
  <si>
    <t>紫光艺缘</t>
  </si>
  <si>
    <t>F3.J0011</t>
  </si>
  <si>
    <t>D8313</t>
  </si>
  <si>
    <t>D8313-1</t>
  </si>
  <si>
    <t>D8313-2</t>
  </si>
  <si>
    <t>伯艺</t>
  </si>
  <si>
    <t>F3.J0012</t>
  </si>
  <si>
    <t>D8315</t>
  </si>
  <si>
    <t>博雅轩</t>
  </si>
  <si>
    <t>连天红</t>
  </si>
  <si>
    <t>F3.J0014</t>
  </si>
  <si>
    <t>D8336/D8337</t>
  </si>
  <si>
    <t>D8336</t>
  </si>
  <si>
    <t>登观台</t>
  </si>
  <si>
    <t>诚信弘业</t>
  </si>
  <si>
    <t>雅月木坊</t>
  </si>
  <si>
    <t>D8337</t>
  </si>
  <si>
    <t>红日</t>
  </si>
  <si>
    <t>兰鼎犀</t>
  </si>
  <si>
    <t>（亿达丰）百仑枫</t>
  </si>
  <si>
    <t>阳光赐福（艺术家）</t>
  </si>
  <si>
    <t>柚尊</t>
  </si>
  <si>
    <t>F3.J0015</t>
  </si>
  <si>
    <t>D8339</t>
  </si>
  <si>
    <t>紫光</t>
  </si>
  <si>
    <t>华鼎轩</t>
  </si>
  <si>
    <t>D8338</t>
  </si>
  <si>
    <t>恒昙木言</t>
    <phoneticPr fontId="4" type="noConversion"/>
  </si>
  <si>
    <t>世代相传</t>
  </si>
  <si>
    <t>F3.J0016</t>
  </si>
  <si>
    <t>红大旭辉</t>
  </si>
  <si>
    <t>卓瑞红木</t>
  </si>
  <si>
    <t>檀风（君和）</t>
  </si>
  <si>
    <t>檀风</t>
  </si>
  <si>
    <t>瑜韵</t>
  </si>
  <si>
    <t>F3.J0017</t>
  </si>
  <si>
    <t>秀木林</t>
  </si>
  <si>
    <t>明堂</t>
  </si>
  <si>
    <t>D8302</t>
  </si>
  <si>
    <t>孚嘉</t>
  </si>
  <si>
    <t>江南宜家</t>
  </si>
  <si>
    <t>D8331</t>
  </si>
  <si>
    <t>皇朝（实木）</t>
  </si>
  <si>
    <t>F3.J0018</t>
  </si>
  <si>
    <t>D8351</t>
  </si>
  <si>
    <t>意利达</t>
  </si>
  <si>
    <t>京檀 （诺捷 ）</t>
  </si>
  <si>
    <t>京檀</t>
  </si>
  <si>
    <t>京瓷</t>
  </si>
  <si>
    <t>F3.J0019</t>
  </si>
  <si>
    <t>D8379</t>
  </si>
  <si>
    <t>华日</t>
  </si>
  <si>
    <t>F3.J0020</t>
  </si>
  <si>
    <t>D8380</t>
  </si>
  <si>
    <t>印象胡桃</t>
  </si>
  <si>
    <t>汇丰</t>
  </si>
  <si>
    <t>F3.J0021</t>
  </si>
  <si>
    <t>D8378</t>
  </si>
  <si>
    <t>大立华</t>
  </si>
  <si>
    <t>西部骑士</t>
  </si>
  <si>
    <t>F3.J0022</t>
  </si>
  <si>
    <t>D8377</t>
  </si>
  <si>
    <t>珍荣</t>
  </si>
  <si>
    <t>欧普灯具</t>
    <phoneticPr fontId="4" type="noConversion"/>
  </si>
  <si>
    <t>D8377</t>
    <phoneticPr fontId="4" type="noConversion"/>
  </si>
  <si>
    <t>东升</t>
  </si>
  <si>
    <t>F3.J0023</t>
  </si>
  <si>
    <t>东升（铭仕达）</t>
  </si>
  <si>
    <t>D8376</t>
  </si>
  <si>
    <t xml:space="preserve">标致 </t>
  </si>
  <si>
    <t xml:space="preserve">小藤匠 </t>
  </si>
  <si>
    <t>赤龙居</t>
  </si>
  <si>
    <t>D8375</t>
  </si>
  <si>
    <t>宏友木</t>
  </si>
  <si>
    <t>D8376-1</t>
  </si>
  <si>
    <t xml:space="preserve">D8376 </t>
  </si>
  <si>
    <t>创新</t>
  </si>
  <si>
    <t>F3.J0024</t>
  </si>
  <si>
    <t>嘉华（昌丽）</t>
  </si>
  <si>
    <t>俭舍</t>
  </si>
  <si>
    <t>D8389</t>
  </si>
  <si>
    <t>观想</t>
  </si>
  <si>
    <t>瀚庭家居（胡桃珍品）</t>
  </si>
  <si>
    <t>胡桃珍品</t>
  </si>
  <si>
    <t>钛马迪</t>
    <phoneticPr fontId="4" type="noConversion"/>
  </si>
  <si>
    <t>槟榔</t>
  </si>
  <si>
    <t>F3.J0026</t>
  </si>
  <si>
    <t>D8387</t>
  </si>
  <si>
    <t>百强（实木）</t>
  </si>
  <si>
    <t>F3.J0027</t>
  </si>
  <si>
    <t>D8388</t>
  </si>
  <si>
    <t>新罗马-百强</t>
  </si>
  <si>
    <t>D8388-2</t>
  </si>
  <si>
    <t>古诺凡希</t>
  </si>
  <si>
    <t>A.R.T.</t>
    <phoneticPr fontId="4" type="noConversion"/>
  </si>
  <si>
    <t>莫霞悦木</t>
  </si>
  <si>
    <t>D8388-1</t>
  </si>
  <si>
    <t>雅木</t>
  </si>
  <si>
    <t>F3.J0028</t>
  </si>
  <si>
    <t>D8390-1</t>
  </si>
  <si>
    <t>柚之园</t>
  </si>
  <si>
    <t>F3.J0029</t>
  </si>
  <si>
    <t>D8390</t>
  </si>
  <si>
    <t>中国概念Ⅱ</t>
  </si>
  <si>
    <t>10064-A03-T8-00160</t>
  </si>
  <si>
    <t>皇朝-森林物语</t>
  </si>
  <si>
    <t>金鼎格瑞特</t>
  </si>
  <si>
    <t>10064-A03-T8-00161</t>
  </si>
  <si>
    <t>钛马迪</t>
    <phoneticPr fontId="4" type="noConversion"/>
  </si>
  <si>
    <t>F3.J0030</t>
  </si>
  <si>
    <t>弗沃德（布鲁克）</t>
  </si>
  <si>
    <t>D8392</t>
  </si>
  <si>
    <t>澳洲福特</t>
  </si>
  <si>
    <t>恒友</t>
  </si>
  <si>
    <t>镕御</t>
  </si>
  <si>
    <t>匡家</t>
    <phoneticPr fontId="4" type="noConversion"/>
  </si>
  <si>
    <t>D8392-1</t>
  </si>
  <si>
    <t>D8372</t>
  </si>
  <si>
    <t>3汇总</t>
  </si>
  <si>
    <t>四层</t>
  </si>
  <si>
    <t>温莎情缘</t>
  </si>
  <si>
    <t>F4.J0001</t>
  </si>
  <si>
    <t>E8013</t>
  </si>
  <si>
    <t>金柜</t>
  </si>
  <si>
    <t>4</t>
  </si>
  <si>
    <t>质感空间</t>
  </si>
  <si>
    <t>E8015</t>
  </si>
  <si>
    <t>亿达丰</t>
  </si>
  <si>
    <t>澜爵公馆（皇家鼎间）</t>
  </si>
  <si>
    <t>E8015-1</t>
  </si>
  <si>
    <t>法兰克</t>
  </si>
  <si>
    <t>E8015-2</t>
  </si>
  <si>
    <t>司米</t>
  </si>
  <si>
    <t>柏辉格林爱尼</t>
    <phoneticPr fontId="4" type="noConversion"/>
  </si>
  <si>
    <t>飞美</t>
  </si>
  <si>
    <t>F4.J0003</t>
  </si>
  <si>
    <t>E8016</t>
  </si>
  <si>
    <t>百盈家</t>
  </si>
  <si>
    <t>E8016-1</t>
  </si>
  <si>
    <t>顶固</t>
  </si>
  <si>
    <t>E8016-2</t>
  </si>
  <si>
    <t>亚丹</t>
  </si>
  <si>
    <t>10064-A04-T8-00042</t>
  </si>
  <si>
    <t>简欧-欧瑞</t>
  </si>
  <si>
    <t>E8017</t>
  </si>
  <si>
    <t>木之林华</t>
  </si>
  <si>
    <t>欧瑞</t>
  </si>
  <si>
    <t>F4.J00042</t>
  </si>
  <si>
    <t>简欧-兴利万家</t>
  </si>
  <si>
    <t>E8017-1</t>
  </si>
  <si>
    <t>泰合盛邦</t>
  </si>
  <si>
    <t>金牌橱柜-好莱客衣柜</t>
  </si>
  <si>
    <t>金牌橱柜</t>
    <phoneticPr fontId="4" type="noConversion"/>
  </si>
  <si>
    <t>好莱客衣柜</t>
    <phoneticPr fontId="4" type="noConversion"/>
  </si>
  <si>
    <t>E8017-1</t>
    <phoneticPr fontId="4" type="noConversion"/>
  </si>
  <si>
    <t>楠香传奇</t>
  </si>
  <si>
    <t>E8018</t>
  </si>
  <si>
    <t>E8018、E8021</t>
  </si>
  <si>
    <t>E8018-1</t>
  </si>
  <si>
    <t>E8018-2</t>
  </si>
  <si>
    <t>光大</t>
  </si>
  <si>
    <t>E8018-3</t>
  </si>
  <si>
    <t>F4.J0006</t>
  </si>
  <si>
    <t>E8019</t>
  </si>
  <si>
    <t xml:space="preserve">RH </t>
  </si>
  <si>
    <t>E8021</t>
  </si>
  <si>
    <t>伯艺家具</t>
  </si>
  <si>
    <t>E8019-1</t>
  </si>
  <si>
    <t xml:space="preserve">  </t>
  </si>
  <si>
    <t>一品柏家</t>
  </si>
  <si>
    <t xml:space="preserve">凯蒂丹妮 </t>
  </si>
  <si>
    <t>E8019-1、E8021</t>
  </si>
  <si>
    <t>凯蒂丹妮</t>
  </si>
  <si>
    <t>行政总厨</t>
    <phoneticPr fontId="4" type="noConversion"/>
  </si>
  <si>
    <t>吴木匠</t>
  </si>
  <si>
    <t>F4.J0008</t>
  </si>
  <si>
    <t>亨德利</t>
  </si>
  <si>
    <t>E8020</t>
  </si>
  <si>
    <t>典派-依丽兰</t>
  </si>
  <si>
    <t>阳光芭比诺</t>
  </si>
  <si>
    <t>卡宾多</t>
    <phoneticPr fontId="4" type="noConversion"/>
  </si>
  <si>
    <t>名仕欧品</t>
  </si>
  <si>
    <t>F4.J0009</t>
  </si>
  <si>
    <t>艺林-OMX欧木轩</t>
  </si>
  <si>
    <t>典派-罗艺威</t>
  </si>
  <si>
    <t>杜亚</t>
    <phoneticPr fontId="4" type="noConversion"/>
  </si>
  <si>
    <t>F4.J0010</t>
  </si>
  <si>
    <t>E8022</t>
  </si>
  <si>
    <t>卡莲娜</t>
  </si>
  <si>
    <t>典派-巴黎左岸</t>
  </si>
  <si>
    <t>巴黎左岸</t>
  </si>
  <si>
    <t>杜亚</t>
    <phoneticPr fontId="4" type="noConversion"/>
  </si>
  <si>
    <t>永顺</t>
  </si>
  <si>
    <t>F4.J0012</t>
  </si>
  <si>
    <t>E8023</t>
  </si>
  <si>
    <t>喜梦宝（波比）</t>
  </si>
  <si>
    <t>F4.J0014</t>
  </si>
  <si>
    <t>意利达（胡桃）</t>
  </si>
  <si>
    <t>E8027</t>
  </si>
  <si>
    <t>F4.J0015</t>
  </si>
  <si>
    <t>苏阳红</t>
  </si>
  <si>
    <t>美松爱家</t>
  </si>
  <si>
    <t>E8001</t>
  </si>
  <si>
    <t>品致</t>
  </si>
  <si>
    <t>F4.J00191</t>
  </si>
  <si>
    <t>伊力诺依</t>
  </si>
  <si>
    <t>F4.J0016/19</t>
  </si>
  <si>
    <t>迪森堡</t>
  </si>
  <si>
    <t>E8003</t>
  </si>
  <si>
    <t>星星美墅</t>
  </si>
  <si>
    <t>梦幻年华美郡</t>
  </si>
  <si>
    <t>E8003-1</t>
  </si>
  <si>
    <t>康弗尔</t>
  </si>
  <si>
    <t>古韵清风-清风阁</t>
  </si>
  <si>
    <t>E8001-1</t>
  </si>
  <si>
    <t>米奇天地 （酷漫居）</t>
  </si>
  <si>
    <t>松木系列</t>
  </si>
  <si>
    <t>E8002</t>
  </si>
  <si>
    <t>联合营销品牌</t>
    <phoneticPr fontId="4" type="noConversion"/>
  </si>
  <si>
    <t>星星索</t>
  </si>
  <si>
    <t>E8001-2</t>
  </si>
  <si>
    <t>E8002-1</t>
  </si>
  <si>
    <t>阳光芭比诺</t>
    <phoneticPr fontId="4" type="noConversion"/>
  </si>
  <si>
    <t>松堡王国</t>
  </si>
  <si>
    <t>E8003-2</t>
  </si>
  <si>
    <t>F4.J0020-1</t>
  </si>
  <si>
    <t>E8005-1</t>
  </si>
  <si>
    <t xml:space="preserve">欧彩 </t>
  </si>
  <si>
    <t>卡诺亚</t>
  </si>
  <si>
    <t>F4.J0020-2</t>
  </si>
  <si>
    <t>E8005</t>
  </si>
  <si>
    <t>乌金名爵</t>
  </si>
  <si>
    <t>E8006</t>
  </si>
  <si>
    <t>乌金名爵-金鲁班</t>
  </si>
  <si>
    <t>秀木林（三柏木坊）</t>
  </si>
  <si>
    <t>E8006-1</t>
  </si>
  <si>
    <t>百得胜</t>
  </si>
  <si>
    <t>F4.J0022-1</t>
  </si>
  <si>
    <t>E8007</t>
  </si>
  <si>
    <t>大信</t>
  </si>
  <si>
    <t>海拓</t>
  </si>
  <si>
    <t>F4.J0022-2</t>
  </si>
  <si>
    <t>E8007-1</t>
  </si>
  <si>
    <t>E8008</t>
  </si>
  <si>
    <t>F4.J0024</t>
  </si>
  <si>
    <t>桔子小屋</t>
  </si>
  <si>
    <t>E8010/E8010-1</t>
  </si>
  <si>
    <t>E8010-1</t>
  </si>
  <si>
    <t>E8012</t>
  </si>
  <si>
    <t>贝丹妮</t>
  </si>
  <si>
    <t>豆丁庄园</t>
  </si>
  <si>
    <t>E8010</t>
  </si>
  <si>
    <t>E8052-1</t>
  </si>
  <si>
    <t>F4.J0025</t>
  </si>
  <si>
    <t>拜森</t>
  </si>
  <si>
    <t>柏厨</t>
  </si>
  <si>
    <t>松果</t>
  </si>
  <si>
    <t>F4.J0026</t>
  </si>
  <si>
    <t>E8052</t>
  </si>
  <si>
    <t>恒大-至白小屋</t>
  </si>
  <si>
    <t>E8052-2</t>
  </si>
  <si>
    <t>E8010-2</t>
  </si>
  <si>
    <t>凯威德</t>
  </si>
  <si>
    <t>4</t>
    <phoneticPr fontId="4" type="noConversion"/>
  </si>
  <si>
    <t>忆家</t>
    <phoneticPr fontId="4" type="noConversion"/>
  </si>
  <si>
    <t>木槿之恋</t>
  </si>
  <si>
    <t>E8035</t>
  </si>
  <si>
    <t>优品U舍</t>
  </si>
  <si>
    <t>E8051</t>
  </si>
  <si>
    <t>国安佳美</t>
  </si>
  <si>
    <t>F4.J0028</t>
  </si>
  <si>
    <t>E8050</t>
  </si>
  <si>
    <t>E8050-1</t>
  </si>
  <si>
    <t>E8050-2</t>
  </si>
  <si>
    <t>意风</t>
  </si>
  <si>
    <t>F4.J0029</t>
  </si>
  <si>
    <t>E8039</t>
  </si>
  <si>
    <t>志邦</t>
    <phoneticPr fontId="4" type="noConversion"/>
  </si>
  <si>
    <t>E8054</t>
    <phoneticPr fontId="4" type="noConversion"/>
  </si>
  <si>
    <t>红苹果</t>
  </si>
  <si>
    <t>F4.J0030</t>
  </si>
  <si>
    <t>E8036</t>
  </si>
  <si>
    <t>晓月蕾曼</t>
  </si>
  <si>
    <t>皇朝（板式）</t>
  </si>
  <si>
    <t>F4.J0031</t>
  </si>
  <si>
    <t>欧思格蓝</t>
  </si>
  <si>
    <t>E8038</t>
  </si>
  <si>
    <t xml:space="preserve">曲美 </t>
  </si>
  <si>
    <t>木之语</t>
  </si>
  <si>
    <t>F4.J0032-1</t>
  </si>
  <si>
    <t>E8038-1</t>
  </si>
  <si>
    <t>鑫亿鑫（卡维之家）</t>
  </si>
  <si>
    <t>LHABC</t>
  </si>
  <si>
    <t>欧洲印象</t>
  </si>
  <si>
    <t>F4.J0032-2</t>
  </si>
  <si>
    <t>E8037</t>
  </si>
  <si>
    <t>益卡思</t>
  </si>
  <si>
    <t>ecus（益卡思）</t>
  </si>
  <si>
    <t>F4.J0033</t>
  </si>
  <si>
    <t>E8028</t>
  </si>
  <si>
    <t>恒大-多喜爱</t>
  </si>
  <si>
    <t>恒大-松果</t>
  </si>
  <si>
    <t>E8029</t>
  </si>
  <si>
    <t>恒大-我爱我家</t>
  </si>
  <si>
    <t>东方百盛</t>
  </si>
  <si>
    <t>F4.J0035</t>
  </si>
  <si>
    <t>E8030</t>
  </si>
  <si>
    <t>蓝蓝部落</t>
  </si>
  <si>
    <t>E8030-1</t>
  </si>
  <si>
    <t>标致（板式）</t>
  </si>
  <si>
    <t>F4.J0036</t>
  </si>
  <si>
    <t>晓月家具</t>
  </si>
  <si>
    <t>E8031</t>
  </si>
  <si>
    <t>E8031-1</t>
  </si>
  <si>
    <t xml:space="preserve">E8031 </t>
  </si>
  <si>
    <r>
      <rPr>
        <sz val="9"/>
        <rFont val="宋体"/>
        <family val="3"/>
        <charset val="134"/>
      </rPr>
      <t>E8031</t>
    </r>
    <r>
      <rPr>
        <sz val="9"/>
        <rFont val="宋体"/>
        <family val="3"/>
        <charset val="134"/>
      </rPr>
      <t>-1</t>
    </r>
  </si>
  <si>
    <t>悠厨生活</t>
  </si>
  <si>
    <r>
      <rPr>
        <sz val="9"/>
        <rFont val="宋体"/>
        <family val="3"/>
        <charset val="134"/>
      </rPr>
      <t>E8031</t>
    </r>
    <r>
      <rPr>
        <sz val="9"/>
        <rFont val="宋体"/>
        <family val="3"/>
        <charset val="134"/>
      </rPr>
      <t>-2</t>
    </r>
  </si>
  <si>
    <t>百强（板式）</t>
  </si>
  <si>
    <t>F4.J0037</t>
  </si>
  <si>
    <t>E8032</t>
  </si>
  <si>
    <t>欧福莱-百强</t>
  </si>
  <si>
    <r>
      <rPr>
        <sz val="9"/>
        <rFont val="宋体"/>
        <family val="3"/>
        <charset val="134"/>
      </rPr>
      <t>E803</t>
    </r>
    <r>
      <rPr>
        <sz val="9"/>
        <rFont val="宋体"/>
        <family val="3"/>
        <charset val="134"/>
      </rPr>
      <t>3</t>
    </r>
  </si>
  <si>
    <t>我爱我家</t>
  </si>
  <si>
    <t>F4.J0038</t>
  </si>
  <si>
    <t>E8033/E8033-1</t>
  </si>
  <si>
    <t>E8033/E8033-2</t>
  </si>
  <si>
    <t>E8033-1</t>
  </si>
  <si>
    <t>E8033</t>
  </si>
  <si>
    <t>快乐驿站</t>
  </si>
  <si>
    <t>F4.J0039</t>
  </si>
  <si>
    <t>4汇总</t>
  </si>
  <si>
    <t>五层</t>
  </si>
  <si>
    <t>圣斯克</t>
  </si>
  <si>
    <t>F5.J0001</t>
  </si>
  <si>
    <t>F8536</t>
  </si>
  <si>
    <t>F8536-1</t>
  </si>
  <si>
    <t>5</t>
  </si>
  <si>
    <t>世纪星辰装饰</t>
  </si>
  <si>
    <t>F8536-2</t>
  </si>
  <si>
    <t>F8536-3</t>
  </si>
  <si>
    <t>博洛尼装饰公司</t>
    <phoneticPr fontId="4" type="noConversion"/>
  </si>
  <si>
    <t>世纪亿卓</t>
  </si>
  <si>
    <t>F5.J0002</t>
  </si>
  <si>
    <t>世纪亿卓-维多利亚</t>
  </si>
  <si>
    <t>F8537</t>
  </si>
  <si>
    <t>融峰</t>
  </si>
  <si>
    <t>F8537-1</t>
  </si>
  <si>
    <t>上匠</t>
  </si>
  <si>
    <t>天艺雅轩</t>
    <phoneticPr fontId="4" type="noConversion"/>
  </si>
  <si>
    <t>实创</t>
  </si>
  <si>
    <t>F8537-2</t>
  </si>
  <si>
    <t>美国PF</t>
  </si>
  <si>
    <t>F5.J0003</t>
  </si>
  <si>
    <t>F8538</t>
  </si>
  <si>
    <t>美郡</t>
  </si>
  <si>
    <t>F8538-1</t>
  </si>
  <si>
    <t>F8538-2</t>
  </si>
  <si>
    <t>R·H</t>
  </si>
  <si>
    <t>F8539-2</t>
  </si>
  <si>
    <t>F8539</t>
  </si>
  <si>
    <t>F8539-1</t>
  </si>
  <si>
    <t>F8539-3</t>
  </si>
  <si>
    <t>斯洛迪茨（欧亚国际）</t>
  </si>
  <si>
    <t>斯洛迪茨</t>
  </si>
  <si>
    <t>F8550-1</t>
  </si>
  <si>
    <t>斯诺迪茨</t>
  </si>
  <si>
    <t>F5.J0005</t>
  </si>
  <si>
    <t>F8550</t>
  </si>
  <si>
    <t>欧乐</t>
  </si>
  <si>
    <t>F5.J0006</t>
  </si>
  <si>
    <t>F8528</t>
  </si>
  <si>
    <t>标致-贡多拉2</t>
  </si>
  <si>
    <t>F8529-3</t>
  </si>
  <si>
    <t>标致-贡多拉</t>
  </si>
  <si>
    <t>F8529-1</t>
  </si>
  <si>
    <t>标致（欧式）</t>
  </si>
  <si>
    <t>F8529-1/F8529-2</t>
  </si>
  <si>
    <t>标致-德曼</t>
  </si>
  <si>
    <t>F8529-2</t>
  </si>
  <si>
    <t>标致-艾蕾</t>
  </si>
  <si>
    <t>F8529</t>
  </si>
  <si>
    <t>神鹿</t>
  </si>
  <si>
    <t>F5.J0009</t>
  </si>
  <si>
    <t>典派</t>
  </si>
  <si>
    <t>典派-宝格丽</t>
  </si>
  <si>
    <t>F8530</t>
  </si>
  <si>
    <t>5</t>
    <phoneticPr fontId="4" type="noConversion"/>
  </si>
  <si>
    <t>典派-罗艺威</t>
    <phoneticPr fontId="4" type="noConversion"/>
  </si>
  <si>
    <t>范西哲</t>
  </si>
  <si>
    <t>F8531</t>
  </si>
  <si>
    <t xml:space="preserve">美芬达 </t>
  </si>
  <si>
    <t>百富</t>
  </si>
  <si>
    <t>F5.J0011</t>
  </si>
  <si>
    <t>丽代·卡洛尔</t>
  </si>
  <si>
    <t>F8532</t>
  </si>
  <si>
    <t xml:space="preserve">F8532 </t>
  </si>
  <si>
    <t>卡梅尔</t>
  </si>
  <si>
    <t>F5.J0012</t>
  </si>
  <si>
    <t>纳帕庄园</t>
  </si>
  <si>
    <t>F8533</t>
  </si>
  <si>
    <t>F8533-1</t>
  </si>
  <si>
    <t>F8533-2</t>
  </si>
  <si>
    <t>龙发</t>
  </si>
  <si>
    <t>F8533-3</t>
  </si>
  <si>
    <t>路易世家</t>
  </si>
  <si>
    <t>F5.J0013</t>
  </si>
  <si>
    <t>F8535</t>
  </si>
  <si>
    <t>名人居</t>
  </si>
  <si>
    <t>约克公爵</t>
  </si>
  <si>
    <t>F5.J0014</t>
  </si>
  <si>
    <t>F8555</t>
  </si>
  <si>
    <t>华莎美家</t>
  </si>
  <si>
    <t>扬狮</t>
  </si>
  <si>
    <t>威廉世家</t>
  </si>
  <si>
    <t>F5.J0015</t>
  </si>
  <si>
    <t>F8556</t>
  </si>
  <si>
    <t>Wakei华祺美典</t>
  </si>
  <si>
    <t>阳光夏威夷</t>
  </si>
  <si>
    <t>F5.J0016</t>
  </si>
  <si>
    <t>F5.J0016-1</t>
  </si>
  <si>
    <t>F8558</t>
  </si>
  <si>
    <t>塞纳宫爵</t>
  </si>
  <si>
    <t>F5.J0016-2</t>
  </si>
  <si>
    <t>F8558-1</t>
  </si>
  <si>
    <t>美卡罗</t>
  </si>
  <si>
    <t>亚振</t>
  </si>
  <si>
    <t>F5.J0017</t>
  </si>
  <si>
    <t>亚振-卡帝亚</t>
  </si>
  <si>
    <t>F8557</t>
  </si>
  <si>
    <t>亚振-利维亚</t>
  </si>
  <si>
    <t>标致（古典）</t>
  </si>
  <si>
    <t>F5.J0018</t>
  </si>
  <si>
    <t>标致-凯欧丽斯</t>
  </si>
  <si>
    <t>F8529-5</t>
  </si>
  <si>
    <t>欧林斯</t>
  </si>
  <si>
    <t>F5.J0019</t>
  </si>
  <si>
    <t>F8551</t>
  </si>
  <si>
    <t>伯爵庄园</t>
  </si>
  <si>
    <t>F5.J0020</t>
  </si>
  <si>
    <t>F8552</t>
  </si>
  <si>
    <t>柏森-洛兰德拉</t>
  </si>
  <si>
    <t>丽豪轩</t>
  </si>
  <si>
    <t>香堡</t>
  </si>
  <si>
    <t>F5.J0021</t>
  </si>
  <si>
    <t>F8553</t>
  </si>
  <si>
    <t>迪芙妮</t>
  </si>
  <si>
    <t xml:space="preserve">奥妮漫 </t>
  </si>
  <si>
    <t xml:space="preserve">美林印象家居 </t>
  </si>
  <si>
    <t>温蒂妮</t>
  </si>
  <si>
    <t>乐华梅兰</t>
    <phoneticPr fontId="4" type="noConversion"/>
  </si>
  <si>
    <t>5汇总</t>
  </si>
  <si>
    <t>地板馆</t>
  </si>
  <si>
    <t>赤龙</t>
  </si>
  <si>
    <t>F6.C002A</t>
  </si>
  <si>
    <t>F6.C004A</t>
  </si>
  <si>
    <t>F6.C005A</t>
  </si>
  <si>
    <t>F6.C006A</t>
  </si>
  <si>
    <t>F6.C007A</t>
  </si>
  <si>
    <t>总计</t>
  </si>
  <si>
    <t xml:space="preserve">负一层 </t>
  </si>
  <si>
    <t>人鼎画廊</t>
  </si>
  <si>
    <t>船说</t>
  </si>
  <si>
    <t>B1.K0125</t>
  </si>
  <si>
    <t>弘艺</t>
  </si>
  <si>
    <t>A8126-3</t>
  </si>
  <si>
    <t>家艺思博</t>
  </si>
  <si>
    <t>B1.K0128</t>
  </si>
  <si>
    <t>中饰人家</t>
  </si>
  <si>
    <t>CS005</t>
  </si>
  <si>
    <t>东阳木雕</t>
  </si>
  <si>
    <t>F0002</t>
  </si>
  <si>
    <t>美尔凯特</t>
  </si>
  <si>
    <t>A8280</t>
  </si>
  <si>
    <t>美的吊顶</t>
  </si>
  <si>
    <t>B1.K0133</t>
  </si>
  <si>
    <t>创收</t>
    <phoneticPr fontId="4" type="noConversion"/>
  </si>
  <si>
    <t>弘艺精品油画</t>
  </si>
  <si>
    <t>10064-AB1-T7-00146</t>
  </si>
  <si>
    <t>10064-AB1-T7-00141</t>
  </si>
  <si>
    <t>朝友</t>
  </si>
  <si>
    <t>臧羊</t>
  </si>
  <si>
    <t>A0002</t>
  </si>
  <si>
    <t xml:space="preserve">A8011-3 </t>
  </si>
  <si>
    <t xml:space="preserve">潜水艇地漏 </t>
  </si>
  <si>
    <t xml:space="preserve">A8011-2 </t>
  </si>
  <si>
    <t xml:space="preserve">A8011-4 </t>
  </si>
  <si>
    <t>综合馆负一楼后大厅A8195-3展位</t>
  </si>
  <si>
    <t>朝友保险柜</t>
  </si>
  <si>
    <t>A0001</t>
  </si>
  <si>
    <t>艾斐堡</t>
  </si>
  <si>
    <t>A0008</t>
  </si>
  <si>
    <t xml:space="preserve">A6001-1 </t>
  </si>
  <si>
    <t>驰球</t>
  </si>
  <si>
    <t>奇彩刺绣</t>
  </si>
  <si>
    <t>F1.K0040</t>
  </si>
  <si>
    <t>B7002</t>
  </si>
  <si>
    <t>B8150-1</t>
  </si>
  <si>
    <t>停车场</t>
  </si>
  <si>
    <t>F1.K0041</t>
  </si>
  <si>
    <t>铭艺</t>
  </si>
  <si>
    <t>B7001</t>
  </si>
  <si>
    <t>聚品</t>
  </si>
  <si>
    <t>B7004</t>
  </si>
  <si>
    <t>B7005</t>
  </si>
  <si>
    <t>格至家饰</t>
  </si>
  <si>
    <t xml:space="preserve">DELTA德雅 </t>
  </si>
  <si>
    <t>B7002-1</t>
  </si>
  <si>
    <t>B7003</t>
  </si>
  <si>
    <t>金富来</t>
  </si>
  <si>
    <t>F1.K0048</t>
  </si>
  <si>
    <t xml:space="preserve">      </t>
  </si>
  <si>
    <t>蓝飘尔</t>
  </si>
  <si>
    <t>B8229</t>
  </si>
  <si>
    <t>诺孚厨宝</t>
  </si>
  <si>
    <t>B8228</t>
  </si>
  <si>
    <t>赛潮</t>
  </si>
  <si>
    <t>B7009</t>
  </si>
  <si>
    <t>奇彩刺绣1</t>
  </si>
  <si>
    <t>B8037</t>
  </si>
  <si>
    <t>潜水艇1</t>
  </si>
  <si>
    <t>B8037-1</t>
  </si>
  <si>
    <t>欧华仕</t>
  </si>
  <si>
    <t>B8333</t>
  </si>
  <si>
    <t>F2.K0025</t>
  </si>
  <si>
    <t>C8401</t>
  </si>
  <si>
    <t>C8402</t>
  </si>
  <si>
    <t>CAV</t>
  </si>
  <si>
    <t>C8345</t>
  </si>
  <si>
    <t>格致家饰</t>
  </si>
  <si>
    <t>C8951</t>
  </si>
  <si>
    <t>雅苑家居</t>
  </si>
  <si>
    <t>F3.K0032</t>
  </si>
  <si>
    <t>古韵新风-清风阁</t>
  </si>
  <si>
    <t>雅苑（小件家具）</t>
  </si>
  <si>
    <t>10064-A03-T7-00156</t>
  </si>
  <si>
    <t>雅苑</t>
  </si>
  <si>
    <t>阳光水族</t>
  </si>
  <si>
    <t>F0003</t>
  </si>
  <si>
    <t>3 汇总</t>
  </si>
  <si>
    <t>E8401</t>
  </si>
  <si>
    <t>E8402</t>
  </si>
  <si>
    <t>4 汇总</t>
  </si>
  <si>
    <t>F8401</t>
  </si>
  <si>
    <t>F8558-4</t>
  </si>
  <si>
    <t>宝居乐</t>
  </si>
  <si>
    <t>综合馆五层南侧机房门口</t>
  </si>
  <si>
    <t>创收</t>
  </si>
  <si>
    <t>F8558-2</t>
  </si>
  <si>
    <t>大益茶</t>
  </si>
  <si>
    <t>固定广告</t>
  </si>
  <si>
    <t>亚振（小）</t>
  </si>
  <si>
    <t>亚振（大）</t>
  </si>
  <si>
    <t xml:space="preserve">京檀 </t>
  </si>
  <si>
    <t xml:space="preserve">诺捷-京檀 </t>
  </si>
  <si>
    <t>月付</t>
  </si>
  <si>
    <t xml:space="preserve">凯欧丽斯 </t>
  </si>
  <si>
    <t>年付</t>
  </si>
  <si>
    <t>慕思</t>
  </si>
  <si>
    <t>正门南侧</t>
  </si>
  <si>
    <t>北三门</t>
  </si>
  <si>
    <t>北一玻璃幕墙</t>
  </si>
  <si>
    <t>外广场玻璃房</t>
  </si>
  <si>
    <t>综合馆北侧外立面第二块广告位B8192-1</t>
  </si>
  <si>
    <t>综合馆正门北侧Z0006</t>
  </si>
  <si>
    <t>综合馆北侧外立面第三块广告位B8192-1</t>
  </si>
  <si>
    <t>1074-A01-Z00330</t>
  </si>
  <si>
    <t>10064-A01-T6-00031</t>
  </si>
  <si>
    <t>10064-A01-T6-00012</t>
  </si>
  <si>
    <t>10064-A01-T6-00010</t>
  </si>
  <si>
    <t>综合馆正门北侧Z0007</t>
  </si>
  <si>
    <t>标致</t>
  </si>
  <si>
    <t>综合馆正门Z0003</t>
  </si>
  <si>
    <t>综合馆正门Z0006</t>
  </si>
  <si>
    <t>负一前厅墙面广告位</t>
  </si>
  <si>
    <t>564</t>
  </si>
  <si>
    <t>南三门墙体广告</t>
  </si>
  <si>
    <t>慕思3D床垫</t>
  </si>
  <si>
    <t>二三层间灯箱广告</t>
  </si>
  <si>
    <t>南一墙体广告</t>
  </si>
  <si>
    <t>建筑面积</t>
    <phoneticPr fontId="144" type="noConversion"/>
  </si>
  <si>
    <t>实租租金</t>
    <phoneticPr fontId="144" type="noConversion"/>
  </si>
  <si>
    <t>押一</t>
  </si>
  <si>
    <t>钢混</t>
  </si>
  <si>
    <t>非生产用房</t>
  </si>
  <si>
    <t>收益法</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</si>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</sst>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1" formatCode="yy/m/d;@"/>
    <numFmt numFmtId="202" formatCode="0.00;[Red]0.00"/>
    <numFmt numFmtId="203" formatCode="#,##0_ "/>
    <numFmt numFmtId="204" formatCode="_ * #,##0.00_ ;_ * \-#,##0.00_ ;_ * &quot;-&quot;??_ ;_ @_ "/>
    <numFmt numFmtId="205" formatCode="dd/mmm/yy"/>
  </numFmts>
  <fonts count="26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楷体_GB2312"/>
      <family val="3"/>
      <charset val="134"/>
    </font>
    <font>
      <b/>
      <vertAlign val="superscript"/>
      <sz val="10"/>
      <color theme="1"/>
      <name val="楷体_GB2312"/>
      <family val="3"/>
      <charset val="134"/>
    </font>
    <font>
      <sz val="10"/>
      <color theme="1"/>
      <name val="楷体_GB2312"/>
      <family val="3"/>
      <charset val="134"/>
    </font>
    <font>
      <sz val="10"/>
      <name val="Helv"/>
      <family val="2"/>
    </font>
    <font>
      <sz val="10"/>
      <name val="宋体"/>
      <family val="3"/>
      <charset val="134"/>
      <scheme val="minor"/>
    </font>
    <font>
      <sz val="9"/>
      <name val="Times New Roman"/>
      <family val="1"/>
    </font>
    <font>
      <sz val="9"/>
      <color indexed="10"/>
      <name val="宋体"/>
      <family val="3"/>
      <charset val="134"/>
    </font>
    <font>
      <sz val="9"/>
      <color rgb="FF222222"/>
      <name val="Arial"/>
      <family val="2"/>
    </font>
    <font>
      <sz val="9"/>
      <color rgb="FF222222"/>
      <name val="宋体"/>
      <family val="3"/>
      <charset val="134"/>
    </font>
    <font>
      <b/>
      <sz val="9"/>
      <color indexed="8"/>
      <name val="宋体"/>
      <family val="3"/>
      <charset val="134"/>
    </font>
    <font>
      <sz val="9"/>
      <name val="Helv"/>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2"/>
        <bgColor indexed="64"/>
      </patternFill>
    </fill>
    <fill>
      <patternFill patternType="solid">
        <fgColor rgb="FF00B0F0"/>
        <bgColor indexed="64"/>
      </patternFill>
    </fill>
    <fill>
      <patternFill patternType="solid">
        <fgColor rgb="FFCCFFCC"/>
        <bgColor indexed="64"/>
      </patternFill>
    </fill>
    <fill>
      <patternFill patternType="solid">
        <fgColor rgb="FFFFC000"/>
        <bgColor indexed="64"/>
      </patternFill>
    </fill>
    <fill>
      <patternFill patternType="solid">
        <fgColor theme="2" tint="-0.249977111117893"/>
        <bgColor indexed="64"/>
      </patternFill>
    </fill>
    <fill>
      <patternFill patternType="solid">
        <fgColor rgb="FF00B050"/>
        <bgColor indexed="64"/>
      </patternFill>
    </fill>
    <fill>
      <patternFill patternType="solid">
        <fgColor theme="4" tint="0.79992065187536243"/>
        <bgColor indexed="64"/>
      </patternFill>
    </fill>
    <fill>
      <patternFill patternType="solid">
        <fgColor theme="4" tint="0.79989013336588644"/>
        <bgColor indexed="64"/>
      </patternFill>
    </fill>
    <fill>
      <patternFill patternType="solid">
        <fgColor indexed="46"/>
        <bgColor indexed="64"/>
      </patternFill>
    </fill>
    <fill>
      <patternFill patternType="solid">
        <fgColor theme="9" tint="0.39988402966399123"/>
        <bgColor indexed="64"/>
      </patternFill>
    </fill>
    <fill>
      <patternFill patternType="solid">
        <fgColor theme="9" tint="0.59999389629810485"/>
        <bgColor indexed="64"/>
      </patternFill>
    </fill>
    <fill>
      <patternFill patternType="solid">
        <fgColor rgb="FFCC99FF"/>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
      <left style="thin">
        <color indexed="22"/>
      </left>
      <right style="thin">
        <color indexed="22"/>
      </right>
      <top style="thin">
        <color indexed="22"/>
      </top>
      <bottom style="thin">
        <color indexed="22"/>
      </bottom>
      <diagonal/>
    </border>
  </borders>
  <cellStyleXfs count="22">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alignment vertical="center"/>
    </xf>
    <xf numFmtId="0" fontId="258" fillId="0" borderId="0">
      <alignment vertical="center"/>
    </xf>
    <xf numFmtId="0" fontId="1" fillId="0" borderId="0">
      <alignment vertical="center"/>
    </xf>
    <xf numFmtId="204" fontId="38" fillId="0" borderId="0" applyFont="0" applyFill="0" applyBorder="0" applyAlignment="0" applyProtection="0">
      <alignment vertical="center"/>
    </xf>
    <xf numFmtId="0" fontId="258" fillId="0" borderId="0">
      <alignment vertical="center"/>
      <protection locked="0"/>
    </xf>
    <xf numFmtId="0" fontId="258" fillId="0" borderId="0">
      <alignment vertical="center"/>
      <protection locked="0"/>
    </xf>
    <xf numFmtId="9" fontId="38" fillId="0" borderId="0" applyFont="0" applyFill="0" applyBorder="0" applyAlignment="0" applyProtection="0">
      <alignment vertical="center"/>
    </xf>
    <xf numFmtId="0" fontId="100" fillId="0" borderId="0">
      <alignment vertical="center"/>
    </xf>
    <xf numFmtId="0" fontId="258" fillId="0" borderId="0">
      <alignment vertical="center"/>
    </xf>
  </cellStyleXfs>
  <cellXfs count="34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255" fillId="0" borderId="156" xfId="0" applyFont="1" applyBorder="1" applyAlignment="1">
      <alignment horizontal="center" vertical="center"/>
    </xf>
    <xf numFmtId="0" fontId="255" fillId="0" borderId="157" xfId="0" applyFont="1" applyBorder="1" applyAlignment="1">
      <alignment horizontal="center" vertical="center" wrapText="1"/>
    </xf>
    <xf numFmtId="0" fontId="257" fillId="0" borderId="158" xfId="0" applyFont="1" applyBorder="1" applyAlignment="1">
      <alignment horizontal="center" vertical="center"/>
    </xf>
    <xf numFmtId="0" fontId="257" fillId="0" borderId="159" xfId="0" applyFont="1" applyBorder="1" applyAlignment="1">
      <alignment horizontal="center" vertical="center" wrapText="1"/>
    </xf>
    <xf numFmtId="0" fontId="255" fillId="0" borderId="160" xfId="0" applyFont="1" applyBorder="1" applyAlignment="1">
      <alignment horizontal="center" vertical="center" wrapText="1"/>
    </xf>
    <xf numFmtId="0" fontId="255" fillId="0" borderId="161" xfId="0" applyFont="1" applyBorder="1" applyAlignment="1">
      <alignment horizontal="center" vertical="center" wrapText="1"/>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5" fillId="0" borderId="1" xfId="1" applyFont="1" applyBorder="1" applyAlignment="1" applyProtection="1">
      <alignment horizontal="center" vertical="center"/>
      <protection locked="0" hidden="1"/>
    </xf>
    <xf numFmtId="10" fontId="85" fillId="0" borderId="1" xfId="1" applyNumberFormat="1" applyFont="1" applyBorder="1" applyAlignment="1" applyProtection="1">
      <alignment horizontal="center"/>
      <protection locked="0" hidden="1"/>
    </xf>
    <xf numFmtId="9" fontId="85" fillId="0" borderId="1" xfId="1" applyNumberFormat="1" applyFont="1" applyBorder="1" applyAlignment="1" applyProtection="1">
      <alignment horizontal="center"/>
      <protection locked="0" hidden="1"/>
    </xf>
    <xf numFmtId="10" fontId="0" fillId="0" borderId="0" xfId="0" applyNumberFormat="1">
      <alignment vertical="center"/>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85" fillId="2" borderId="0" xfId="13" applyFont="1" applyFill="1" applyBorder="1" applyAlignment="1">
      <alignment horizontal="center" vertical="center"/>
    </xf>
    <xf numFmtId="0" fontId="85" fillId="2" borderId="0" xfId="13" applyFont="1" applyFill="1" applyBorder="1" applyAlignment="1">
      <alignment horizontal="left" vertical="center"/>
    </xf>
    <xf numFmtId="0" fontId="20" fillId="2" borderId="0" xfId="13" applyFont="1" applyFill="1" applyBorder="1" applyAlignment="1">
      <alignment horizontal="left" vertical="center"/>
    </xf>
    <xf numFmtId="0" fontId="20" fillId="2" borderId="0" xfId="13" applyFont="1" applyFill="1" applyBorder="1" applyAlignment="1">
      <alignment horizontal="center" vertical="center"/>
    </xf>
    <xf numFmtId="201" fontId="64" fillId="3" borderId="0" xfId="14" applyNumberFormat="1" applyFont="1" applyFill="1" applyBorder="1" applyAlignment="1" applyProtection="1">
      <alignment horizontal="left" vertical="center"/>
    </xf>
    <xf numFmtId="201" fontId="20" fillId="3" borderId="0" xfId="13" applyNumberFormat="1" applyFont="1" applyFill="1" applyBorder="1" applyAlignment="1">
      <alignment horizontal="center" vertical="center"/>
    </xf>
    <xf numFmtId="0" fontId="20" fillId="3" borderId="0" xfId="13" applyFont="1" applyFill="1" applyBorder="1" applyAlignment="1">
      <alignment horizontal="center" vertical="center"/>
    </xf>
    <xf numFmtId="0" fontId="20" fillId="0" borderId="0" xfId="13" applyFont="1" applyAlignment="1"/>
    <xf numFmtId="0" fontId="259" fillId="0" borderId="1" xfId="15" applyFont="1" applyBorder="1" applyAlignment="1">
      <alignment horizontal="center" vertical="center"/>
    </xf>
    <xf numFmtId="0" fontId="259" fillId="0" borderId="1" xfId="15" applyFont="1" applyBorder="1" applyAlignment="1">
      <alignment horizontal="center" vertical="center" wrapText="1"/>
    </xf>
    <xf numFmtId="57" fontId="20" fillId="2" borderId="0" xfId="13" applyNumberFormat="1" applyFont="1" applyFill="1" applyBorder="1" applyAlignment="1">
      <alignment horizontal="left" vertical="center"/>
    </xf>
    <xf numFmtId="57" fontId="20" fillId="2" borderId="0" xfId="13" applyNumberFormat="1" applyFont="1" applyFill="1" applyBorder="1" applyAlignment="1">
      <alignment horizontal="left" vertical="center"/>
    </xf>
    <xf numFmtId="57" fontId="20" fillId="2" borderId="0" xfId="13" applyNumberFormat="1" applyFont="1" applyFill="1" applyBorder="1" applyAlignment="1">
      <alignment horizontal="center" vertical="center"/>
    </xf>
    <xf numFmtId="0" fontId="85" fillId="0" borderId="0" xfId="13" applyFont="1" applyFill="1" applyBorder="1" applyAlignment="1">
      <alignment horizontal="center" vertical="center"/>
    </xf>
    <xf numFmtId="0" fontId="20" fillId="0" borderId="0" xfId="13" applyFont="1" applyFill="1" applyAlignment="1"/>
    <xf numFmtId="49" fontId="260" fillId="3" borderId="1" xfId="13" applyNumberFormat="1" applyFont="1" applyFill="1" applyBorder="1" applyAlignment="1">
      <alignment horizontal="center" vertical="center" wrapText="1"/>
    </xf>
    <xf numFmtId="0" fontId="4" fillId="3" borderId="1" xfId="13" applyFont="1" applyFill="1" applyBorder="1" applyAlignment="1">
      <alignment horizontal="center" vertical="center" wrapText="1"/>
    </xf>
    <xf numFmtId="0" fontId="4" fillId="0" borderId="1" xfId="13" applyFont="1" applyBorder="1" applyAlignment="1">
      <alignment horizontal="center"/>
    </xf>
    <xf numFmtId="0" fontId="4" fillId="0" borderId="0" xfId="13" applyFont="1" applyAlignment="1"/>
    <xf numFmtId="0" fontId="259" fillId="0" borderId="1" xfId="15" applyFont="1" applyBorder="1" applyAlignment="1">
      <alignment horizontal="center" vertical="center"/>
    </xf>
    <xf numFmtId="0" fontId="260" fillId="3" borderId="1" xfId="13" applyFont="1" applyFill="1" applyBorder="1" applyAlignment="1">
      <alignment horizontal="center" vertical="center" wrapText="1"/>
    </xf>
    <xf numFmtId="0" fontId="4" fillId="3" borderId="13" xfId="13" applyFont="1" applyFill="1" applyBorder="1" applyAlignment="1">
      <alignment horizontal="center" vertical="center" wrapText="1"/>
    </xf>
    <xf numFmtId="201" fontId="260" fillId="3" borderId="1" xfId="13" applyNumberFormat="1" applyFont="1" applyFill="1" applyBorder="1" applyAlignment="1">
      <alignment horizontal="center" vertical="center" wrapText="1"/>
    </xf>
    <xf numFmtId="202" fontId="4" fillId="3" borderId="1" xfId="13" applyNumberFormat="1" applyFont="1" applyFill="1" applyBorder="1" applyAlignment="1">
      <alignment horizontal="center" vertical="center" wrapText="1"/>
    </xf>
    <xf numFmtId="49" fontId="259" fillId="2" borderId="1" xfId="15" applyNumberFormat="1" applyFont="1" applyFill="1" applyBorder="1" applyAlignment="1"/>
    <xf numFmtId="179" fontId="259" fillId="0" borderId="1" xfId="15" applyNumberFormat="1" applyFont="1" applyBorder="1" applyAlignment="1">
      <alignment horizontal="right"/>
    </xf>
    <xf numFmtId="0" fontId="4" fillId="3" borderId="2" xfId="13" applyFont="1" applyFill="1" applyBorder="1" applyAlignment="1">
      <alignment horizontal="center" vertical="center" wrapText="1"/>
    </xf>
    <xf numFmtId="201" fontId="4" fillId="3" borderId="1" xfId="13" applyNumberFormat="1" applyFont="1" applyFill="1" applyBorder="1" applyAlignment="1">
      <alignment horizontal="center" vertical="center"/>
    </xf>
    <xf numFmtId="49" fontId="4" fillId="17" borderId="1" xfId="13" applyNumberFormat="1" applyFont="1" applyFill="1" applyBorder="1" applyAlignment="1">
      <alignment horizontal="center"/>
    </xf>
    <xf numFmtId="0" fontId="4" fillId="17" borderId="1" xfId="13" applyFont="1" applyFill="1" applyBorder="1" applyAlignment="1"/>
    <xf numFmtId="0" fontId="4" fillId="17" borderId="1" xfId="13" applyFont="1" applyFill="1" applyBorder="1" applyAlignment="1">
      <alignment horizontal="center"/>
    </xf>
    <xf numFmtId="201" fontId="241" fillId="17" borderId="1" xfId="13" applyNumberFormat="1" applyFont="1" applyFill="1" applyBorder="1" applyAlignment="1">
      <alignment horizontal="center" wrapText="1"/>
    </xf>
    <xf numFmtId="0" fontId="4" fillId="0" borderId="0" xfId="13" applyFont="1" applyBorder="1" applyAlignment="1"/>
    <xf numFmtId="0" fontId="4" fillId="0" borderId="1" xfId="13" applyFont="1" applyFill="1" applyBorder="1" applyAlignment="1"/>
    <xf numFmtId="0" fontId="4" fillId="0" borderId="1" xfId="13" applyFont="1" applyFill="1" applyBorder="1" applyAlignment="1">
      <alignment horizontal="center"/>
    </xf>
    <xf numFmtId="201" fontId="241" fillId="0" borderId="1" xfId="13" applyNumberFormat="1" applyFont="1" applyFill="1" applyBorder="1" applyAlignment="1">
      <alignment horizontal="center" wrapText="1"/>
    </xf>
    <xf numFmtId="0" fontId="4" fillId="18" borderId="1" xfId="13" applyFont="1" applyFill="1" applyBorder="1" applyAlignment="1"/>
    <xf numFmtId="0" fontId="4" fillId="18" borderId="1" xfId="13" applyFont="1" applyFill="1" applyBorder="1" applyAlignment="1">
      <alignment horizontal="center"/>
    </xf>
    <xf numFmtId="201" fontId="241" fillId="18" borderId="1" xfId="13" applyNumberFormat="1" applyFont="1" applyFill="1" applyBorder="1" applyAlignment="1">
      <alignment horizontal="center" wrapText="1"/>
    </xf>
    <xf numFmtId="0" fontId="4" fillId="0" borderId="0" xfId="13" applyFont="1" applyBorder="1" applyAlignment="1">
      <alignment horizontal="right"/>
    </xf>
    <xf numFmtId="49" fontId="4" fillId="19" borderId="1" xfId="13" applyNumberFormat="1" applyFont="1" applyFill="1" applyBorder="1" applyAlignment="1">
      <alignment horizontal="center"/>
    </xf>
    <xf numFmtId="0" fontId="4" fillId="19" borderId="1" xfId="13" applyFont="1" applyFill="1" applyBorder="1" applyAlignment="1"/>
    <xf numFmtId="179" fontId="259" fillId="2" borderId="1" xfId="15" applyNumberFormat="1" applyFont="1" applyFill="1" applyBorder="1" applyAlignment="1">
      <alignment horizontal="right"/>
    </xf>
    <xf numFmtId="0" fontId="4" fillId="20" borderId="1" xfId="13" applyFont="1" applyFill="1" applyBorder="1" applyAlignment="1">
      <alignment horizontal="center"/>
    </xf>
    <xf numFmtId="0" fontId="4" fillId="19" borderId="1" xfId="13" applyFont="1" applyFill="1" applyBorder="1" applyAlignment="1">
      <alignment horizontal="center"/>
    </xf>
    <xf numFmtId="201" fontId="241" fillId="19" borderId="1" xfId="13" applyNumberFormat="1" applyFont="1" applyFill="1" applyBorder="1" applyAlignment="1">
      <alignment horizontal="center" wrapText="1"/>
    </xf>
    <xf numFmtId="201" fontId="241" fillId="21" borderId="1" xfId="13" applyNumberFormat="1" applyFont="1" applyFill="1" applyBorder="1" applyAlignment="1">
      <alignment horizontal="center" wrapText="1"/>
    </xf>
    <xf numFmtId="203" fontId="4" fillId="19" borderId="1" xfId="13" applyNumberFormat="1" applyFont="1" applyFill="1" applyBorder="1" applyAlignment="1">
      <alignment horizontal="center"/>
    </xf>
    <xf numFmtId="0" fontId="261" fillId="0" borderId="0" xfId="13" applyFont="1" applyBorder="1" applyAlignment="1"/>
    <xf numFmtId="0" fontId="4" fillId="17" borderId="3" xfId="13" applyFont="1" applyFill="1" applyBorder="1" applyAlignment="1"/>
    <xf numFmtId="0" fontId="4" fillId="19" borderId="3" xfId="13" applyFont="1" applyFill="1" applyBorder="1" applyAlignment="1"/>
    <xf numFmtId="0" fontId="4" fillId="18" borderId="3" xfId="13" applyFont="1" applyFill="1" applyBorder="1" applyAlignment="1"/>
    <xf numFmtId="0" fontId="4" fillId="22" borderId="1" xfId="13" applyFont="1" applyFill="1" applyBorder="1" applyAlignment="1">
      <alignment horizontal="center"/>
    </xf>
    <xf numFmtId="201" fontId="4" fillId="19" borderId="1" xfId="13" applyNumberFormat="1" applyFont="1" applyFill="1" applyBorder="1" applyAlignment="1">
      <alignment horizontal="center" wrapText="1"/>
    </xf>
    <xf numFmtId="201" fontId="4" fillId="17" borderId="1" xfId="13" applyNumberFormat="1" applyFont="1" applyFill="1" applyBorder="1" applyAlignment="1">
      <alignment horizontal="center" wrapText="1"/>
    </xf>
    <xf numFmtId="0" fontId="4" fillId="23" borderId="1" xfId="13" applyFont="1" applyFill="1" applyBorder="1" applyAlignment="1"/>
    <xf numFmtId="0" fontId="4" fillId="24" borderId="1" xfId="13" applyFont="1" applyFill="1" applyBorder="1" applyAlignment="1"/>
    <xf numFmtId="0" fontId="4" fillId="24" borderId="1" xfId="13" applyFont="1" applyFill="1" applyBorder="1" applyAlignment="1">
      <alignment horizontal="center"/>
    </xf>
    <xf numFmtId="201" fontId="241" fillId="24" borderId="1" xfId="13" applyNumberFormat="1" applyFont="1" applyFill="1" applyBorder="1" applyAlignment="1">
      <alignment horizontal="center" wrapText="1"/>
    </xf>
    <xf numFmtId="49" fontId="4" fillId="17" borderId="2" xfId="13" applyNumberFormat="1" applyFont="1" applyFill="1" applyBorder="1" applyAlignment="1">
      <alignment horizontal="center"/>
    </xf>
    <xf numFmtId="49" fontId="4" fillId="19" borderId="2" xfId="13" applyNumberFormat="1" applyFont="1" applyFill="1" applyBorder="1" applyAlignment="1">
      <alignment horizontal="center"/>
    </xf>
    <xf numFmtId="0" fontId="262" fillId="19" borderId="0" xfId="13" applyFont="1" applyFill="1" applyAlignment="1"/>
    <xf numFmtId="0" fontId="262" fillId="18" borderId="0" xfId="13" applyFont="1" applyFill="1" applyAlignment="1"/>
    <xf numFmtId="0" fontId="263" fillId="18" borderId="0" xfId="13" applyFont="1" applyFill="1" applyAlignment="1"/>
    <xf numFmtId="0" fontId="4" fillId="22" borderId="0" xfId="13" applyFont="1" applyFill="1" applyBorder="1" applyAlignment="1">
      <alignment horizontal="right"/>
    </xf>
    <xf numFmtId="0" fontId="4" fillId="22" borderId="0" xfId="13" applyFont="1" applyFill="1" applyBorder="1" applyAlignment="1"/>
    <xf numFmtId="0" fontId="4" fillId="25" borderId="1" xfId="13" applyNumberFormat="1" applyFont="1" applyFill="1" applyBorder="1" applyAlignment="1">
      <alignment horizontal="center"/>
    </xf>
    <xf numFmtId="49" fontId="4" fillId="25" borderId="1" xfId="13" applyNumberFormat="1" applyFont="1" applyFill="1" applyBorder="1" applyAlignment="1">
      <alignment horizontal="left"/>
    </xf>
    <xf numFmtId="0" fontId="241" fillId="25" borderId="1" xfId="13" applyFont="1" applyFill="1" applyBorder="1" applyAlignment="1">
      <alignment horizontal="center" wrapText="1"/>
    </xf>
    <xf numFmtId="179" fontId="241" fillId="25" borderId="1" xfId="13" applyNumberFormat="1" applyFont="1" applyFill="1" applyBorder="1" applyAlignment="1">
      <alignment horizontal="center" wrapText="1"/>
    </xf>
    <xf numFmtId="0" fontId="258" fillId="0" borderId="0" xfId="13" applyFont="1" applyAlignment="1"/>
    <xf numFmtId="49" fontId="4" fillId="19" borderId="13" xfId="13" applyNumberFormat="1" applyFont="1" applyFill="1" applyBorder="1" applyAlignment="1">
      <alignment horizontal="left"/>
    </xf>
    <xf numFmtId="0" fontId="4" fillId="19" borderId="13" xfId="13" applyFont="1" applyFill="1" applyBorder="1" applyAlignment="1"/>
    <xf numFmtId="49" fontId="4" fillId="17" borderId="1" xfId="13" applyNumberFormat="1" applyFont="1" applyFill="1" applyBorder="1" applyAlignment="1">
      <alignment horizontal="left"/>
    </xf>
    <xf numFmtId="49" fontId="4" fillId="19" borderId="1" xfId="13" applyNumberFormat="1" applyFont="1" applyFill="1" applyBorder="1" applyAlignment="1">
      <alignment horizontal="left"/>
    </xf>
    <xf numFmtId="49" fontId="4" fillId="18" borderId="1" xfId="13" applyNumberFormat="1" applyFont="1" applyFill="1" applyBorder="1" applyAlignment="1">
      <alignment horizontal="left"/>
    </xf>
    <xf numFmtId="49" fontId="4" fillId="19" borderId="2" xfId="13" applyNumberFormat="1" applyFont="1" applyFill="1" applyBorder="1" applyAlignment="1">
      <alignment horizontal="left"/>
    </xf>
    <xf numFmtId="0" fontId="4" fillId="19" borderId="2" xfId="13" applyFont="1" applyFill="1" applyBorder="1" applyAlignment="1"/>
    <xf numFmtId="0" fontId="4" fillId="17" borderId="1" xfId="13" applyFont="1" applyFill="1" applyBorder="1" applyAlignment="1">
      <alignment horizontal="center" vertical="center"/>
    </xf>
    <xf numFmtId="0" fontId="4" fillId="19" borderId="1" xfId="13" applyFont="1" applyFill="1" applyBorder="1" applyAlignment="1">
      <alignment horizontal="center" vertical="center"/>
    </xf>
    <xf numFmtId="49" fontId="4" fillId="17" borderId="2" xfId="13" applyNumberFormat="1" applyFont="1" applyFill="1" applyBorder="1" applyAlignment="1">
      <alignment horizontal="left"/>
    </xf>
    <xf numFmtId="49" fontId="4" fillId="18" borderId="2" xfId="13" applyNumberFormat="1" applyFont="1" applyFill="1" applyBorder="1" applyAlignment="1">
      <alignment horizontal="left"/>
    </xf>
    <xf numFmtId="0" fontId="4" fillId="18" borderId="7" xfId="13" applyFont="1" applyFill="1" applyBorder="1" applyAlignment="1"/>
    <xf numFmtId="0" fontId="4" fillId="18" borderId="2" xfId="13" applyFont="1" applyFill="1" applyBorder="1" applyAlignment="1"/>
    <xf numFmtId="0" fontId="4" fillId="17" borderId="2" xfId="13" applyFont="1" applyFill="1" applyBorder="1" applyAlignment="1"/>
    <xf numFmtId="49" fontId="4" fillId="19" borderId="15" xfId="13" applyNumberFormat="1" applyFont="1" applyFill="1" applyBorder="1" applyAlignment="1">
      <alignment horizontal="left"/>
    </xf>
    <xf numFmtId="0" fontId="4" fillId="19" borderId="15" xfId="13" applyFont="1" applyFill="1" applyBorder="1" applyAlignment="1"/>
    <xf numFmtId="0" fontId="4" fillId="0" borderId="0" xfId="13" applyFont="1" applyFill="1" applyBorder="1" applyAlignment="1"/>
    <xf numFmtId="49" fontId="4" fillId="17" borderId="13" xfId="13" applyNumberFormat="1" applyFont="1" applyFill="1" applyBorder="1" applyAlignment="1">
      <alignment horizontal="left"/>
    </xf>
    <xf numFmtId="0" fontId="4" fillId="17" borderId="13" xfId="13" applyFont="1" applyFill="1" applyBorder="1" applyAlignment="1"/>
    <xf numFmtId="0" fontId="4" fillId="17" borderId="3" xfId="13" applyFont="1" applyFill="1" applyBorder="1" applyAlignment="1">
      <alignment horizontal="left"/>
    </xf>
    <xf numFmtId="0" fontId="4" fillId="19" borderId="3" xfId="13" applyFont="1" applyFill="1" applyBorder="1" applyAlignment="1">
      <alignment horizontal="left"/>
    </xf>
    <xf numFmtId="0" fontId="4" fillId="17" borderId="3" xfId="13" applyFont="1" applyFill="1" applyBorder="1" applyAlignment="1">
      <alignment horizontal="center"/>
    </xf>
    <xf numFmtId="0" fontId="4" fillId="18" borderId="3" xfId="13" applyFont="1" applyFill="1" applyBorder="1" applyAlignment="1">
      <alignment horizontal="left"/>
    </xf>
    <xf numFmtId="0" fontId="4" fillId="26" borderId="1" xfId="13" applyFont="1" applyFill="1" applyBorder="1" applyAlignment="1"/>
    <xf numFmtId="17" fontId="4" fillId="19" borderId="3" xfId="13" applyNumberFormat="1" applyFont="1" applyFill="1" applyBorder="1" applyAlignment="1"/>
    <xf numFmtId="0" fontId="264" fillId="25" borderId="2" xfId="13" applyFont="1" applyFill="1" applyBorder="1" applyAlignment="1">
      <alignment wrapText="1"/>
    </xf>
    <xf numFmtId="0" fontId="241" fillId="25" borderId="2" xfId="13" applyFont="1" applyFill="1" applyBorder="1" applyAlignment="1">
      <alignment horizontal="center" wrapText="1"/>
    </xf>
    <xf numFmtId="0" fontId="4" fillId="18" borderId="13" xfId="13" applyFont="1" applyFill="1" applyBorder="1" applyAlignment="1"/>
    <xf numFmtId="49" fontId="4" fillId="18" borderId="1" xfId="13" applyNumberFormat="1" applyFont="1" applyFill="1" applyBorder="1" applyAlignment="1"/>
    <xf numFmtId="179" fontId="4" fillId="19" borderId="2" xfId="13" applyNumberFormat="1" applyFont="1" applyFill="1" applyBorder="1" applyAlignment="1">
      <alignment horizontal="center"/>
    </xf>
    <xf numFmtId="203" fontId="4" fillId="19" borderId="1" xfId="16" applyNumberFormat="1" applyFont="1" applyFill="1" applyBorder="1" applyAlignment="1">
      <alignment horizontal="center"/>
    </xf>
    <xf numFmtId="0" fontId="4" fillId="19" borderId="2" xfId="13" applyFont="1" applyFill="1" applyBorder="1" applyAlignment="1">
      <alignment horizontal="center"/>
    </xf>
    <xf numFmtId="201" fontId="241" fillId="19" borderId="2" xfId="13" applyNumberFormat="1" applyFont="1" applyFill="1" applyBorder="1" applyAlignment="1">
      <alignment horizontal="center" wrapText="1"/>
    </xf>
    <xf numFmtId="0" fontId="4" fillId="18" borderId="2" xfId="13" applyFont="1" applyFill="1" applyBorder="1" applyAlignment="1">
      <alignment horizontal="center"/>
    </xf>
    <xf numFmtId="201" fontId="241" fillId="18" borderId="2" xfId="13" applyNumberFormat="1" applyFont="1" applyFill="1" applyBorder="1" applyAlignment="1">
      <alignment horizontal="center" wrapText="1"/>
    </xf>
    <xf numFmtId="49" fontId="241" fillId="25" borderId="2" xfId="13" applyNumberFormat="1" applyFont="1" applyFill="1" applyBorder="1" applyAlignment="1">
      <alignment horizontal="center" wrapText="1"/>
    </xf>
    <xf numFmtId="179" fontId="241" fillId="25" borderId="2" xfId="13" applyNumberFormat="1" applyFont="1" applyFill="1" applyBorder="1" applyAlignment="1">
      <alignment horizontal="center" wrapText="1"/>
    </xf>
    <xf numFmtId="0" fontId="4" fillId="8" borderId="1" xfId="13" applyFont="1" applyFill="1" applyBorder="1" applyAlignment="1"/>
    <xf numFmtId="49" fontId="4" fillId="23" borderId="1" xfId="13" applyNumberFormat="1" applyFont="1" applyFill="1" applyBorder="1" applyAlignment="1">
      <alignment horizontal="left"/>
    </xf>
    <xf numFmtId="0" fontId="4" fillId="24" borderId="1" xfId="13" applyFont="1" applyFill="1" applyBorder="1" applyAlignment="1">
      <alignment horizontal="center" vertical="center"/>
    </xf>
    <xf numFmtId="0" fontId="4" fillId="18" borderId="1" xfId="13" applyFont="1" applyFill="1" applyBorder="1" applyAlignment="1">
      <alignment horizontal="center" vertical="center"/>
    </xf>
    <xf numFmtId="0" fontId="4" fillId="27" borderId="1" xfId="13" applyFont="1" applyFill="1" applyBorder="1" applyAlignment="1">
      <alignment horizontal="center"/>
    </xf>
    <xf numFmtId="201" fontId="241" fillId="21" borderId="2" xfId="13" applyNumberFormat="1" applyFont="1" applyFill="1" applyBorder="1" applyAlignment="1">
      <alignment horizontal="center" wrapText="1"/>
    </xf>
    <xf numFmtId="49" fontId="4" fillId="17" borderId="13" xfId="13" applyNumberFormat="1" applyFont="1" applyFill="1" applyBorder="1" applyAlignment="1">
      <alignment horizontal="center"/>
    </xf>
    <xf numFmtId="49" fontId="4" fillId="19" borderId="13" xfId="13" applyNumberFormat="1" applyFont="1" applyFill="1" applyBorder="1" applyAlignment="1">
      <alignment horizontal="center"/>
    </xf>
    <xf numFmtId="49" fontId="4" fillId="17" borderId="15" xfId="13" applyNumberFormat="1" applyFont="1" applyFill="1" applyBorder="1" applyAlignment="1">
      <alignment horizontal="center"/>
    </xf>
    <xf numFmtId="179" fontId="241" fillId="28" borderId="2" xfId="13" applyNumberFormat="1" applyFont="1" applyFill="1" applyBorder="1" applyAlignment="1">
      <alignment horizontal="center" wrapText="1"/>
    </xf>
    <xf numFmtId="177" fontId="4" fillId="19" borderId="1" xfId="13" applyNumberFormat="1" applyFont="1" applyFill="1" applyBorder="1" applyAlignment="1">
      <alignment horizontal="center"/>
    </xf>
    <xf numFmtId="177" fontId="4" fillId="17" borderId="1" xfId="16" applyNumberFormat="1" applyFont="1" applyFill="1" applyBorder="1" applyAlignment="1">
      <alignment horizontal="center" vertical="center"/>
    </xf>
    <xf numFmtId="49" fontId="241" fillId="25" borderId="2" xfId="13" applyNumberFormat="1" applyFont="1" applyFill="1" applyBorder="1" applyAlignment="1">
      <alignment horizontal="left" wrapText="1"/>
    </xf>
    <xf numFmtId="177" fontId="241" fillId="25" borderId="2" xfId="13" applyNumberFormat="1" applyFont="1" applyFill="1" applyBorder="1" applyAlignment="1">
      <alignment horizontal="center" wrapText="1"/>
    </xf>
    <xf numFmtId="49" fontId="4" fillId="17" borderId="1" xfId="13" applyNumberFormat="1" applyFont="1" applyFill="1" applyBorder="1" applyAlignment="1">
      <alignment horizontal="center" vertical="center"/>
    </xf>
    <xf numFmtId="49" fontId="4" fillId="19" borderId="1" xfId="13" applyNumberFormat="1" applyFont="1" applyFill="1" applyBorder="1" applyAlignment="1"/>
    <xf numFmtId="49" fontId="4" fillId="19" borderId="1" xfId="13" applyNumberFormat="1" applyFont="1" applyFill="1" applyBorder="1" applyAlignment="1">
      <alignment horizontal="center" vertical="center"/>
    </xf>
    <xf numFmtId="49" fontId="241" fillId="25" borderId="1" xfId="13" applyNumberFormat="1" applyFont="1" applyFill="1" applyBorder="1" applyAlignment="1">
      <alignment horizontal="center" wrapText="1"/>
    </xf>
    <xf numFmtId="0" fontId="241" fillId="25" borderId="1" xfId="13" applyFont="1" applyFill="1" applyBorder="1" applyAlignment="1">
      <alignment horizontal="right" wrapText="1"/>
    </xf>
    <xf numFmtId="49" fontId="4" fillId="17" borderId="13" xfId="13" applyNumberFormat="1" applyFont="1" applyFill="1" applyBorder="1" applyAlignment="1">
      <alignment horizontal="center" vertical="center"/>
    </xf>
    <xf numFmtId="49" fontId="4" fillId="19" borderId="13" xfId="13" applyNumberFormat="1" applyFont="1" applyFill="1" applyBorder="1" applyAlignment="1">
      <alignment horizontal="center" vertical="center"/>
    </xf>
    <xf numFmtId="205" fontId="241" fillId="17" borderId="1" xfId="13" applyNumberFormat="1" applyFont="1" applyFill="1" applyBorder="1" applyAlignment="1">
      <alignment horizontal="right" wrapText="1"/>
    </xf>
    <xf numFmtId="0" fontId="265" fillId="0" borderId="0" xfId="13" applyFont="1" applyFill="1" applyAlignment="1"/>
    <xf numFmtId="49" fontId="241" fillId="25" borderId="13" xfId="13" applyNumberFormat="1" applyFont="1" applyFill="1" applyBorder="1" applyAlignment="1">
      <alignment horizontal="center" wrapText="1"/>
    </xf>
    <xf numFmtId="0" fontId="241" fillId="25" borderId="2" xfId="13" applyFont="1" applyFill="1" applyBorder="1" applyAlignment="1">
      <alignment horizontal="right" wrapText="1"/>
    </xf>
    <xf numFmtId="177" fontId="241" fillId="25" borderId="1" xfId="13" applyNumberFormat="1" applyFont="1" applyFill="1" applyBorder="1" applyAlignment="1">
      <alignment horizontal="center" wrapText="1"/>
    </xf>
    <xf numFmtId="179" fontId="241" fillId="25" borderId="1" xfId="16" applyNumberFormat="1" applyFont="1" applyFill="1" applyBorder="1" applyAlignment="1">
      <alignment horizontal="center" wrapText="1"/>
    </xf>
    <xf numFmtId="179" fontId="241" fillId="25" borderId="1" xfId="13" applyNumberFormat="1" applyFont="1" applyFill="1" applyBorder="1" applyAlignment="1">
      <alignment horizontal="right" wrapText="1"/>
    </xf>
    <xf numFmtId="49" fontId="258" fillId="0" borderId="0" xfId="13" applyNumberFormat="1" applyFont="1" applyAlignment="1">
      <alignment horizontal="center"/>
    </xf>
    <xf numFmtId="0" fontId="258" fillId="0" borderId="0" xfId="13" applyFont="1" applyAlignment="1">
      <alignment horizontal="center"/>
    </xf>
    <xf numFmtId="201" fontId="241" fillId="0" borderId="162" xfId="13" applyNumberFormat="1" applyFont="1" applyFill="1" applyBorder="1" applyAlignment="1">
      <alignment horizontal="center" wrapText="1"/>
    </xf>
    <xf numFmtId="179" fontId="48" fillId="0" borderId="23" xfId="0" applyNumberFormat="1" applyFont="1" applyBorder="1" applyAlignment="1" applyProtection="1">
      <alignment horizontal="center" vertical="center"/>
      <protection locked="0"/>
    </xf>
  </cellXfs>
  <cellStyles count="22">
    <cellStyle name="_1001" xfId="17"/>
    <cellStyle name="_租，质，认证费，物管费" xfId="18"/>
    <cellStyle name="百分比 2" xfId="19"/>
    <cellStyle name="常规" xfId="0" builtinId="0"/>
    <cellStyle name="常规 10" xfId="15"/>
    <cellStyle name="常规 15" xfId="2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西四环商场2010年1月场地租金报表" xfId="14"/>
    <cellStyle name="千位分隔 2" xfId="16"/>
    <cellStyle name="样式 1" xfId="21"/>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46"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北京市丰台区西四环中路113号房地产抵押价值预评估</v>
      </c>
    </row>
    <row r="3" spans="1:2" s="1596" customFormat="1">
      <c r="A3" s="1594" t="s">
        <v>1220</v>
      </c>
      <c r="B3" s="1595" t="str">
        <f>'预评函-封皮'!B40</f>
        <v>北京红星美凯龙国际家具建材广场有限公司</v>
      </c>
    </row>
    <row r="4" spans="1:2" s="1596" customFormat="1">
      <c r="A4" s="1594" t="s">
        <v>1221</v>
      </c>
      <c r="B4" s="1595" t="str">
        <f ca="1">'预评函-封皮'!B46</f>
        <v>梁津（注册号：1119970066)、欧红伟（注册号：1120000080)</v>
      </c>
    </row>
    <row r="5" spans="1:2" s="1590" customFormat="1" ht="15" thickBot="1">
      <c r="A5" s="1597" t="s">
        <v>1222</v>
      </c>
      <c r="B5" s="1598" t="str">
        <f>'预评函-封皮'!B49</f>
        <v>康正预评字 2018-1-0100-P01DYGJ1号</v>
      </c>
    </row>
    <row r="6" spans="1:2" s="1593" customFormat="1" ht="15" thickTop="1">
      <c r="A6" s="1591" t="s">
        <v>1223</v>
      </c>
      <c r="B6" s="1592" t="str">
        <f>'预评函-1'!A4</f>
        <v>受贵公司委托，我公司对北京市丰台区西四环中路113号房地产抵押价值进行了预评估。</v>
      </c>
    </row>
    <row r="7" spans="1:2" s="1596" customFormat="1">
      <c r="A7" s="1594" t="s">
        <v>1263</v>
      </c>
      <c r="B7" s="1595" t="str">
        <f>'预评函-1'!A7</f>
        <v>估价对象为北京市丰台区西四环中路113号房地产，为北京红星美凯龙国际家具建材广场有限公司所有。根据《国有土地使用证》[京丰国用（2010出）第00202号]，估价对象（分摊）出让国有建设用地使用权面积为31510.77平方米，建筑面积为70181.87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丰台区西四环中路113号房地产,属北京红星美凯龙国际家具建材广场有限公司开发建设的商业项目，该项目尚在开发建设中。根据《国有土地使用证》[京丰国用（2010出）第00202号]，估价对象（分摊）出让国有建设用地使用权面积为31510.77平方米，规划建筑面积为70181.87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为估价委托人在向中国工商银行股份有限公司北京九龙山支行办理贷款手续过程中，确定房地产抵押贷款额度提供参考依据而评估房地产抵押价值。</v>
      </c>
    </row>
    <row r="12" spans="1:2" s="1596" customFormat="1">
      <c r="A12" s="1594" t="s">
        <v>1225</v>
      </c>
      <c r="B12" s="1595" t="str">
        <f>'预评函-1'!A15</f>
        <v>2018年2月26日（评估专业人员实地查勘之日）</v>
      </c>
    </row>
    <row r="13" spans="1:2" s="1596" customFormat="1">
      <c r="A13" s="1594" t="s">
        <v>1226</v>
      </c>
      <c r="B13" s="1595" t="str">
        <f>'预评函-1'!A18</f>
        <v>本次估价的“房地产价值”是指在正常市场情况下，在价值时点2018年2月26日，估价对象规划用途为商业、地下车库，土地取得方式为出让，出让国有建设用地使用权剩余土地使用年限为商业29.5、地下车库39.5，假定未设立法定优先受偿款下的房地产市场价值。</v>
      </c>
    </row>
    <row r="14" spans="1:2" s="1596" customFormat="1">
      <c r="A14" s="1594" t="s">
        <v>1227</v>
      </c>
      <c r="B14" s="1595" t="str">
        <f>'预评函-1'!A19</f>
        <v>其中，“出让国有建设用地使用权价值”是指估价对象用途为商业、地下车库，实际开发程度为宗地红线外“七通”（即通路、通电、通讯、通上水、通下水、燃气、）、红线内场地平整条件下，剩余土地使用年限为商业29.5、地下车库39.5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248612</v>
      </c>
    </row>
    <row r="21" spans="1:2" s="1596" customFormat="1">
      <c r="A21" s="1594" t="s">
        <v>1234</v>
      </c>
      <c r="B21" s="1595">
        <f ca="1">'预评函-2'!D7</f>
        <v>35424</v>
      </c>
    </row>
    <row r="22" spans="1:2" s="1596" customFormat="1">
      <c r="A22" s="1594" t="s">
        <v>1235</v>
      </c>
      <c r="B22" s="1595" t="str">
        <f ca="1">'预评函-2'!D6</f>
        <v>贰拾肆亿捌仟陆佰壹拾贰万元整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v>
      </c>
    </row>
    <row r="30" spans="1:2" s="1596" customFormat="1">
      <c r="A30" s="1594" t="s">
        <v>1291</v>
      </c>
      <c r="B30" s="1595" t="str">
        <f>'预评函-2'!D13</f>
        <v>——</v>
      </c>
    </row>
    <row r="31" spans="1:2" s="1596" customFormat="1">
      <c r="A31" s="1594" t="s">
        <v>1273</v>
      </c>
      <c r="B31" s="1595" t="e">
        <f>'预评函-2'!D15</f>
        <v>#VALUE!</v>
      </c>
    </row>
    <row r="32" spans="1:2" s="1596" customFormat="1">
      <c r="A32" s="1594" t="s">
        <v>1240</v>
      </c>
      <c r="B32" s="1595" t="e">
        <f>'预评函-2'!D14</f>
        <v>#VALUE!</v>
      </c>
    </row>
    <row r="33" spans="1:2" s="1596" customFormat="1">
      <c r="A33" s="1594" t="s">
        <v>1275</v>
      </c>
      <c r="B33" s="1595" t="str">
        <f>'预评函-2'!B16</f>
        <v>3.抵押担保权已注销时的房地产抵押价值</v>
      </c>
    </row>
    <row r="34" spans="1:2" s="1596" customFormat="1">
      <c r="A34" s="1594" t="s">
        <v>1293</v>
      </c>
      <c r="B34" s="1595">
        <f ca="1">'预评函-2'!D16</f>
        <v>248612</v>
      </c>
    </row>
    <row r="35" spans="1:2" s="1596" customFormat="1">
      <c r="A35" s="1594" t="s">
        <v>1274</v>
      </c>
      <c r="B35" s="1595">
        <f ca="1">'预评函-2'!D18</f>
        <v>35424</v>
      </c>
    </row>
    <row r="36" spans="1:2" s="1596" customFormat="1">
      <c r="A36" s="1594" t="s">
        <v>1241</v>
      </c>
      <c r="B36" s="1595" t="str">
        <f ca="1">'预评函-2'!D17</f>
        <v>贰拾肆亿捌仟陆佰壹拾贰万元整</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北京市丰台区西四环中路113号房地产</v>
      </c>
    </row>
    <row r="42" spans="1:2" s="1596" customFormat="1">
      <c r="A42" s="1594" t="s">
        <v>1287</v>
      </c>
      <c r="B42" s="1595" t="str">
        <f>'预评函-3'!B2</f>
        <v>建筑面积</v>
      </c>
    </row>
    <row r="43" spans="1:2" s="1596" customFormat="1">
      <c r="A43" s="1594" t="s">
        <v>1288</v>
      </c>
      <c r="B43" s="1595">
        <f>'预评函-3'!B4</f>
        <v>70181.87</v>
      </c>
    </row>
    <row r="44" spans="1:2" s="1596" customFormat="1">
      <c r="A44" s="1594" t="s">
        <v>1272</v>
      </c>
      <c r="B44" s="1595" t="str">
        <f>'预评函-3'!C2</f>
        <v>(分摊)土地面积</v>
      </c>
    </row>
    <row r="45" spans="1:2" s="1596" customFormat="1">
      <c r="A45" s="1594" t="s">
        <v>1244</v>
      </c>
      <c r="B45" s="1595">
        <f>'预评函-3'!C4</f>
        <v>31510.77</v>
      </c>
    </row>
    <row r="46" spans="1:2" s="1596" customFormat="1">
      <c r="A46" s="1594" t="s">
        <v>1270</v>
      </c>
      <c r="B46" s="1595" t="str">
        <f>'预评函-3'!D2</f>
        <v>出让国有建设用地使用权价值</v>
      </c>
    </row>
    <row r="47" spans="1:2" s="1596" customFormat="1">
      <c r="A47" s="1594" t="s">
        <v>1245</v>
      </c>
      <c r="B47" s="1595">
        <f ca="1">'预评函-3'!D4</f>
        <v>208088</v>
      </c>
    </row>
    <row r="48" spans="1:2" s="1596" customFormat="1">
      <c r="A48" s="1594" t="s">
        <v>1246</v>
      </c>
      <c r="B48" s="1595">
        <f ca="1">'预评函-3'!E4</f>
        <v>29650</v>
      </c>
    </row>
    <row r="49" spans="1:2" s="1596" customFormat="1">
      <c r="A49" s="1594" t="s">
        <v>1247</v>
      </c>
      <c r="B49" s="1595" t="str">
        <f ca="1">'预评函-3'!D5</f>
        <v>贰拾亿捌仟零捌拾捌万元整</v>
      </c>
    </row>
    <row r="50" spans="1:2" s="1596" customFormat="1">
      <c r="A50" s="1594" t="s">
        <v>1271</v>
      </c>
      <c r="B50" s="1595" t="str">
        <f>'预评函-3'!F2</f>
        <v>在建建筑物价值</v>
      </c>
    </row>
    <row r="51" spans="1:2" s="1596" customFormat="1">
      <c r="A51" s="1594" t="s">
        <v>1248</v>
      </c>
      <c r="B51" s="1595">
        <f ca="1">'预评函-3'!F4</f>
        <v>40524</v>
      </c>
    </row>
    <row r="52" spans="1:2" s="1596" customFormat="1">
      <c r="A52" s="1594" t="s">
        <v>1249</v>
      </c>
      <c r="B52" s="1595">
        <f ca="1">'预评函-3'!G4</f>
        <v>5774</v>
      </c>
    </row>
    <row r="53" spans="1:2" s="1596" customFormat="1">
      <c r="A53" s="1594" t="s">
        <v>1277</v>
      </c>
      <c r="B53" s="1595" t="str">
        <f ca="1">'预评函-3'!F5</f>
        <v>肆亿零伍佰贰拾肆万元整</v>
      </c>
    </row>
    <row r="54" spans="1:2" s="1596" customFormat="1">
      <c r="A54" s="1594" t="s">
        <v>1295</v>
      </c>
      <c r="B54" s="1595" t="str">
        <f>'预评函-3'!A8</f>
        <v/>
      </c>
    </row>
    <row r="55" spans="1:2" s="1596" customFormat="1">
      <c r="A55" s="1594" t="s">
        <v>1278</v>
      </c>
      <c r="B55" s="1595" t="str">
        <f>'预评函-3'!A10</f>
        <v>抵押担保权已注销时的房地产抵押价值</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（1）根据估价对象《房屋所有权证》复印件、《国有土地使用权》复印件，截至价值时点，估价对象已设定抵押。上述抵押权设定日期为，权利人为，权利范围为，权利价值为。</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梁津</v>
      </c>
    </row>
    <row r="71" spans="1:2">
      <c r="A71" s="1594" t="s">
        <v>1260</v>
      </c>
      <c r="B71" s="1595">
        <f ca="1">'预评函-4'!B4</f>
        <v>1119970066</v>
      </c>
    </row>
    <row r="72" spans="1:2">
      <c r="A72" s="1594" t="s">
        <v>1261</v>
      </c>
      <c r="B72" s="1603" t="str">
        <f>'预评函-4'!A5</f>
        <v>欧红伟</v>
      </c>
    </row>
    <row r="73" spans="1:2" s="1590" customFormat="1" ht="15" thickBot="1">
      <c r="A73" s="1597" t="s">
        <v>1262</v>
      </c>
      <c r="B73" s="1598">
        <f ca="1">'预评函-4'!B5</f>
        <v>1120000080</v>
      </c>
    </row>
    <row r="74" spans="1:2" ht="15" thickTop="1">
      <c r="A74" s="1587" t="s">
        <v>1298</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9" sqref="A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758</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1143</v>
      </c>
      <c r="R1" s="2013" t="s">
        <v>1137</v>
      </c>
      <c r="S1" s="2013" t="s">
        <v>1703</v>
      </c>
      <c r="T1" s="2015" t="s">
        <v>1704</v>
      </c>
      <c r="U1" s="2013" t="s">
        <v>1705</v>
      </c>
      <c r="V1" s="2013" t="s">
        <v>1706</v>
      </c>
      <c r="W1" s="2013" t="s">
        <v>755</v>
      </c>
    </row>
    <row r="2" spans="1:23">
      <c r="A2" s="2017" t="s">
        <v>22</v>
      </c>
      <c r="B2" s="2017" t="s">
        <v>1707</v>
      </c>
      <c r="C2" s="2018" t="s">
        <v>759</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1139</v>
      </c>
      <c r="S2" s="2019" t="s">
        <v>1713</v>
      </c>
      <c r="T2" s="2019" t="s">
        <v>1714</v>
      </c>
      <c r="U2" s="2019" t="s">
        <v>1713</v>
      </c>
      <c r="V2" s="2019" t="s">
        <v>1715</v>
      </c>
      <c r="W2" s="2019" t="s">
        <v>1713</v>
      </c>
    </row>
    <row r="3" spans="1:23">
      <c r="A3" s="2017" t="s">
        <v>1716</v>
      </c>
      <c r="B3" s="2020" t="s">
        <v>1144</v>
      </c>
      <c r="C3" s="2021" t="s">
        <v>760</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1138</v>
      </c>
      <c r="S3" s="2019" t="s">
        <v>1721</v>
      </c>
      <c r="T3" s="2019" t="s">
        <v>1722</v>
      </c>
      <c r="U3" s="2019" t="s">
        <v>1721</v>
      </c>
      <c r="V3" s="2019" t="s">
        <v>1723</v>
      </c>
      <c r="W3" s="2019" t="s">
        <v>1721</v>
      </c>
    </row>
    <row r="4" spans="1:23">
      <c r="A4" s="2017" t="s">
        <v>1724</v>
      </c>
      <c r="B4" s="2017" t="s">
        <v>1725</v>
      </c>
      <c r="C4" s="2018" t="s">
        <v>761</v>
      </c>
      <c r="D4" s="2019" t="s">
        <v>867</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1140</v>
      </c>
      <c r="S4" s="2019" t="s">
        <v>1729</v>
      </c>
      <c r="T4" s="2019" t="s">
        <v>1730</v>
      </c>
      <c r="U4" s="2019" t="s">
        <v>1729</v>
      </c>
      <c r="W4" s="2019" t="s">
        <v>1729</v>
      </c>
    </row>
    <row r="5" spans="1:23">
      <c r="A5" s="2017" t="s">
        <v>1731</v>
      </c>
      <c r="B5" s="2017" t="s">
        <v>1732</v>
      </c>
      <c r="C5" s="2018" t="s">
        <v>762</v>
      </c>
      <c r="F5" s="2019" t="s">
        <v>1733</v>
      </c>
      <c r="H5" s="2019" t="s">
        <v>1734</v>
      </c>
      <c r="I5" s="2019" t="s">
        <v>1735</v>
      </c>
      <c r="K5" s="2019" t="s">
        <v>1736</v>
      </c>
      <c r="L5" s="2019" t="s">
        <v>1736</v>
      </c>
      <c r="M5" s="2019" t="s">
        <v>1736</v>
      </c>
      <c r="N5" s="2019" t="s">
        <v>1736</v>
      </c>
      <c r="O5" s="2019" t="s">
        <v>1736</v>
      </c>
      <c r="P5" s="2019" t="s">
        <v>1736</v>
      </c>
      <c r="Q5" s="2019" t="s">
        <v>1736</v>
      </c>
      <c r="R5" s="2019" t="s">
        <v>1141</v>
      </c>
      <c r="S5" s="2019" t="s">
        <v>1736</v>
      </c>
      <c r="T5" s="2019" t="s">
        <v>1737</v>
      </c>
      <c r="U5" s="2019" t="s">
        <v>1736</v>
      </c>
      <c r="W5" s="2019" t="s">
        <v>1736</v>
      </c>
    </row>
    <row r="6" spans="1:23">
      <c r="A6" s="2017" t="s">
        <v>1738</v>
      </c>
      <c r="B6" s="2020" t="s">
        <v>1145</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1142</v>
      </c>
      <c r="S6" s="2019" t="s">
        <v>1741</v>
      </c>
      <c r="T6" s="2019"/>
      <c r="U6" s="2019" t="s">
        <v>1741</v>
      </c>
      <c r="W6" s="2019" t="s">
        <v>1741</v>
      </c>
    </row>
    <row r="7" spans="1:23">
      <c r="A7" s="2017" t="s">
        <v>1742</v>
      </c>
      <c r="B7" s="2020" t="s">
        <v>1146</v>
      </c>
      <c r="C7" s="2018" t="s">
        <v>31</v>
      </c>
      <c r="F7" s="2019" t="s">
        <v>1743</v>
      </c>
      <c r="H7" s="2019" t="s">
        <v>1744</v>
      </c>
      <c r="I7" s="2019" t="s">
        <v>1745</v>
      </c>
    </row>
    <row r="8" spans="1:23">
      <c r="A8" s="2017" t="s">
        <v>1746</v>
      </c>
      <c r="B8" s="2017" t="s">
        <v>1747</v>
      </c>
      <c r="C8" s="2018" t="s">
        <v>763</v>
      </c>
      <c r="F8" s="2019" t="s">
        <v>1748</v>
      </c>
      <c r="H8" s="2019"/>
      <c r="I8" s="2019" t="s">
        <v>1749</v>
      </c>
    </row>
    <row r="9" spans="1:23">
      <c r="A9" s="2017" t="s">
        <v>1750</v>
      </c>
      <c r="B9" s="2017" t="s">
        <v>1751</v>
      </c>
      <c r="C9" s="2018" t="s">
        <v>764</v>
      </c>
      <c r="F9" s="2019" t="s">
        <v>1752</v>
      </c>
      <c r="H9" s="2019"/>
    </row>
    <row r="10" spans="1:23">
      <c r="A10" s="2017" t="s">
        <v>1753</v>
      </c>
      <c r="B10" s="2017" t="s">
        <v>1754</v>
      </c>
      <c r="C10" s="2018" t="s">
        <v>765</v>
      </c>
      <c r="F10" s="2019" t="s">
        <v>16</v>
      </c>
    </row>
    <row r="11" spans="1:23">
      <c r="A11" s="2017" t="s">
        <v>1755</v>
      </c>
      <c r="B11" s="2017" t="s">
        <v>1756</v>
      </c>
      <c r="C11" s="2018" t="s">
        <v>766</v>
      </c>
    </row>
    <row r="12" spans="1:23">
      <c r="A12" s="2017" t="s">
        <v>1757</v>
      </c>
      <c r="B12" s="2017" t="s">
        <v>1758</v>
      </c>
      <c r="C12" s="2018" t="s">
        <v>767</v>
      </c>
    </row>
    <row r="13" spans="1:23">
      <c r="A13" s="2017" t="s">
        <v>1759</v>
      </c>
      <c r="B13" s="2017" t="s">
        <v>1760</v>
      </c>
      <c r="C13" s="2018" t="s">
        <v>768</v>
      </c>
    </row>
    <row r="14" spans="1:23">
      <c r="A14" s="2017" t="s">
        <v>1761</v>
      </c>
      <c r="B14" s="2017" t="s">
        <v>1762</v>
      </c>
      <c r="C14" s="2019" t="s">
        <v>16</v>
      </c>
    </row>
    <row r="15" spans="1:23">
      <c r="A15" s="2017" t="s">
        <v>1763</v>
      </c>
      <c r="B15" s="2017" t="s">
        <v>1764</v>
      </c>
      <c r="C15" s="2018"/>
    </row>
    <row r="16" spans="1:23">
      <c r="A16" s="2017" t="s">
        <v>1765</v>
      </c>
      <c r="B16" s="2017" t="s">
        <v>3100</v>
      </c>
      <c r="C16" s="2018"/>
    </row>
    <row r="17" spans="1:3">
      <c r="A17" s="2017" t="s">
        <v>1766</v>
      </c>
      <c r="B17" s="2017" t="s">
        <v>3101</v>
      </c>
      <c r="C17" s="2018"/>
    </row>
    <row r="18" spans="1:3">
      <c r="A18" s="2017" t="s">
        <v>1767</v>
      </c>
      <c r="B18" s="2017" t="s">
        <v>3102</v>
      </c>
      <c r="C18" s="2018"/>
    </row>
    <row r="19" spans="1:3">
      <c r="A19" s="2017" t="s">
        <v>1768</v>
      </c>
      <c r="B19" s="2017" t="s">
        <v>3103</v>
      </c>
      <c r="C19" s="2018"/>
    </row>
    <row r="20" spans="1:3">
      <c r="A20" s="2017" t="s">
        <v>1769</v>
      </c>
      <c r="B20" s="2017" t="s">
        <v>3104</v>
      </c>
      <c r="C20" s="2018"/>
    </row>
    <row r="21" spans="1:3">
      <c r="A21" s="2017" t="s">
        <v>1770</v>
      </c>
      <c r="B21" s="2017" t="s">
        <v>756</v>
      </c>
      <c r="C21" s="2018"/>
    </row>
    <row r="22" spans="1:3">
      <c r="A22" s="2017" t="s">
        <v>1771</v>
      </c>
      <c r="B22" s="2017" t="s">
        <v>756</v>
      </c>
      <c r="C22" s="2018"/>
    </row>
    <row r="23" spans="1:3">
      <c r="A23" s="2017" t="s">
        <v>1772</v>
      </c>
      <c r="B23" s="2017" t="s">
        <v>756</v>
      </c>
      <c r="C23" s="2018"/>
    </row>
    <row r="24" spans="1:3">
      <c r="A24" s="2017" t="s">
        <v>1773</v>
      </c>
      <c r="B24" s="2017" t="s">
        <v>756</v>
      </c>
      <c r="C24" s="2018"/>
    </row>
    <row r="25" spans="1:3">
      <c r="A25" s="2017" t="s">
        <v>1774</v>
      </c>
      <c r="B25" s="2017" t="s">
        <v>756</v>
      </c>
      <c r="C25" s="2018"/>
    </row>
    <row r="26" spans="1:3">
      <c r="A26" s="2017" t="s">
        <v>1775</v>
      </c>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星美凯龙国际家具建材广场有限公司拟使用北京市丰台区西四环中路113号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25" t="s">
        <v>1283</v>
      </c>
    </row>
    <row r="52" spans="1:4">
      <c r="A52" s="2024" t="s">
        <v>857</v>
      </c>
      <c r="B52" s="2024" t="s">
        <v>858</v>
      </c>
      <c r="C52" s="2022" t="s">
        <v>859</v>
      </c>
      <c r="D52" s="2022" t="s">
        <v>860</v>
      </c>
    </row>
    <row r="53" spans="1:4">
      <c r="A53" s="2996"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2996"/>
      <c r="B54" s="2025" t="s">
        <v>863</v>
      </c>
      <c r="C54" s="2022" t="s">
        <v>1280</v>
      </c>
    </row>
    <row r="55" spans="1:4">
      <c r="A55" s="2996"/>
      <c r="B55" s="2025" t="s">
        <v>864</v>
      </c>
      <c r="C55" s="2022" t="s">
        <v>1281</v>
      </c>
    </row>
    <row r="56" spans="1:4">
      <c r="A56" s="2996"/>
      <c r="B56" s="2025" t="s">
        <v>865</v>
      </c>
      <c r="C56" s="2022" t="s">
        <v>1285</v>
      </c>
    </row>
    <row r="57" spans="1:4">
      <c r="A57" s="2996"/>
      <c r="B57" s="2025" t="s">
        <v>866</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5" t="str">
        <f>IF(B10="北京市","北京市",C10)&amp;F10&amp;IF(结果表!G1="在建","出让国有建设用地使用权及在建建筑物",IF(结果表!G1="土地","出让国有建设用地使用权",))&amp;B9&amp;"预评估"</f>
        <v>北京市丰台区西四环中路113号房地产抵押价值预评估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北京市丰台区西四环中路113号房地产抵押价值</v>
      </c>
    </row>
    <row r="2" spans="1:19" ht="18" customHeight="1">
      <c r="A2" s="2029" t="s">
        <v>1777</v>
      </c>
      <c r="B2" s="1042" t="s">
        <v>3043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北京市丰台区西四环中路113号房地产</v>
      </c>
    </row>
    <row r="3" spans="1:19" ht="18" customHeight="1">
      <c r="A3" s="2038" t="s">
        <v>1778</v>
      </c>
      <c r="B3" s="2039">
        <v>43157</v>
      </c>
      <c r="C3" s="2040" t="s">
        <v>1779</v>
      </c>
      <c r="D3" s="2039">
        <f>B3</f>
        <v>43157</v>
      </c>
      <c r="E3" s="2029"/>
      <c r="F3" s="2029"/>
      <c r="G3" s="2029"/>
      <c r="H3" s="2029"/>
      <c r="I3" s="2029"/>
      <c r="J3" s="2029"/>
      <c r="K3" s="2030"/>
      <c r="L3" s="2031"/>
      <c r="M3" s="2031"/>
      <c r="N3" s="2032"/>
      <c r="O3" s="2033"/>
      <c r="P3" s="2032"/>
      <c r="Q3" s="2032"/>
      <c r="R3" s="2032"/>
      <c r="S3" s="2034"/>
    </row>
    <row r="4" spans="1:19" ht="18" customHeight="1" thickBot="1">
      <c r="A4" s="2041" t="s">
        <v>1780</v>
      </c>
      <c r="B4" s="2042" t="s">
        <v>3044</v>
      </c>
      <c r="C4" s="1040">
        <f ca="1">SUMIF(注册房地产估价师,B4,估价师及机构信息!B3:B24)</f>
        <v>1119970066</v>
      </c>
      <c r="D4" s="2042" t="s">
        <v>3045</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3277"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3278"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北京红星美凯龙国际家具建材广场有限公司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3048</v>
      </c>
      <c r="C8" s="2057"/>
      <c r="D8" s="3008" t="s">
        <v>1785</v>
      </c>
      <c r="E8" s="2058" t="s">
        <v>3050</v>
      </c>
      <c r="F8" s="2059"/>
      <c r="G8" s="2029"/>
      <c r="H8" s="2029"/>
      <c r="I8" s="2029"/>
      <c r="J8" s="2045"/>
      <c r="K8" s="2046"/>
      <c r="L8" s="2031"/>
      <c r="M8" s="2031"/>
      <c r="N8" s="2032"/>
      <c r="O8" s="2033"/>
      <c r="P8" s="2032"/>
      <c r="Q8" s="2032"/>
      <c r="R8" s="2032"/>
    </row>
    <row r="9" spans="1:19" ht="18" customHeight="1" thickBot="1">
      <c r="A9" s="2043" t="s">
        <v>1786</v>
      </c>
      <c r="B9" s="2060" t="s">
        <v>3049</v>
      </c>
      <c r="C9" s="2061"/>
      <c r="D9" s="3009"/>
      <c r="E9" s="2060"/>
      <c r="F9" s="2062"/>
      <c r="G9" s="2063"/>
      <c r="H9" s="2063"/>
      <c r="I9" s="2063"/>
      <c r="J9" s="2045"/>
      <c r="K9" s="2055"/>
      <c r="L9" s="2031"/>
      <c r="M9" s="2031"/>
      <c r="N9" s="2032"/>
      <c r="O9" s="2033"/>
      <c r="P9" s="2032"/>
      <c r="Q9" s="2032"/>
      <c r="R9" s="2032"/>
    </row>
    <row r="10" spans="1:19" ht="18" customHeight="1" thickTop="1">
      <c r="A10" s="2064" t="s">
        <v>1787</v>
      </c>
      <c r="B10" s="2065" t="s">
        <v>3051</v>
      </c>
      <c r="C10" s="2066"/>
      <c r="D10" s="2049"/>
      <c r="E10" s="2067" t="s">
        <v>1788</v>
      </c>
      <c r="F10" s="2068" t="s">
        <v>3052</v>
      </c>
      <c r="G10" s="2069"/>
      <c r="H10" s="2070"/>
      <c r="I10" s="2049"/>
      <c r="J10" s="2045"/>
      <c r="K10" s="2055"/>
      <c r="L10" s="2031"/>
      <c r="M10" s="2031"/>
      <c r="N10" s="2032"/>
      <c r="O10" s="2033"/>
      <c r="P10" s="2032"/>
      <c r="Q10" s="2032"/>
      <c r="R10" s="2032"/>
    </row>
    <row r="11" spans="1:19" ht="18" customHeight="1">
      <c r="A11" s="2071" t="s">
        <v>1789</v>
      </c>
      <c r="B11" s="2072" t="s">
        <v>3053</v>
      </c>
      <c r="C11" s="2073" t="str">
        <f>B5</f>
        <v>北京红星美凯龙国际家具建材广场有限公司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3054</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v>53920</v>
      </c>
      <c r="F13" s="2081"/>
      <c r="G13" s="2081">
        <v>57573</v>
      </c>
      <c r="H13" s="2081"/>
      <c r="I13" s="1050"/>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f>IF(B12="出让",IF(E13="","",ROUNDDOWN(MIN((E13-$D$3)/365,E14),2)),E14)</f>
        <v>29.48</v>
      </c>
      <c r="F15" s="1052" t="str">
        <f>IF(B12="出让",IF(F13="","",ROUNDDOWN(MIN((F13-$D$3)/365,F14),2)),F14)</f>
        <v/>
      </c>
      <c r="G15" s="1052">
        <f>IF(B12="出让",IF(G13="","",ROUNDDOWN(MIN((G13-$D$3)/365,G14),2)),G14)</f>
        <v>39.49</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1801</v>
      </c>
      <c r="B16" s="3279" t="s">
        <v>3055</v>
      </c>
      <c r="C16" s="3015"/>
      <c r="D16" s="3016"/>
      <c r="E16" s="2087" t="s">
        <v>1802</v>
      </c>
      <c r="F16" s="3017" t="s">
        <v>3056</v>
      </c>
      <c r="G16" s="3018"/>
      <c r="H16" s="3018"/>
      <c r="I16" s="3019"/>
      <c r="J16" s="2032"/>
      <c r="K16" s="2084"/>
      <c r="L16" s="2085"/>
      <c r="M16" s="2085"/>
      <c r="N16" s="2086"/>
      <c r="O16" s="2085"/>
      <c r="P16" s="2086"/>
      <c r="Q16" s="2032"/>
      <c r="R16" s="2032"/>
    </row>
    <row r="17" spans="1:22" ht="18" customHeight="1">
      <c r="A17" s="2088" t="s">
        <v>1803</v>
      </c>
      <c r="B17" s="2038" t="s">
        <v>1804</v>
      </c>
      <c r="C17" s="1057">
        <f>'数据-汇总表'!E3</f>
        <v>70181.87</v>
      </c>
      <c r="D17" s="2089" t="s">
        <v>1805</v>
      </c>
      <c r="E17" s="3020" t="s">
        <v>3057</v>
      </c>
      <c r="F17" s="3021"/>
      <c r="G17" s="3021"/>
      <c r="H17" s="3021"/>
      <c r="I17" s="3022"/>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31510.77</v>
      </c>
      <c r="D18" s="2092" t="s">
        <v>1805</v>
      </c>
      <c r="E18" s="3023" t="s">
        <v>3058</v>
      </c>
      <c r="F18" s="3024"/>
      <c r="G18" s="3024"/>
      <c r="H18" s="3024"/>
      <c r="I18" s="3025"/>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3059</v>
      </c>
      <c r="D19" s="2094" t="s">
        <v>1810</v>
      </c>
      <c r="E19" s="2095" t="s">
        <v>3059</v>
      </c>
      <c r="F19" s="2096" t="str">
        <f>IF(AND(C19="是",E19="否"),"是否提供他项权证或相关说明","")</f>
        <v/>
      </c>
      <c r="G19" s="2097" t="s">
        <v>3059</v>
      </c>
      <c r="H19" s="2045"/>
      <c r="I19" s="2045"/>
      <c r="J19" s="2045"/>
      <c r="K19" s="2055"/>
      <c r="L19" s="2031"/>
      <c r="M19" s="2031"/>
      <c r="N19" s="2086"/>
      <c r="O19" s="2085"/>
      <c r="P19" s="2086"/>
      <c r="Q19" s="2032"/>
      <c r="R19" s="2032"/>
      <c r="S19" s="2032"/>
      <c r="T19" s="2032"/>
      <c r="U19" s="2032"/>
      <c r="V19" s="2032"/>
    </row>
    <row r="20" spans="1:22" ht="18" customHeight="1">
      <c r="A20" s="2098" t="s">
        <v>1811</v>
      </c>
      <c r="B20" s="3011" t="s">
        <v>1812</v>
      </c>
      <c r="C20" s="3012"/>
      <c r="D20" s="3013" t="s">
        <v>1813</v>
      </c>
      <c r="E20" s="3014"/>
      <c r="F20" s="2099" t="s">
        <v>1814</v>
      </c>
      <c r="G20" s="2045"/>
      <c r="H20" s="2045"/>
      <c r="I20" s="2045"/>
      <c r="J20" s="2045"/>
      <c r="K20" s="3010"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1816</v>
      </c>
      <c r="C21" s="2101" t="s">
        <v>3060</v>
      </c>
      <c r="D21" s="2102" t="s">
        <v>1817</v>
      </c>
      <c r="E21" s="2103" t="s">
        <v>70</v>
      </c>
      <c r="F21" s="2104"/>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t="s">
        <v>1818</v>
      </c>
      <c r="C22" s="2101" t="s">
        <v>1819</v>
      </c>
      <c r="D22" s="2029"/>
      <c r="E22" s="2029"/>
      <c r="F22" s="2106"/>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1820</v>
      </c>
      <c r="B23" s="183" t="s">
        <v>1821</v>
      </c>
      <c r="C23" s="2108"/>
      <c r="D23" s="2109" t="s">
        <v>1821</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1822</v>
      </c>
      <c r="C24" s="2113"/>
      <c r="D24" s="2107" t="s">
        <v>1822</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1823</v>
      </c>
      <c r="C25" s="2113"/>
      <c r="D25" s="2107" t="s">
        <v>1823</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1824</v>
      </c>
      <c r="C26" s="2117"/>
      <c r="D26" s="2118" t="s">
        <v>1825</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8" t="s">
        <v>1826</v>
      </c>
      <c r="B27" s="2064" t="s">
        <v>1827</v>
      </c>
      <c r="C27" s="2121" t="s">
        <v>3061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8"/>
      <c r="B28" s="2038" t="s">
        <v>1828</v>
      </c>
      <c r="C28" s="2123" t="s">
        <v>3062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8"/>
      <c r="B29" s="2038" t="s">
        <v>1829</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9"/>
      <c r="B30" s="2038" t="s">
        <v>1830</v>
      </c>
      <c r="C30" s="3000"/>
      <c r="D30" s="300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2" t="s">
        <v>1831</v>
      </c>
      <c r="B31" s="2128" t="s">
        <v>3063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03"/>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3"/>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5" t="s">
        <v>3064</v>
      </c>
      <c r="C34" s="2135" t="s">
        <v>3065</v>
      </c>
      <c r="D34" s="2135" t="s">
        <v>3066</v>
      </c>
      <c r="E34" s="2135" t="s">
        <v>3067</v>
      </c>
      <c r="F34" s="2135" t="s">
        <v>3068</v>
      </c>
      <c r="G34" s="2135" t="s">
        <v>3069</v>
      </c>
      <c r="H34" s="2135"/>
      <c r="I34" s="2045"/>
      <c r="J34" s="2045"/>
      <c r="K34" s="1798">
        <f>COUNTIF(B34:H34,"——")</f>
        <v>0</v>
      </c>
      <c r="L34" s="2076" t="s">
        <v>1833</v>
      </c>
      <c r="M34" s="2076" t="s">
        <v>1834</v>
      </c>
      <c r="N34" s="2076" t="s">
        <v>1835</v>
      </c>
      <c r="O34" s="2076" t="s">
        <v>1836</v>
      </c>
      <c r="P34" s="2076" t="s">
        <v>1837</v>
      </c>
      <c r="Q34" s="2076" t="s">
        <v>1838</v>
      </c>
      <c r="R34" s="2076" t="s">
        <v>1839</v>
      </c>
      <c r="S34" s="2997" t="s">
        <v>1840</v>
      </c>
      <c r="T34" s="2136" t="str">
        <f>NUMBERSTRING(7-K34,1)&amp;"通"</f>
        <v>七通</v>
      </c>
      <c r="U34" s="2032"/>
      <c r="V34" s="2032"/>
    </row>
    <row r="35" spans="1:22" ht="18" customHeight="1">
      <c r="A35" s="2137"/>
      <c r="B35" s="3004" t="s">
        <v>1841</v>
      </c>
      <c r="C35" s="3004"/>
      <c r="D35" s="3004"/>
      <c r="E35" s="3004"/>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7"/>
      <c r="T35" s="48" t="str">
        <f>IF(T34="一通",L35,IF(T34="二通",M35,IF(T34="三通",N35,IF(T34="四通",O35,IF(T34="五通",P35,IF(T34="六通",Q35,R35))))))</f>
        <v>通路、通电、通讯、通上水、通下水、燃气、</v>
      </c>
      <c r="U35" s="2032"/>
      <c r="V35" s="2032"/>
    </row>
    <row r="36" spans="1:22" ht="18" customHeight="1">
      <c r="A36" s="2139"/>
      <c r="B36" s="2138" t="s">
        <v>1842</v>
      </c>
      <c r="C36" s="2138" t="s">
        <v>1843</v>
      </c>
      <c r="D36" s="2138" t="s">
        <v>1844</v>
      </c>
      <c r="E36" s="2138" t="s">
        <v>1845</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1846</v>
      </c>
      <c r="B37" s="2142" t="s">
        <v>523</v>
      </c>
      <c r="C37" s="2142" t="s">
        <v>523</v>
      </c>
      <c r="D37" s="2142" t="s">
        <v>523</v>
      </c>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1847</v>
      </c>
      <c r="B38" s="2144" t="s">
        <v>304</v>
      </c>
      <c r="C38" s="2144" t="s">
        <v>304</v>
      </c>
      <c r="D38" s="2144" t="s">
        <v>304</v>
      </c>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1848</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1849</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1850</v>
      </c>
      <c r="B42" s="1798" t="s">
        <v>1851</v>
      </c>
      <c r="C42" s="1798" t="s">
        <v>1852</v>
      </c>
      <c r="D42" s="1798" t="s">
        <v>1853</v>
      </c>
      <c r="E42" s="1798" t="s">
        <v>1854</v>
      </c>
      <c r="F42" s="1798" t="s">
        <v>1855</v>
      </c>
      <c r="G42" s="1798" t="s">
        <v>1856</v>
      </c>
      <c r="H42" s="1798" t="s">
        <v>1857</v>
      </c>
      <c r="I42" s="1798" t="s">
        <v>1858</v>
      </c>
      <c r="J42" s="2154" t="s">
        <v>1859</v>
      </c>
      <c r="K42" s="2077" t="s">
        <v>1860</v>
      </c>
      <c r="L42" s="2077" t="s">
        <v>1861</v>
      </c>
      <c r="M42" s="2077" t="s">
        <v>1862</v>
      </c>
      <c r="N42" s="1798" t="s">
        <v>1863</v>
      </c>
      <c r="O42" s="1798" t="s">
        <v>1864</v>
      </c>
      <c r="P42" s="1798" t="s">
        <v>1865</v>
      </c>
      <c r="Q42" s="2076" t="s">
        <v>1866</v>
      </c>
      <c r="R42" s="2076" t="s">
        <v>1867</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1870</v>
      </c>
      <c r="B2" s="11" t="s">
        <v>1871</v>
      </c>
      <c r="C2" s="11" t="s">
        <v>1872</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1873</v>
      </c>
      <c r="AZ2" s="1273" t="s">
        <v>1874</v>
      </c>
      <c r="BA2" s="11" t="s">
        <v>1875</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31510.77</v>
      </c>
      <c r="B3" s="14">
        <f>IF(C3="否",G5-AT5,G5)</f>
        <v>70181.87</v>
      </c>
      <c r="C3" s="2170" t="s">
        <v>1876</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1877</v>
      </c>
      <c r="B5" s="1806"/>
      <c r="C5" s="1806"/>
      <c r="D5" s="1809"/>
      <c r="E5" s="16" t="s">
        <v>1</v>
      </c>
      <c r="F5" s="16">
        <f>SUM(F13:F587)</f>
        <v>0</v>
      </c>
      <c r="G5" s="16">
        <f>SUM(G13:G587)</f>
        <v>70181.87</v>
      </c>
      <c r="H5" s="16">
        <f t="shared" ref="H5:AT5" si="0">SUM(H13:H656)</f>
        <v>70181.87</v>
      </c>
      <c r="I5" s="16">
        <f t="shared" si="0"/>
        <v>57877.039999999994</v>
      </c>
      <c r="J5" s="16">
        <f t="shared" si="0"/>
        <v>0</v>
      </c>
      <c r="K5" s="16">
        <f t="shared" si="0"/>
        <v>12304.83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70181.87</v>
      </c>
      <c r="BA5" s="18">
        <f t="shared" si="1"/>
        <v>70181.87</v>
      </c>
      <c r="BB5" s="18">
        <f t="shared" si="1"/>
        <v>57877.039999999994</v>
      </c>
      <c r="BC5" s="18">
        <f t="shared" si="1"/>
        <v>12304.83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1878</v>
      </c>
      <c r="B6" s="2176"/>
      <c r="C6" s="2176"/>
      <c r="D6" s="2177"/>
      <c r="E6" s="16">
        <f>H6+AC6+AT6</f>
        <v>31510.77</v>
      </c>
      <c r="F6" s="16" t="s">
        <v>1</v>
      </c>
      <c r="G6" s="16" t="s">
        <v>2</v>
      </c>
      <c r="H6" s="20">
        <f>SUMIF(I$12:AB$12,"总值",I6:AB6)</f>
        <v>31510.77</v>
      </c>
      <c r="I6" s="16">
        <f t="shared" ref="I6:AB6" si="2">ROUND($A$3*I5/$B$3,2)</f>
        <v>25986.06</v>
      </c>
      <c r="J6" s="16">
        <f t="shared" si="2"/>
        <v>0</v>
      </c>
      <c r="K6" s="16">
        <f t="shared" si="2"/>
        <v>5524.71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1878</v>
      </c>
      <c r="AW6" s="2176"/>
      <c r="AX6" s="2176"/>
      <c r="AY6" s="21">
        <f>IF(AY3&gt;0,AY3,ROUND($A$3*AZ5/$B$3,2))</f>
        <v>31510.77</v>
      </c>
      <c r="AZ6" s="16" t="s">
        <v>3</v>
      </c>
      <c r="BA6" s="16">
        <f>ROUND($AY$6*BA5/$AZ$5,2)</f>
        <v>31510.77</v>
      </c>
      <c r="BB6" s="16">
        <f>ROUND($AY$6*BB5/$AZ$5,2)</f>
        <v>25986.06</v>
      </c>
      <c r="BC6" s="16">
        <f t="shared" ref="BC6:BH6" si="4">ROUND($AY$6*BC5/$AZ$5,2)</f>
        <v>5524.71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1879</v>
      </c>
      <c r="B7" s="2111" t="s">
        <v>1880</v>
      </c>
      <c r="C7" s="2111" t="s">
        <v>1881</v>
      </c>
      <c r="D7" s="2111" t="s">
        <v>1882</v>
      </c>
      <c r="E7" s="2111" t="s">
        <v>1883</v>
      </c>
      <c r="F7" s="2111" t="s">
        <v>1884</v>
      </c>
      <c r="G7" s="2180" t="s">
        <v>1885</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1886</v>
      </c>
      <c r="AV7" s="23" t="s">
        <v>1887</v>
      </c>
      <c r="AW7" s="2168" t="s">
        <v>1888</v>
      </c>
      <c r="AX7" s="23" t="s">
        <v>1881</v>
      </c>
      <c r="AY7" s="1806" t="s">
        <v>1889</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1890</v>
      </c>
      <c r="H8" s="2186" t="s">
        <v>1891</v>
      </c>
      <c r="I8" s="2187"/>
      <c r="J8" s="1821"/>
      <c r="K8" s="1821"/>
      <c r="L8" s="1821"/>
      <c r="M8" s="1821"/>
      <c r="N8" s="1821"/>
      <c r="O8" s="1821"/>
      <c r="P8" s="1821"/>
      <c r="Q8" s="1821"/>
      <c r="R8" s="1821"/>
      <c r="S8" s="1821"/>
      <c r="T8" s="1821"/>
      <c r="U8" s="1821"/>
      <c r="V8" s="2188"/>
      <c r="W8" s="1821"/>
      <c r="X8" s="1821"/>
      <c r="Y8" s="1821"/>
      <c r="Z8" s="1821"/>
      <c r="AA8" s="2188"/>
      <c r="AB8" s="2189"/>
      <c r="AC8" s="984" t="s">
        <v>1892</v>
      </c>
      <c r="AD8" s="2190"/>
      <c r="AE8" s="2182"/>
      <c r="AF8" s="1821"/>
      <c r="AG8" s="1821"/>
      <c r="AH8" s="1821"/>
      <c r="AI8" s="1821"/>
      <c r="AJ8" s="1821"/>
      <c r="AK8" s="1821"/>
      <c r="AL8" s="1821"/>
      <c r="AM8" s="1821"/>
      <c r="AN8" s="1821"/>
      <c r="AO8" s="1821"/>
      <c r="AP8" s="1821"/>
      <c r="AQ8" s="1821"/>
      <c r="AR8" s="1821"/>
      <c r="AS8" s="1821"/>
      <c r="AT8" s="1295" t="s">
        <v>1893</v>
      </c>
      <c r="AU8" s="2184" t="s">
        <v>1894</v>
      </c>
      <c r="AV8" s="1295"/>
      <c r="AW8" s="2167"/>
      <c r="AX8" s="1295"/>
      <c r="AY8" s="2168"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1897</v>
      </c>
      <c r="I9" s="2193" t="s">
        <v>3075</v>
      </c>
      <c r="J9" s="984"/>
      <c r="K9" s="2193" t="s">
        <v>3078</v>
      </c>
      <c r="L9" s="984"/>
      <c r="M9" s="2193"/>
      <c r="N9" s="984"/>
      <c r="O9" s="2193"/>
      <c r="P9" s="984"/>
      <c r="Q9" s="2193"/>
      <c r="R9" s="984"/>
      <c r="S9" s="2193"/>
      <c r="T9" s="984"/>
      <c r="U9" s="2193"/>
      <c r="V9" s="984"/>
      <c r="W9" s="2193"/>
      <c r="X9" s="2194"/>
      <c r="Y9" s="2193"/>
      <c r="Z9" s="984"/>
      <c r="AA9" s="2193"/>
      <c r="AB9" s="984"/>
      <c r="AC9" s="2185"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5"/>
      <c r="AT9" s="2184"/>
      <c r="AU9" s="2184" t="s">
        <v>1900</v>
      </c>
      <c r="AV9" s="1295"/>
      <c r="AW9" s="2167"/>
      <c r="AX9" s="1295"/>
      <c r="AY9" s="28"/>
      <c r="AZ9" s="28" t="s">
        <v>1890</v>
      </c>
      <c r="BA9" s="2196" t="s">
        <v>1901</v>
      </c>
      <c r="BB9" s="2197"/>
      <c r="BC9" s="1341"/>
      <c r="BD9" s="1341"/>
      <c r="BE9" s="1341"/>
      <c r="BF9" s="1341"/>
      <c r="BG9" s="1341"/>
      <c r="BH9" s="1341"/>
      <c r="BI9" s="1341"/>
      <c r="BJ9" s="1341"/>
      <c r="BK9" s="2198"/>
      <c r="BL9" s="15" t="s">
        <v>1902</v>
      </c>
      <c r="BM9" s="1821"/>
      <c r="BN9" s="2187"/>
      <c r="BO9" s="1821"/>
      <c r="BP9" s="1821"/>
      <c r="BQ9" s="1821"/>
      <c r="BR9" s="1821"/>
      <c r="BS9" s="1821"/>
      <c r="BT9" s="26"/>
    </row>
    <row r="10" spans="1:72" s="2191" customFormat="1" ht="12.75">
      <c r="A10" s="2184"/>
      <c r="B10" s="2184"/>
      <c r="C10" s="2184"/>
      <c r="D10" s="2184"/>
      <c r="E10" s="2184"/>
      <c r="F10" s="2184"/>
      <c r="G10" s="1295"/>
      <c r="H10" s="28"/>
      <c r="I10" s="2193" t="s">
        <v>1376</v>
      </c>
      <c r="J10" s="984"/>
      <c r="K10" s="2199" t="s">
        <v>3079</v>
      </c>
      <c r="L10" s="984"/>
      <c r="M10" s="2199"/>
      <c r="N10" s="984"/>
      <c r="O10" s="2199"/>
      <c r="P10" s="984"/>
      <c r="Q10" s="2199"/>
      <c r="R10" s="984"/>
      <c r="S10" s="2199"/>
      <c r="T10" s="984"/>
      <c r="U10" s="2199"/>
      <c r="V10" s="984"/>
      <c r="W10" s="2199"/>
      <c r="X10" s="984"/>
      <c r="Y10" s="2199"/>
      <c r="Z10" s="984"/>
      <c r="AA10" s="2199"/>
      <c r="AB10" s="984"/>
      <c r="AC10" s="1295"/>
      <c r="AD10" s="15" t="s">
        <v>1903</v>
      </c>
      <c r="AE10" s="2200"/>
      <c r="AF10" s="15" t="s">
        <v>1903</v>
      </c>
      <c r="AG10" s="2200"/>
      <c r="AH10" s="15" t="s">
        <v>1904</v>
      </c>
      <c r="AI10" s="2200"/>
      <c r="AJ10" s="15" t="s">
        <v>1904</v>
      </c>
      <c r="AK10" s="2200"/>
      <c r="AL10" s="15" t="s">
        <v>1905</v>
      </c>
      <c r="AM10" s="1301"/>
      <c r="AN10" s="15" t="s">
        <v>1905</v>
      </c>
      <c r="AO10" s="1301"/>
      <c r="AP10" s="15" t="s">
        <v>1906</v>
      </c>
      <c r="AQ10" s="1301"/>
      <c r="AR10" s="15" t="s">
        <v>1906</v>
      </c>
      <c r="AS10" s="1301"/>
      <c r="AT10" s="2184"/>
      <c r="AU10" s="2184"/>
      <c r="AV10" s="1295"/>
      <c r="AW10" s="2167"/>
      <c r="AX10" s="1295"/>
      <c r="AY10" s="28"/>
      <c r="AZ10" s="28"/>
      <c r="BA10" s="2201" t="s">
        <v>1897</v>
      </c>
      <c r="BB10" s="2202" t="str">
        <f>I9</f>
        <v>地上</v>
      </c>
      <c r="BC10" s="29" t="str">
        <f>K9</f>
        <v>地下</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3076</v>
      </c>
      <c r="J11" s="2205"/>
      <c r="K11" s="2204" t="s">
        <v>3079</v>
      </c>
      <c r="L11" s="2205"/>
      <c r="M11" s="2204"/>
      <c r="N11" s="2205"/>
      <c r="O11" s="2204"/>
      <c r="P11" s="2205"/>
      <c r="Q11" s="2204"/>
      <c r="R11" s="2205"/>
      <c r="S11" s="2204"/>
      <c r="T11" s="2205"/>
      <c r="U11" s="2204"/>
      <c r="V11" s="2205"/>
      <c r="W11" s="2204"/>
      <c r="X11" s="2205"/>
      <c r="Y11" s="2204"/>
      <c r="Z11" s="2205"/>
      <c r="AA11" s="2204"/>
      <c r="AB11" s="2205"/>
      <c r="AC11" s="1295"/>
      <c r="AD11" s="2206" t="s">
        <v>1907</v>
      </c>
      <c r="AE11" s="1822"/>
      <c r="AF11" s="2206" t="s">
        <v>1907</v>
      </c>
      <c r="AG11" s="1822"/>
      <c r="AH11" s="2206" t="s">
        <v>1908</v>
      </c>
      <c r="AI11" s="2207"/>
      <c r="AJ11" s="2206" t="s">
        <v>1908</v>
      </c>
      <c r="AK11" s="1822"/>
      <c r="AL11" s="1820"/>
      <c r="AM11" s="1822"/>
      <c r="AN11" s="1820"/>
      <c r="AO11" s="1822"/>
      <c r="AP11" s="1820"/>
      <c r="AQ11" s="1822"/>
      <c r="AR11" s="1820"/>
      <c r="AS11" s="1822"/>
      <c r="AT11" s="2167"/>
      <c r="AU11" s="2184"/>
      <c r="AV11" s="1295"/>
      <c r="AW11" s="2167"/>
      <c r="AX11" s="1295"/>
      <c r="AY11" s="28"/>
      <c r="AZ11" s="28"/>
      <c r="BA11" s="28"/>
      <c r="BB11" s="2189" t="str">
        <f>I10</f>
        <v>商业</v>
      </c>
      <c r="BC11" s="2189" t="str">
        <f>K10</f>
        <v>车库</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1"/>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9" t="s">
        <v>1910</v>
      </c>
      <c r="AT12" s="2212"/>
      <c r="AU12" s="2209"/>
      <c r="AV12" s="31"/>
      <c r="AW12" s="2168"/>
      <c r="AX12" s="31"/>
      <c r="AY12" s="2213"/>
      <c r="AZ12" s="28"/>
      <c r="BA12" s="2201"/>
      <c r="BB12" s="24" t="str">
        <f>I11</f>
        <v>独立商业</v>
      </c>
      <c r="BC12" s="2214" t="str">
        <f>K11</f>
        <v>车库</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3286" t="s">
        <v>3077</v>
      </c>
      <c r="D13" s="2215" t="s">
        <v>3059</v>
      </c>
      <c r="E13" s="16">
        <f>IF($C$3="是",ROUND($A$3*G13/$B$3,2),ROUND($A$3*(G13-AT13)/$B$3,2))</f>
        <v>31510.77</v>
      </c>
      <c r="F13" s="32"/>
      <c r="G13" s="33">
        <f>H13+AC13+AT13</f>
        <v>70181.87</v>
      </c>
      <c r="H13" s="20">
        <f>SUMIF(I$12:AB$12,"总值",I13:AB13)</f>
        <v>70181.87</v>
      </c>
      <c r="I13" s="2216">
        <f>面积表!E4+面积表!E5+面积表!E6+面积表!E7+面积表!E8+面积表!E9</f>
        <v>57877.039999999994</v>
      </c>
      <c r="J13" s="2216"/>
      <c r="K13" s="2216">
        <f>面积表!E3</f>
        <v>12304.83</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商业</v>
      </c>
      <c r="AY13" s="1809">
        <f>ROUND($AY$6*AZ13/$AZ$5,2)</f>
        <v>31510.77</v>
      </c>
      <c r="AZ13" s="16">
        <f>BA13+BL13</f>
        <v>70181.87</v>
      </c>
      <c r="BA13" s="16">
        <f>SUM(BB13:BK13)</f>
        <v>70181.87</v>
      </c>
      <c r="BB13" s="16">
        <f>IF($D13="是",I13-J13,0)</f>
        <v>57877.039999999994</v>
      </c>
      <c r="BC13" s="16">
        <f>IF($D13="是",K13-L13,0)</f>
        <v>12304.83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1936</v>
      </c>
      <c r="B1" s="1395"/>
      <c r="C1" s="1395"/>
      <c r="D1" s="1395"/>
      <c r="E1" s="1395"/>
      <c r="F1" s="1395"/>
      <c r="G1" s="1395"/>
      <c r="H1" s="1395"/>
      <c r="I1" s="1395"/>
      <c r="J1" s="1395"/>
      <c r="K1" s="1395"/>
      <c r="L1" s="1395"/>
      <c r="M1" s="1395"/>
      <c r="N1" s="1395"/>
      <c r="O1" s="1395"/>
      <c r="P1" s="1395"/>
    </row>
    <row r="2" spans="1:16" ht="15">
      <c r="A2" s="3037" t="s">
        <v>1937</v>
      </c>
      <c r="B2" s="3037"/>
      <c r="C2" s="3037"/>
      <c r="D2" s="970" t="s">
        <v>1913</v>
      </c>
      <c r="E2" s="2229" t="s">
        <v>1914</v>
      </c>
      <c r="F2" s="1395"/>
      <c r="G2" s="2230"/>
      <c r="H2" s="2231"/>
      <c r="I2" s="2232" t="s">
        <v>1938</v>
      </c>
      <c r="J2" s="1395"/>
      <c r="K2" s="1395"/>
      <c r="L2" s="1395"/>
      <c r="M2" s="1395"/>
      <c r="N2" s="1430"/>
      <c r="O2" s="1395"/>
      <c r="P2" s="1395"/>
    </row>
    <row r="3" spans="1:16" ht="15.75" thickBot="1">
      <c r="A3" s="3038" t="s">
        <v>1911</v>
      </c>
      <c r="B3" s="3038"/>
      <c r="C3" s="3038"/>
      <c r="D3" s="46">
        <f>'数据-基础表'!AY6</f>
        <v>31510.77</v>
      </c>
      <c r="E3" s="46">
        <f>'数据-基础表'!AZ5</f>
        <v>70181.87</v>
      </c>
      <c r="F3" s="1395"/>
      <c r="G3" s="1402"/>
      <c r="H3" s="1250" t="s">
        <v>1912</v>
      </c>
      <c r="I3" s="55">
        <f>ROUND('数据-基础表'!B3/'数据-基础表'!A3,2)</f>
        <v>2.23</v>
      </c>
      <c r="J3" s="1395"/>
      <c r="K3" s="1395"/>
      <c r="L3" s="1395"/>
      <c r="M3" s="1395"/>
      <c r="N3" s="1430"/>
      <c r="O3" s="1395"/>
      <c r="P3" s="1395"/>
    </row>
    <row r="4" spans="1:16" ht="15">
      <c r="A4" s="3039"/>
      <c r="B4" s="3040"/>
      <c r="C4" s="3041"/>
      <c r="D4" s="2233" t="s">
        <v>1913</v>
      </c>
      <c r="E4" s="2234" t="s">
        <v>1914</v>
      </c>
      <c r="F4" s="1395"/>
      <c r="G4" s="2235" t="s">
        <v>1939</v>
      </c>
      <c r="H4" s="1250" t="s">
        <v>1919</v>
      </c>
      <c r="I4" s="55">
        <f>ROUND(SUMIF('数据-基础表'!I9:AS9,"地上",'数据-基础表'!I5:AS5)/'数据-基础表'!A3,2)</f>
        <v>1.84</v>
      </c>
      <c r="J4" s="1395"/>
      <c r="K4" s="1395"/>
      <c r="L4" s="1395"/>
      <c r="M4" s="1395"/>
      <c r="N4" s="1430"/>
      <c r="O4" s="1395"/>
      <c r="P4" s="1395"/>
    </row>
    <row r="5" spans="1:16">
      <c r="A5" s="47" t="s">
        <v>1915</v>
      </c>
      <c r="B5" s="3042" t="s">
        <v>1916</v>
      </c>
      <c r="C5" s="3042"/>
      <c r="D5" s="48">
        <f>ROUND($D$3*E5/$E$3,2)</f>
        <v>0</v>
      </c>
      <c r="E5" s="49">
        <f>SUMIF('数据-基础表'!$11:$11,"住宅",'数据-基础表'!$5:$5)</f>
        <v>0</v>
      </c>
      <c r="F5" s="1395"/>
      <c r="G5" s="1402"/>
      <c r="H5" s="1250" t="s">
        <v>1912</v>
      </c>
      <c r="I5" s="55">
        <f>ROUND(E31/D31,2)</f>
        <v>2.23</v>
      </c>
      <c r="J5" s="1395"/>
      <c r="K5" s="1395"/>
      <c r="L5" s="1395"/>
      <c r="M5" s="1395"/>
      <c r="N5" s="1395"/>
      <c r="O5" s="1395"/>
      <c r="P5" s="1395"/>
    </row>
    <row r="6" spans="1:16" ht="15" thickBot="1">
      <c r="A6" s="2236"/>
      <c r="B6" s="3042" t="s">
        <v>1917</v>
      </c>
      <c r="C6" s="3042"/>
      <c r="D6" s="48">
        <f>ROUND($D$3*E6/$E$3,2)</f>
        <v>31510.77</v>
      </c>
      <c r="E6" s="49">
        <f>E3-E5</f>
        <v>70181.87</v>
      </c>
      <c r="F6" s="1395"/>
      <c r="G6" s="2237" t="s">
        <v>1918</v>
      </c>
      <c r="H6" s="1402" t="s">
        <v>1919</v>
      </c>
      <c r="I6" s="942">
        <f>ROUND(F31/D31,2)</f>
        <v>1.84</v>
      </c>
      <c r="J6" s="1395"/>
      <c r="K6" s="1395"/>
      <c r="L6" s="1395"/>
      <c r="M6" s="1395"/>
      <c r="N6" s="1395"/>
      <c r="O6" s="1395"/>
      <c r="P6" s="1395"/>
    </row>
    <row r="7" spans="1:16" ht="15">
      <c r="A7" s="3034"/>
      <c r="B7" s="3035"/>
      <c r="C7" s="3036"/>
      <c r="D7" s="2233" t="s">
        <v>1913</v>
      </c>
      <c r="E7" s="2238" t="s">
        <v>1920</v>
      </c>
      <c r="F7" s="1395"/>
      <c r="G7" s="2230" t="s">
        <v>1921</v>
      </c>
      <c r="H7" s="64"/>
      <c r="I7" s="420">
        <f>I6</f>
        <v>1.84</v>
      </c>
      <c r="J7" s="1395"/>
      <c r="K7" s="1395"/>
      <c r="L7" s="1395"/>
      <c r="M7" s="1395"/>
      <c r="N7" s="1395"/>
      <c r="O7" s="1395"/>
      <c r="P7" s="1395"/>
    </row>
    <row r="8" spans="1:16">
      <c r="A8" s="47" t="s">
        <v>1922</v>
      </c>
      <c r="B8" s="50" t="s">
        <v>1923</v>
      </c>
      <c r="C8" s="48" t="s">
        <v>1924</v>
      </c>
      <c r="D8" s="48">
        <f t="shared" ref="D8:D15" si="0">ROUND($D$3*E8/$E$3,2)</f>
        <v>25986.06</v>
      </c>
      <c r="E8" s="51">
        <f>SUMIF('数据-基础表'!BB10:BK10,"地上",'数据-基础表'!BB5:BK5)</f>
        <v>57877.039999999994</v>
      </c>
      <c r="F8" s="1395"/>
      <c r="G8" s="2239"/>
      <c r="H8" s="2239"/>
      <c r="I8" s="1395"/>
      <c r="J8" s="1395"/>
      <c r="K8" s="1395"/>
      <c r="L8" s="1395"/>
      <c r="M8" s="1395"/>
      <c r="N8" s="1395"/>
      <c r="O8" s="1395"/>
      <c r="P8" s="1395"/>
    </row>
    <row r="9" spans="1:16">
      <c r="A9" s="2240"/>
      <c r="B9" s="2241"/>
      <c r="C9" s="48" t="s">
        <v>1925</v>
      </c>
      <c r="D9" s="48">
        <f t="shared" si="0"/>
        <v>0</v>
      </c>
      <c r="E9" s="52">
        <v>0</v>
      </c>
      <c r="F9" s="1395"/>
      <c r="G9" s="2239"/>
      <c r="H9" s="2239"/>
      <c r="I9" s="1395"/>
      <c r="J9" s="1395"/>
      <c r="K9" s="1395"/>
      <c r="L9" s="1395"/>
      <c r="M9" s="1395"/>
      <c r="N9" s="1395"/>
      <c r="O9" s="1395"/>
      <c r="P9" s="1395"/>
    </row>
    <row r="10" spans="1:16">
      <c r="A10" s="2240"/>
      <c r="B10" s="2241"/>
      <c r="C10" s="48" t="s">
        <v>1934</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1926</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1927</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1928</v>
      </c>
      <c r="D13" s="48">
        <f t="shared" si="0"/>
        <v>5524.71</v>
      </c>
      <c r="E13" s="51">
        <f>SUMPRODUCT(('数据-基础表'!BB10:BK10="地下")*('数据-基础表'!BB11:BK11="车库")*('数据-基础表'!BB5:BK5))</f>
        <v>12304.83</v>
      </c>
      <c r="F13" s="1395"/>
      <c r="G13" s="2239"/>
      <c r="H13" s="2239"/>
      <c r="I13" s="1395"/>
      <c r="J13" s="1395"/>
      <c r="K13" s="1395"/>
      <c r="L13" s="1395"/>
      <c r="M13" s="1395"/>
      <c r="N13" s="1395"/>
      <c r="O13" s="1395"/>
      <c r="P13" s="1395"/>
    </row>
    <row r="14" spans="1:16">
      <c r="A14" s="2240"/>
      <c r="B14" s="2241"/>
      <c r="C14" s="48" t="s">
        <v>1940</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1935</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1929</v>
      </c>
      <c r="D16" s="50">
        <f>SUM(D8:D15)</f>
        <v>31510.77</v>
      </c>
      <c r="E16" s="53">
        <f>SUM(E8:E15)</f>
        <v>70181.87</v>
      </c>
      <c r="F16" s="1395"/>
      <c r="G16" s="2239"/>
      <c r="H16" s="2242" t="s">
        <v>1941</v>
      </c>
      <c r="I16" s="2243"/>
      <c r="J16" s="1395"/>
      <c r="K16" s="3031" t="s">
        <v>1941</v>
      </c>
      <c r="L16" s="3032"/>
      <c r="M16" s="3032"/>
      <c r="N16" s="3032"/>
      <c r="O16" s="3032"/>
      <c r="P16" s="3033"/>
    </row>
    <row r="17" spans="1:19" ht="15">
      <c r="A17" s="2244" t="s">
        <v>1942</v>
      </c>
      <c r="B17" s="2245" t="s">
        <v>1943</v>
      </c>
      <c r="C17" s="2246" t="s">
        <v>1944</v>
      </c>
      <c r="D17" s="2247" t="s">
        <v>1932</v>
      </c>
      <c r="E17" s="2248" t="s">
        <v>1933</v>
      </c>
      <c r="F17" s="2249"/>
      <c r="G17" s="2250"/>
      <c r="H17" s="2251" t="s">
        <v>1945</v>
      </c>
      <c r="I17" s="2252" t="s">
        <v>1930</v>
      </c>
      <c r="J17" s="1395"/>
      <c r="K17" s="3028" t="s">
        <v>1946</v>
      </c>
      <c r="L17" s="3029"/>
      <c r="M17" s="3030"/>
      <c r="N17" s="3028" t="s">
        <v>1947</v>
      </c>
      <c r="O17" s="3029"/>
      <c r="P17" s="3030"/>
      <c r="R17" s="2230" t="s">
        <v>1948</v>
      </c>
      <c r="S17" s="64"/>
    </row>
    <row r="18" spans="1:19" ht="15">
      <c r="A18" s="2240"/>
      <c r="B18" s="2253"/>
      <c r="C18" s="2254"/>
      <c r="D18" s="2255"/>
      <c r="E18" s="2256" t="s">
        <v>1949</v>
      </c>
      <c r="F18" s="2257" t="s">
        <v>1950</v>
      </c>
      <c r="G18" s="2258" t="s">
        <v>1951</v>
      </c>
      <c r="H18" s="1265" t="s">
        <v>1952</v>
      </c>
      <c r="I18" s="2259" t="s">
        <v>1953</v>
      </c>
      <c r="J18" s="1395"/>
      <c r="K18" s="1265" t="s">
        <v>1954</v>
      </c>
      <c r="L18" s="2260" t="s">
        <v>1955</v>
      </c>
      <c r="M18" s="1049" t="s">
        <v>1956</v>
      </c>
      <c r="N18" s="1265" t="s">
        <v>1954</v>
      </c>
      <c r="O18" s="2260" t="s">
        <v>1955</v>
      </c>
      <c r="P18" s="1049" t="s">
        <v>1956</v>
      </c>
      <c r="R18" s="1250" t="s">
        <v>1957</v>
      </c>
      <c r="S18" s="1250" t="s">
        <v>1958</v>
      </c>
    </row>
    <row r="19" spans="1:19">
      <c r="A19" s="2261"/>
      <c r="B19" s="50" t="s">
        <v>1931</v>
      </c>
      <c r="C19" s="3287" t="s">
        <v>3080</v>
      </c>
      <c r="D19" s="48">
        <f>ROUND($D$3*E19/$E$3,2)</f>
        <v>31510.77</v>
      </c>
      <c r="E19" s="56">
        <f t="shared" ref="E19:E26" si="1">SUM(F19:G19)</f>
        <v>70181.87</v>
      </c>
      <c r="F19" s="57">
        <f>'数据-基础表'!I13</f>
        <v>57877.039999999994</v>
      </c>
      <c r="G19" s="58">
        <f>'数据-基础表'!K13</f>
        <v>12304.83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31510.77</v>
      </c>
      <c r="S19" s="1251">
        <f t="shared" si="5"/>
        <v>70181.87</v>
      </c>
    </row>
    <row r="20" spans="1:19">
      <c r="A20" s="2265"/>
      <c r="B20" s="50" t="s">
        <v>1959</v>
      </c>
      <c r="C20" s="3287" t="s">
        <v>3081</v>
      </c>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1959</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1960</v>
      </c>
      <c r="D27" s="1396">
        <f>SUM(D19:D26)</f>
        <v>31510.77</v>
      </c>
      <c r="E27" s="1397">
        <f>IF(SUM(E19:E26)='数据-基础表'!BA5,SUM(E19:E26),IF(F27="地上面积有误","面积有误","地下面积有误"))</f>
        <v>70181.87</v>
      </c>
      <c r="F27" s="1396">
        <f>IF(SUM(F19:F26)=E8,SUM(F19:F26),"地上面积有误")</f>
        <v>57877.039999999994</v>
      </c>
      <c r="G27" s="1398">
        <f>SUM(G19:G26)</f>
        <v>12304.83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31510.77</v>
      </c>
      <c r="S27" s="1250">
        <f>IF(SUM(S19:S26)=$E$3,SUM(S19:S26),SUM(S19:S26)&amp;"误差"&amp;ROUND(SUM(S19:S26)-E3,2))</f>
        <v>70181.87</v>
      </c>
    </row>
    <row r="28" spans="1:19">
      <c r="A28" s="2265"/>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1961</v>
      </c>
      <c r="C29" s="2269"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1964</v>
      </c>
      <c r="D31" s="729">
        <f>D27+D30</f>
        <v>31510.77</v>
      </c>
      <c r="E31" s="729">
        <f>E27+E30</f>
        <v>70181.87</v>
      </c>
      <c r="F31" s="730">
        <f>F27+F30</f>
        <v>57877.039999999994</v>
      </c>
      <c r="G31" s="731">
        <f>G27+G30</f>
        <v>12304.83</v>
      </c>
      <c r="H31" s="1395"/>
      <c r="I31" s="1395"/>
      <c r="J31" s="1395"/>
      <c r="K31" s="1395"/>
      <c r="L31" s="1395"/>
      <c r="M31" s="1395"/>
      <c r="N31" s="1395"/>
      <c r="O31" s="1395"/>
      <c r="P31" s="1395"/>
    </row>
    <row r="32" spans="1:19">
      <c r="A32" s="2235"/>
      <c r="B32" s="2235" t="s">
        <v>1965</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3" width="7.25" style="2277" customWidth="1"/>
    <col min="34" max="34" width="9.6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1966</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1967</v>
      </c>
      <c r="B2" s="1269">
        <f>项目基本情况!D3</f>
        <v>43157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1968</v>
      </c>
      <c r="B4" s="2283"/>
      <c r="C4" s="2284"/>
      <c r="D4" s="2285"/>
      <c r="E4" s="2284" t="s">
        <v>1969</v>
      </c>
      <c r="F4" s="2284"/>
      <c r="G4" s="2284"/>
      <c r="H4" s="2284"/>
      <c r="I4" s="2284"/>
      <c r="J4" s="2286"/>
      <c r="K4" s="2287"/>
      <c r="L4" s="2288"/>
      <c r="M4" s="2284"/>
      <c r="N4" s="2284" t="s">
        <v>1970</v>
      </c>
      <c r="O4" s="2284"/>
      <c r="P4" s="2284"/>
      <c r="Q4" s="2284"/>
      <c r="R4" s="2284"/>
      <c r="S4" s="2286"/>
      <c r="T4" s="2289" t="str">
        <f>'数据-汇总表'!I17</f>
        <v>按面积比例</v>
      </c>
      <c r="U4" s="2283" t="s">
        <v>1971</v>
      </c>
      <c r="V4" s="2284"/>
      <c r="W4" s="2284"/>
      <c r="X4" s="2284"/>
      <c r="Y4" s="2286"/>
      <c r="Z4" s="2246" t="s">
        <v>1972</v>
      </c>
      <c r="AA4" s="2246"/>
      <c r="AB4" s="2246"/>
      <c r="AC4" s="2246"/>
      <c r="AD4" s="2246"/>
      <c r="AE4" s="2244" t="s">
        <v>1973</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1974</v>
      </c>
      <c r="B5" s="2292" t="s">
        <v>1975</v>
      </c>
      <c r="C5" s="2293" t="s">
        <v>1976</v>
      </c>
      <c r="D5" s="2294" t="s">
        <v>1977</v>
      </c>
      <c r="E5" s="1271" t="s">
        <v>1978</v>
      </c>
      <c r="F5" s="2295" t="s">
        <v>1979</v>
      </c>
      <c r="G5" s="1271" t="s">
        <v>1980</v>
      </c>
      <c r="H5" s="1271" t="s">
        <v>1981</v>
      </c>
      <c r="I5" s="1271" t="s">
        <v>1982</v>
      </c>
      <c r="J5" s="2296" t="s">
        <v>1983</v>
      </c>
      <c r="K5" s="2297" t="s">
        <v>1984</v>
      </c>
      <c r="L5" s="2298" t="s">
        <v>1985</v>
      </c>
      <c r="M5" s="2299" t="s">
        <v>1986</v>
      </c>
      <c r="N5" s="2300" t="s">
        <v>3082</v>
      </c>
      <c r="O5" s="2298" t="s">
        <v>1987</v>
      </c>
      <c r="P5" s="2301" t="s">
        <v>1988</v>
      </c>
      <c r="Q5" s="69" t="s">
        <v>1989</v>
      </c>
      <c r="R5" s="2302" t="s">
        <v>1990</v>
      </c>
      <c r="S5" s="2303" t="s">
        <v>1991</v>
      </c>
      <c r="T5" s="2304" t="s">
        <v>1992</v>
      </c>
      <c r="U5" s="1270" t="s">
        <v>1993</v>
      </c>
      <c r="V5" s="1271" t="s">
        <v>1994</v>
      </c>
      <c r="W5" s="1271" t="s">
        <v>1995</v>
      </c>
      <c r="X5" s="71"/>
      <c r="Y5" s="70" t="s">
        <v>1996</v>
      </c>
      <c r="Z5" s="2305" t="s">
        <v>1993</v>
      </c>
      <c r="AA5" s="1271" t="s">
        <v>1994</v>
      </c>
      <c r="AB5" s="1271" t="s">
        <v>1995</v>
      </c>
      <c r="AC5" s="71"/>
      <c r="AD5" s="71" t="s">
        <v>1996</v>
      </c>
      <c r="AE5" s="1270" t="s">
        <v>1997</v>
      </c>
      <c r="AF5" s="1271" t="s">
        <v>1998</v>
      </c>
      <c r="AG5" s="70" t="s">
        <v>1999</v>
      </c>
      <c r="AH5" s="1270" t="s">
        <v>2000</v>
      </c>
      <c r="AI5" s="2305" t="s">
        <v>2001</v>
      </c>
      <c r="AJ5" s="2305" t="s">
        <v>2002</v>
      </c>
      <c r="AK5" s="1271" t="s">
        <v>2003</v>
      </c>
      <c r="AL5" s="1271" t="s">
        <v>2004</v>
      </c>
      <c r="AM5" s="70" t="s">
        <v>2005</v>
      </c>
      <c r="AN5" s="2306" t="s">
        <v>2006</v>
      </c>
      <c r="AO5" s="2076" t="s">
        <v>2007</v>
      </c>
      <c r="AP5" s="1252" t="s">
        <v>2008</v>
      </c>
      <c r="AQ5" s="2307" t="s">
        <v>2009</v>
      </c>
      <c r="AR5" s="2307"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1376</v>
      </c>
      <c r="D6" s="1054">
        <f>SUMIF(项目基本情况!D$12:I$12,C6,项目基本情况!D$14:I$14)</f>
        <v>0</v>
      </c>
      <c r="E6" s="1051">
        <f>IF(B6="","",SUMIF(项目基本情况!D$12:I$12,C6,项目基本情况!D$13:I$13))</f>
        <v>53920</v>
      </c>
      <c r="F6" s="72">
        <f>SUMIF(项目基本情况!D$12:I$12,C6,项目基本情况!D$15:I$15)</f>
        <v>29.48</v>
      </c>
      <c r="G6" s="73">
        <f>IF(ISERROR(ROUND(POWER(1+H6,D6-F6)*(POWER(1+H6,F6)-1)/(POWER(1+H6,D6)-1),3)),0,ROUND(POWER(1+H6,D6-F6)*(POWER(1+H6,F6)-1)/(POWER(1+H6,D6)-1),3))</f>
        <v>0</v>
      </c>
      <c r="H6" s="802">
        <v>0.05</v>
      </c>
      <c r="I6" s="802">
        <v>0.06</v>
      </c>
      <c r="J6" s="74">
        <v>0.08</v>
      </c>
      <c r="K6" s="1254">
        <f>SUMIF('数据-汇总表'!C$19:C$33,A6,'数据-汇总表'!E$19:E$33)</f>
        <v>70181.87</v>
      </c>
      <c r="L6" s="803">
        <v>3500</v>
      </c>
      <c r="M6" s="75">
        <f t="shared" ref="M6:M14" si="0">ROUND(K6*L6/10000,0)</f>
        <v>24564</v>
      </c>
      <c r="N6" s="801">
        <f>面积表!E14</f>
        <v>0.79</v>
      </c>
      <c r="O6" s="75" t="str">
        <f>IF($N$5="成新度","——",ROUND(M6*N6,0))</f>
        <v>——</v>
      </c>
      <c r="P6" s="76" t="str">
        <f>IF($N$5="成新度","——",M6-O6)</f>
        <v>——</v>
      </c>
      <c r="Q6" s="804">
        <v>0.25</v>
      </c>
      <c r="R6" s="77">
        <f ca="1">SUMIF('数据-汇总表'!C$19:C$33,A6,'数据-汇总表'!R$19:R$27)</f>
        <v>31510.77</v>
      </c>
      <c r="S6" s="54">
        <f>IF('数据-汇总表'!$I$17="按面积比例",SUMIF('数据-汇总表'!C$19:C$33,A6,'数据-汇总表'!K$19:K$33),SUMIF('数据-汇总表'!C$19:C$33,A6,'数据-汇总表'!N$19:N$33))</f>
        <v>0</v>
      </c>
      <c r="T6" s="1446">
        <f>ROUND($L$14*S6/10000,0)</f>
        <v>0</v>
      </c>
      <c r="U6" s="78">
        <v>7.5</v>
      </c>
      <c r="V6" s="79">
        <v>0.03</v>
      </c>
      <c r="W6" s="79">
        <v>0.1</v>
      </c>
      <c r="X6" s="1264"/>
      <c r="Y6" s="80">
        <f>N6</f>
        <v>0.79</v>
      </c>
      <c r="Z6" s="81"/>
      <c r="AA6" s="74"/>
      <c r="AB6" s="74"/>
      <c r="AC6" s="1264"/>
      <c r="AD6" s="82"/>
      <c r="AE6" s="1265">
        <f ca="1">IF(AN6="",0,SUMIF(INDIRECT("'"&amp;AN6&amp;"'"&amp;"!E:E"),$AE$5,INDIRECT("'"&amp;AN6&amp;"'"&amp;"!F:F")))</f>
        <v>29.48</v>
      </c>
      <c r="AF6" s="1807"/>
      <c r="AG6" s="147">
        <f>IF(AF6="",0,AE6-AF6)</f>
        <v>0</v>
      </c>
      <c r="AH6" s="3434">
        <f>K6</f>
        <v>70181.87</v>
      </c>
      <c r="AI6" s="85">
        <v>365</v>
      </c>
      <c r="AJ6" s="86"/>
      <c r="AK6" s="87">
        <v>1.4999999999999999E-2</v>
      </c>
      <c r="AL6" s="88">
        <v>1.5E-3</v>
      </c>
      <c r="AM6" s="89">
        <v>0.02</v>
      </c>
      <c r="AN6" s="2311" t="s">
        <v>5245</v>
      </c>
      <c r="AO6" s="55">
        <f ca="1">SUMIF(INDIRECT("'"&amp;AN6&amp;"'"&amp;"!A:A"),"总价",INDIRECT("'"&amp;AN6&amp;"'"&amp;"!B:B"))</f>
        <v>286144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3079</v>
      </c>
      <c r="D7" s="1054">
        <f>SUMIF(项目基本情况!D$12:I$12,C7,项目基本情况!D$14:I$14)</f>
        <v>0</v>
      </c>
      <c r="E7" s="1051">
        <f>IF(B7="","",SUMIF(项目基本情况!D$12:I$12,C7,项目基本情况!D$13:I$13))</f>
        <v>57573</v>
      </c>
      <c r="F7" s="72">
        <f>SUMIF(项目基本情况!D$12:I$12,C7,项目基本情况!D$15:I$15)</f>
        <v>39.49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2011</v>
      </c>
      <c r="B14" s="2309" t="s">
        <v>2012</v>
      </c>
      <c r="C14" s="2314"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2013</v>
      </c>
      <c r="B15" s="2309" t="s">
        <v>2012</v>
      </c>
      <c r="C15" s="2314"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2015</v>
      </c>
      <c r="B16" s="97"/>
      <c r="C16" s="1008"/>
      <c r="D16" s="2316"/>
      <c r="E16" s="97"/>
      <c r="F16" s="97"/>
      <c r="G16" s="98" t="e">
        <f>ROUND(SUMPRODUCT(G6:G13,K6:K13)/SUMPRODUCT((G6:G13&gt;0)*(K6:K13)),3)</f>
        <v>#DIV/0!</v>
      </c>
      <c r="H16" s="99">
        <f>ROUND(SUMPRODUCT(H6:H13,K6:K13)/SUMPRODUCT((H6:H13&gt;0)*(K6:K13)),3)</f>
        <v>0.05</v>
      </c>
      <c r="I16" s="100"/>
      <c r="J16" s="100"/>
      <c r="K16" s="101">
        <f>SUM(K6:K15)</f>
        <v>70181.87</v>
      </c>
      <c r="L16" s="102">
        <f>ROUND(M16*10000/SUM(K6:K14),0)</f>
        <v>3500</v>
      </c>
      <c r="M16" s="102">
        <f>SUM(M6:M14)</f>
        <v>24564</v>
      </c>
      <c r="N16" s="103">
        <f>ROUND(SUMPRODUCT(M6:M14,N6:N14)/M16,3)</f>
        <v>0.79</v>
      </c>
      <c r="O16" s="102">
        <f>SUM(O6:O14)</f>
        <v>0</v>
      </c>
      <c r="P16" s="102">
        <f>SUM(P6:P14)</f>
        <v>0</v>
      </c>
      <c r="Q16" s="104">
        <f>ROUND(SUMPRODUCT(Q6:Q13,K6:K13)/SUMPRODUCT((Q6:Q13&gt;0)*(K6:K13)),2)</f>
        <v>0.25</v>
      </c>
      <c r="R16" s="1258">
        <f ca="1">SUM(R6:R13)</f>
        <v>31510.77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2017</v>
      </c>
      <c r="B19" s="112"/>
      <c r="C19" s="2279" t="s">
        <v>2018</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2019</v>
      </c>
      <c r="B20" s="113">
        <v>2</v>
      </c>
      <c r="C20" s="2279" t="s">
        <v>2020</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2021</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2022</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2023</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2024</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2025</v>
      </c>
      <c r="B26" s="2322" t="s">
        <v>2026</v>
      </c>
      <c r="C26" s="2323" t="s">
        <v>2027</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2028</v>
      </c>
      <c r="B27" s="116"/>
      <c r="C27" s="1767" t="s">
        <v>2029</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2030</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2031</v>
      </c>
      <c r="B29" s="121">
        <f>ROUND(B28*K16/10000,0)</f>
        <v>1404</v>
      </c>
      <c r="C29" s="1767" t="s">
        <v>2032</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2033</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2034</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2035</v>
      </c>
      <c r="B32" s="725"/>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2036</v>
      </c>
      <c r="B33" s="726">
        <v>0.05</v>
      </c>
      <c r="C33" s="1766" t="s">
        <v>2037</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2038</v>
      </c>
      <c r="B34" s="122"/>
      <c r="C34" s="1766" t="s">
        <v>2039</v>
      </c>
      <c r="D34" s="2280" t="s">
        <v>2040</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2041</v>
      </c>
      <c r="B35" s="119">
        <f>B30</f>
        <v>200</v>
      </c>
      <c r="C35" s="1766" t="s">
        <v>2042</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2043</v>
      </c>
      <c r="B36" s="123">
        <v>1.4999999999999999E-2</v>
      </c>
      <c r="C36" s="1766" t="s">
        <v>2044</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2045</v>
      </c>
      <c r="B37" s="124">
        <v>0.02</v>
      </c>
      <c r="C37" s="1766" t="s">
        <v>2046</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2047</v>
      </c>
      <c r="B38" s="122">
        <v>0.02</v>
      </c>
      <c r="C38" s="1766" t="s">
        <v>2046</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2048</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2049</v>
      </c>
      <c r="B40" s="1303">
        <f ca="1">存贷款利率!G1</f>
        <v>4.7500000000000001E-2</v>
      </c>
      <c r="C40" s="1766" t="s">
        <v>2050</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2051</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2052</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2053</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2054</v>
      </c>
      <c r="B44" s="128">
        <v>7.0000000000000007E-2</v>
      </c>
      <c r="C44" s="1766" t="s">
        <v>2055</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2056</v>
      </c>
      <c r="B45" s="126">
        <v>0.03</v>
      </c>
      <c r="C45" s="1767" t="s">
        <v>2057</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2058</v>
      </c>
      <c r="B46" s="126">
        <v>0.02</v>
      </c>
      <c r="C46" s="1767" t="s">
        <v>2059</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2060</v>
      </c>
      <c r="B47" s="129"/>
      <c r="C47" s="1767" t="s">
        <v>2061</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2062</v>
      </c>
      <c r="B48" s="130">
        <v>0.03</v>
      </c>
      <c r="C48" s="1774" t="s">
        <v>2063</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2064</v>
      </c>
      <c r="B49" s="126">
        <v>5.0000000000000001E-4</v>
      </c>
      <c r="C49" s="1774" t="s">
        <v>2065</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2066</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2067</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2068</v>
      </c>
      <c r="B52" s="133">
        <f>SUMIF(A54:A63,B53,B54:B63)</f>
        <v>12</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2069</v>
      </c>
      <c r="B53" s="2338" t="s">
        <v>137</v>
      </c>
      <c r="C53" s="1430" t="s">
        <v>2070</v>
      </c>
      <c r="D53" s="2339" t="s">
        <v>2071</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2072</v>
      </c>
      <c r="B54" s="84">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2073</v>
      </c>
      <c r="B55" s="84">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2074</v>
      </c>
      <c r="B56" s="84">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2075</v>
      </c>
      <c r="B57" s="84">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2076</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2077</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2078</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2079</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2080</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2081</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3" t="s">
        <v>2082</v>
      </c>
      <c r="B1" s="3044"/>
      <c r="C1" s="3044"/>
      <c r="D1" s="3044"/>
      <c r="E1" s="3044"/>
      <c r="F1" s="3044"/>
      <c r="G1" s="304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2083</v>
      </c>
      <c r="D2" s="2368"/>
      <c r="E2" s="2369"/>
      <c r="F2" s="2288"/>
      <c r="G2" s="2367" t="s">
        <v>2084</v>
      </c>
      <c r="H2" s="2370"/>
      <c r="I2" s="2370"/>
      <c r="J2" s="2370"/>
      <c r="K2" s="2370"/>
      <c r="L2" s="2370"/>
      <c r="M2" s="2370"/>
      <c r="N2" s="2370"/>
      <c r="O2" s="2370"/>
      <c r="P2" s="2370"/>
      <c r="Q2" s="2370"/>
      <c r="R2" s="2370"/>
    </row>
    <row r="3" spans="1:29" ht="42.75">
      <c r="A3" s="415" t="s">
        <v>2085</v>
      </c>
      <c r="B3" s="1271" t="s">
        <v>2086</v>
      </c>
      <c r="C3" s="2372"/>
      <c r="D3" s="2373"/>
      <c r="E3" s="431" t="s">
        <v>2085</v>
      </c>
      <c r="F3" s="2374" t="s">
        <v>2087</v>
      </c>
      <c r="G3" s="2375" t="s">
        <v>2088</v>
      </c>
      <c r="H3" s="2370"/>
      <c r="I3" s="2370"/>
      <c r="J3" s="2370"/>
      <c r="K3" s="2370"/>
      <c r="L3" s="2370"/>
      <c r="M3" s="2370"/>
      <c r="N3" s="2370"/>
      <c r="O3" s="2370"/>
      <c r="P3" s="2370"/>
      <c r="Q3" s="2370"/>
      <c r="R3" s="2370"/>
    </row>
    <row r="4" spans="1:29" ht="41.25">
      <c r="A4" s="431"/>
      <c r="B4" s="1798" t="s">
        <v>2089</v>
      </c>
      <c r="C4" s="2376" t="s">
        <v>3090</v>
      </c>
      <c r="D4" s="2373"/>
      <c r="E4" s="2377"/>
      <c r="F4" s="42" t="s">
        <v>2090</v>
      </c>
      <c r="G4" s="2378" t="s">
        <v>2091</v>
      </c>
      <c r="H4" s="2370"/>
      <c r="I4" s="2370"/>
      <c r="J4" s="2370"/>
      <c r="K4" s="2370"/>
      <c r="L4" s="2370"/>
      <c r="M4" s="2370"/>
      <c r="N4" s="2370"/>
      <c r="O4" s="2370"/>
      <c r="P4" s="2370"/>
      <c r="Q4" s="2370"/>
      <c r="R4" s="2370"/>
    </row>
    <row r="5" spans="1:29" ht="27">
      <c r="A5" s="431"/>
      <c r="B5" s="1798" t="s">
        <v>2092</v>
      </c>
      <c r="C5" s="2376"/>
      <c r="D5" s="2373"/>
      <c r="E5" s="2377"/>
      <c r="F5" s="1798" t="s">
        <v>2093</v>
      </c>
      <c r="G5" s="2378" t="s">
        <v>2094</v>
      </c>
      <c r="H5" s="2370"/>
      <c r="I5" s="2370"/>
      <c r="J5" s="2370"/>
      <c r="K5" s="2370"/>
      <c r="L5" s="2370"/>
      <c r="M5" s="2370"/>
      <c r="N5" s="2370"/>
      <c r="O5" s="2370"/>
      <c r="P5" s="2370"/>
      <c r="Q5" s="2370"/>
      <c r="R5" s="2370"/>
    </row>
    <row r="6" spans="1:29" ht="54">
      <c r="A6" s="431"/>
      <c r="B6" s="1798" t="s">
        <v>2095</v>
      </c>
      <c r="C6" s="2378" t="s">
        <v>2091</v>
      </c>
      <c r="D6" s="2373"/>
      <c r="E6" s="2377"/>
      <c r="F6" s="1798" t="s">
        <v>2096</v>
      </c>
      <c r="G6" s="2378" t="s">
        <v>2097</v>
      </c>
      <c r="H6" s="2370"/>
      <c r="I6" s="2370"/>
      <c r="J6" s="2370"/>
      <c r="K6" s="2370"/>
      <c r="L6" s="2370"/>
      <c r="M6" s="2370"/>
      <c r="N6" s="2370"/>
      <c r="O6" s="2370"/>
      <c r="P6" s="2370"/>
      <c r="Q6" s="2370"/>
      <c r="R6" s="2370"/>
    </row>
    <row r="7" spans="1:29" ht="41.25" thickBot="1">
      <c r="A7" s="431"/>
      <c r="B7" s="1798" t="s">
        <v>2093</v>
      </c>
      <c r="C7" s="3292" t="s">
        <v>3091</v>
      </c>
      <c r="D7" s="2379"/>
      <c r="E7" s="2380"/>
      <c r="F7" s="2381" t="s">
        <v>2098</v>
      </c>
      <c r="G7" s="2382" t="s">
        <v>2099</v>
      </c>
      <c r="H7" s="2370"/>
      <c r="I7" s="2370"/>
      <c r="J7" s="2370"/>
      <c r="K7" s="2370"/>
      <c r="L7" s="2370"/>
      <c r="M7" s="2370"/>
      <c r="N7" s="2370"/>
      <c r="O7" s="2370"/>
      <c r="P7" s="2370"/>
      <c r="Q7" s="2370"/>
      <c r="R7" s="2370"/>
    </row>
    <row r="8" spans="1:29" ht="15">
      <c r="A8" s="431"/>
      <c r="B8" s="1798" t="s">
        <v>2096</v>
      </c>
      <c r="C8" s="3292" t="s">
        <v>3092</v>
      </c>
      <c r="D8" s="2379"/>
      <c r="E8" s="2379"/>
      <c r="F8" s="1136"/>
      <c r="G8" s="1136"/>
      <c r="H8" s="2370"/>
      <c r="I8" s="2370"/>
      <c r="J8" s="2370"/>
      <c r="K8" s="2370"/>
      <c r="L8" s="2370"/>
      <c r="M8" s="2370"/>
      <c r="N8" s="2370"/>
      <c r="O8" s="2370"/>
      <c r="P8" s="2370"/>
      <c r="Q8" s="2370"/>
      <c r="R8" s="2370"/>
    </row>
    <row r="9" spans="1:29" ht="40.5">
      <c r="A9" s="431"/>
      <c r="B9" s="1798" t="s">
        <v>2100</v>
      </c>
      <c r="C9" s="3293" t="s">
        <v>3093</v>
      </c>
      <c r="D9" s="2373"/>
      <c r="E9" s="2379"/>
      <c r="F9" s="1136"/>
      <c r="G9" s="1136"/>
      <c r="H9" s="2370"/>
      <c r="I9" s="2370"/>
      <c r="J9" s="2370"/>
      <c r="K9" s="2370"/>
      <c r="L9" s="2370"/>
      <c r="M9" s="2370"/>
      <c r="N9" s="2370"/>
      <c r="O9" s="2370"/>
      <c r="P9" s="2370"/>
      <c r="Q9" s="2370"/>
      <c r="R9" s="2370"/>
    </row>
    <row r="10" spans="1:29" s="117" customFormat="1" ht="15.75" thickBot="1">
      <c r="A10" s="2383"/>
      <c r="B10" s="2384" t="s">
        <v>2101</v>
      </c>
      <c r="C10" s="2385" t="s">
        <v>3094</v>
      </c>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2102</v>
      </c>
      <c r="B13" s="2390"/>
      <c r="C13" s="2390"/>
      <c r="D13" s="2397"/>
      <c r="E13" s="2390"/>
      <c r="F13" s="2390"/>
      <c r="G13" s="2390"/>
    </row>
    <row r="14" spans="1:29" ht="15.75" thickBot="1">
      <c r="A14" s="2401"/>
      <c r="B14" s="2402"/>
      <c r="C14" s="2403" t="s">
        <v>2103</v>
      </c>
      <c r="D14" s="2373"/>
      <c r="E14" s="2404"/>
      <c r="F14" s="2404"/>
      <c r="G14" s="2367" t="s">
        <v>2104</v>
      </c>
    </row>
    <row r="15" spans="1:29" ht="57">
      <c r="A15" s="68" t="s">
        <v>2105</v>
      </c>
      <c r="B15" s="1270" t="s">
        <v>2086</v>
      </c>
      <c r="C15" s="2405">
        <f>C3</f>
        <v>0</v>
      </c>
      <c r="D15" s="2373"/>
      <c r="E15" s="2406" t="s">
        <v>2106</v>
      </c>
      <c r="F15" s="1270" t="s">
        <v>2107</v>
      </c>
      <c r="G15" s="135" t="str">
        <f>G3</f>
        <v>估价对象位于XX开发区，园区建设成熟度XX，产业集聚程度XX</v>
      </c>
    </row>
    <row r="16" spans="1:29" ht="42.75">
      <c r="A16" s="645"/>
      <c r="B16" s="2407" t="s">
        <v>2089</v>
      </c>
      <c r="C16" s="2408" t="str">
        <f>C4</f>
        <v>估价对象位于XX商圈，周边商业氛围成熟，人流量大，商业繁华度一般</v>
      </c>
      <c r="D16" s="2373"/>
      <c r="E16" s="2409"/>
      <c r="F16" s="2410" t="s">
        <v>2090</v>
      </c>
      <c r="G16" s="136" t="str">
        <f>G4</f>
        <v>估价对象周边道路状况、公共交通通达情况、停车便捷程度，综合评价交通便捷度较好</v>
      </c>
    </row>
    <row r="17" spans="1:18" ht="42.75">
      <c r="A17" s="645"/>
      <c r="B17" s="2407" t="s">
        <v>2092</v>
      </c>
      <c r="C17" s="2408">
        <f>C5</f>
        <v>0</v>
      </c>
      <c r="D17" s="2379"/>
      <c r="E17" s="2409"/>
      <c r="F17" s="2410" t="s">
        <v>2108</v>
      </c>
      <c r="G17" s="1572"/>
    </row>
    <row r="18" spans="1:18" ht="57">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5"/>
      <c r="B19" s="2410" t="s">
        <v>2109</v>
      </c>
      <c r="C19" s="1572"/>
      <c r="D19" s="2373"/>
      <c r="E19" s="2409"/>
      <c r="F19" s="1798" t="s">
        <v>2093</v>
      </c>
      <c r="G19" s="136" t="str">
        <f>G5</f>
        <v>估价对象所在区域公共配套设施齐备情况</v>
      </c>
    </row>
    <row r="20" spans="1:18" ht="28.5">
      <c r="A20" s="645"/>
      <c r="B20" s="2410" t="s">
        <v>2110</v>
      </c>
      <c r="C20" s="2408" t="str">
        <f>C9</f>
        <v>区域自然环境：天元公园；人文环境；综合评价环境状况一般</v>
      </c>
      <c r="D20" s="2379"/>
      <c r="E20" s="2409"/>
      <c r="F20" s="1798" t="s">
        <v>2111</v>
      </c>
      <c r="G20" s="136" t="str">
        <f>G6</f>
        <v>估价对象所在区域基础设施水平</v>
      </c>
    </row>
    <row r="21" spans="1:18" ht="28.5">
      <c r="A21" s="645"/>
      <c r="B21" s="1798" t="s">
        <v>2093</v>
      </c>
      <c r="C21" s="136" t="str">
        <f>C7</f>
        <v>估价对象所在区域公共配套设施齐备情况较好</v>
      </c>
      <c r="D21" s="2373"/>
      <c r="E21" s="2409"/>
      <c r="F21" s="2410" t="s">
        <v>2112</v>
      </c>
      <c r="G21" s="2411"/>
    </row>
    <row r="22" spans="1:18" ht="13.5" customHeight="1">
      <c r="A22" s="645"/>
      <c r="B22" s="1798" t="s">
        <v>2096</v>
      </c>
      <c r="C22" s="136" t="str">
        <f>C8</f>
        <v>六通</v>
      </c>
      <c r="D22" s="2373"/>
      <c r="E22" s="2409"/>
      <c r="F22" s="2410" t="s">
        <v>2101</v>
      </c>
      <c r="G22" s="1572"/>
    </row>
    <row r="23" spans="1:18" s="2370" customFormat="1" ht="15.75" thickBot="1">
      <c r="A23" s="645"/>
      <c r="B23" s="2410" t="s">
        <v>2112</v>
      </c>
      <c r="C23" s="2411"/>
      <c r="D23" s="2398"/>
      <c r="E23" s="2412"/>
      <c r="F23" s="2413" t="s">
        <v>2113</v>
      </c>
      <c r="G23" s="2414"/>
      <c r="H23" s="2398"/>
      <c r="I23" s="2399"/>
      <c r="J23" s="2398"/>
      <c r="K23" s="2398"/>
      <c r="L23" s="2399"/>
      <c r="M23" s="2398"/>
      <c r="N23" s="2398"/>
      <c r="O23" s="2399"/>
      <c r="P23" s="2398"/>
      <c r="Q23" s="2398"/>
      <c r="R23" s="2400"/>
    </row>
    <row r="24" spans="1:18" s="2370" customFormat="1" ht="15.75" thickBot="1">
      <c r="A24" s="2415"/>
      <c r="B24" s="2413" t="s">
        <v>2114</v>
      </c>
      <c r="C24" s="137" t="str">
        <f>C10</f>
        <v>快速路-西四环</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70181.87</v>
      </c>
      <c r="C1" s="1745"/>
      <c r="D1" s="1745"/>
      <c r="E1" s="1745"/>
      <c r="F1" s="1745"/>
      <c r="G1" s="1743"/>
    </row>
    <row r="2" spans="1:10" ht="16.5">
      <c r="A2" s="1746" t="s">
        <v>1352</v>
      </c>
      <c r="B2" s="1746">
        <f>SUM(C14:C23)</f>
        <v>31510.77</v>
      </c>
      <c r="C2" s="1745"/>
      <c r="D2" s="1745"/>
      <c r="E2" s="1745"/>
      <c r="F2" s="1745"/>
      <c r="G2" s="1743"/>
    </row>
    <row r="3" spans="1:10" ht="16.5">
      <c r="A3" s="1746" t="s">
        <v>1361</v>
      </c>
      <c r="B3" s="1747">
        <f>项目基本情况!D3</f>
        <v>43157</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248612</v>
      </c>
      <c r="C5" s="1746">
        <f ca="1">ROUND(B5*10000/$B$1,0)</f>
        <v>35424</v>
      </c>
      <c r="D5" s="1746">
        <f ca="1">ROUND(B5*10000/$B$2,0)</f>
        <v>78897</v>
      </c>
      <c r="E5" s="1745"/>
      <c r="F5" s="1743"/>
      <c r="G5" s="1743"/>
    </row>
    <row r="6" spans="1:10" ht="16.5">
      <c r="A6" s="1746" t="s">
        <v>1355</v>
      </c>
      <c r="B6" s="1746">
        <f>SUM(G14:G23)</f>
        <v>0</v>
      </c>
      <c r="C6" s="1746">
        <f>ROUND(B6*10000/$B$1,0)</f>
        <v>0</v>
      </c>
      <c r="D6" s="1746">
        <f>ROUND(B6*10000/$B$2,0)</f>
        <v>0</v>
      </c>
      <c r="E6" s="1745"/>
      <c r="F6" s="1743"/>
      <c r="G6" s="1743"/>
    </row>
    <row r="7" spans="1:10" ht="16.5">
      <c r="A7" s="1746" t="s">
        <v>1363</v>
      </c>
      <c r="B7" s="1746">
        <f ca="1">SUM(H14:H23)</f>
        <v>248612</v>
      </c>
      <c r="C7" s="1746">
        <f ca="1">ROUND(B7*10000/$B$1,0)</f>
        <v>35424</v>
      </c>
      <c r="D7" s="1746">
        <f ca="1">ROUND(B7*10000/$B$2,0)</f>
        <v>78897</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70181.87</v>
      </c>
      <c r="C14" s="1744">
        <f>结果表!C118</f>
        <v>31510.77</v>
      </c>
      <c r="D14" s="1744">
        <f ca="1">结果表!H118</f>
        <v>248612</v>
      </c>
      <c r="E14" s="1744">
        <f ca="1">ROUND(D14*10000/B14,0)</f>
        <v>35424</v>
      </c>
      <c r="F14" s="1744">
        <f ca="1">ROUND(D14*10000/C14,0)</f>
        <v>78897</v>
      </c>
      <c r="G14" s="1744" t="str">
        <f>结果表!D122</f>
        <v>——</v>
      </c>
      <c r="H14" s="1744">
        <f ca="1">结果表!D124</f>
        <v>248612</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8" zoomScaleNormal="100" zoomScaleSheetLayoutView="100" zoomScalePageLayoutView="80" workbookViewId="0">
      <selection activeCell="D119" sqref="D119:I1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2115</v>
      </c>
      <c r="B1" s="2421"/>
      <c r="C1" s="2422"/>
      <c r="D1" s="2421"/>
      <c r="E1" s="2421"/>
      <c r="F1" s="2423" t="s">
        <v>2116</v>
      </c>
      <c r="G1" s="2072" t="s">
        <v>3063</v>
      </c>
      <c r="H1" s="2424" t="str">
        <f>IF(G1="现房","——","估价对象范围")</f>
        <v>——</v>
      </c>
      <c r="I1" s="2425"/>
    </row>
    <row r="2" spans="1:12" ht="21.75" customHeight="1" thickBot="1">
      <c r="A2" s="3078" t="str">
        <f>项目基本情况!S2</f>
        <v>北京市丰台区西四环中路113号房地产</v>
      </c>
      <c r="B2" s="3079"/>
      <c r="C2" s="3079"/>
      <c r="D2" s="3079"/>
      <c r="E2" s="3079"/>
      <c r="F2" s="3079"/>
      <c r="G2" s="3079"/>
      <c r="H2" s="3079"/>
      <c r="I2" s="3080"/>
    </row>
    <row r="3" spans="1:12" ht="12.75">
      <c r="A3" s="3082" t="s">
        <v>2117</v>
      </c>
      <c r="B3" s="3083"/>
      <c r="C3" s="3083"/>
      <c r="D3" s="3083"/>
      <c r="E3" s="3083"/>
      <c r="F3" s="3083"/>
      <c r="G3" s="3083"/>
      <c r="H3" s="3083"/>
      <c r="I3" s="3083"/>
    </row>
    <row r="4" spans="1:12" ht="14.25">
      <c r="A4" s="2428" t="s">
        <v>2118</v>
      </c>
      <c r="B4" s="2429" t="s">
        <v>2119</v>
      </c>
      <c r="C4" s="2430" t="s">
        <v>5246</v>
      </c>
      <c r="D4" s="2430" t="s">
        <v>5245</v>
      </c>
      <c r="E4" s="3075" t="s">
        <v>2120</v>
      </c>
      <c r="F4" s="3076"/>
      <c r="G4" s="3076"/>
      <c r="H4" s="3076"/>
      <c r="I4" s="3084"/>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2121</v>
      </c>
      <c r="B5" s="2997">
        <v>25</v>
      </c>
      <c r="C5" s="3061"/>
      <c r="D5" s="3081"/>
      <c r="E5" s="140" t="s">
        <v>2122</v>
      </c>
      <c r="F5" s="2432"/>
      <c r="G5" s="2432"/>
      <c r="H5" s="2432"/>
      <c r="I5" s="1834"/>
    </row>
    <row r="6" spans="1:12" ht="12.75">
      <c r="A6" s="3058"/>
      <c r="B6" s="2997"/>
      <c r="C6" s="3062"/>
      <c r="D6" s="3081"/>
      <c r="E6" s="140" t="s">
        <v>2123</v>
      </c>
      <c r="F6" s="2432"/>
      <c r="G6" s="2432"/>
      <c r="H6" s="2432"/>
      <c r="I6" s="1834"/>
    </row>
    <row r="7" spans="1:12" ht="12.75">
      <c r="A7" s="3058"/>
      <c r="B7" s="2997"/>
      <c r="C7" s="3063"/>
      <c r="D7" s="3081"/>
      <c r="E7" s="140" t="s">
        <v>2124</v>
      </c>
      <c r="F7" s="2432"/>
      <c r="G7" s="2432"/>
      <c r="H7" s="2432"/>
      <c r="I7" s="1834"/>
    </row>
    <row r="8" spans="1:12" ht="12.75">
      <c r="A8" s="3058" t="s">
        <v>2125</v>
      </c>
      <c r="B8" s="2997">
        <v>15</v>
      </c>
      <c r="C8" s="3061"/>
      <c r="D8" s="3081"/>
      <c r="E8" s="140" t="s">
        <v>2126</v>
      </c>
      <c r="F8" s="2432"/>
      <c r="G8" s="2432"/>
      <c r="H8" s="2432"/>
      <c r="I8" s="1834"/>
    </row>
    <row r="9" spans="1:12" ht="12.75">
      <c r="A9" s="3058"/>
      <c r="B9" s="2997"/>
      <c r="C9" s="3063"/>
      <c r="D9" s="3081"/>
      <c r="E9" s="140" t="s">
        <v>2127</v>
      </c>
      <c r="F9" s="2432"/>
      <c r="G9" s="2432"/>
      <c r="H9" s="2432"/>
      <c r="I9" s="1834"/>
    </row>
    <row r="10" spans="1:12" ht="12.75">
      <c r="A10" s="3058" t="s">
        <v>2128</v>
      </c>
      <c r="B10" s="2997">
        <v>15</v>
      </c>
      <c r="C10" s="3061"/>
      <c r="D10" s="3081"/>
      <c r="E10" s="140" t="s">
        <v>2129</v>
      </c>
      <c r="F10" s="2432"/>
      <c r="G10" s="2432"/>
      <c r="H10" s="2432"/>
      <c r="I10" s="1834"/>
    </row>
    <row r="11" spans="1:12" ht="12.75">
      <c r="A11" s="3058"/>
      <c r="B11" s="2997"/>
      <c r="C11" s="3063"/>
      <c r="D11" s="3081"/>
      <c r="E11" s="140" t="s">
        <v>2130</v>
      </c>
      <c r="F11" s="2432"/>
      <c r="G11" s="2432"/>
      <c r="H11" s="2432"/>
      <c r="I11" s="1834"/>
    </row>
    <row r="12" spans="1:12" ht="12.75">
      <c r="A12" s="3058" t="s">
        <v>2131</v>
      </c>
      <c r="B12" s="2997">
        <v>15</v>
      </c>
      <c r="C12" s="3061"/>
      <c r="D12" s="3081"/>
      <c r="E12" s="140" t="s">
        <v>2132</v>
      </c>
      <c r="F12" s="2432"/>
      <c r="G12" s="2432"/>
      <c r="H12" s="2432"/>
      <c r="I12" s="1834"/>
    </row>
    <row r="13" spans="1:12" ht="12.75">
      <c r="A13" s="3058"/>
      <c r="B13" s="2997"/>
      <c r="C13" s="3063"/>
      <c r="D13" s="3081"/>
      <c r="E13" s="140" t="s">
        <v>2133</v>
      </c>
      <c r="F13" s="2432"/>
      <c r="G13" s="2432"/>
      <c r="H13" s="2432"/>
      <c r="I13" s="1834"/>
    </row>
    <row r="14" spans="1:12" ht="12.75">
      <c r="A14" s="3058" t="s">
        <v>2134</v>
      </c>
      <c r="B14" s="2997">
        <v>30</v>
      </c>
      <c r="C14" s="3061">
        <v>4</v>
      </c>
      <c r="D14" s="3081">
        <v>6</v>
      </c>
      <c r="E14" s="140" t="s">
        <v>2135</v>
      </c>
      <c r="F14" s="2432"/>
      <c r="G14" s="2432"/>
      <c r="H14" s="2432"/>
      <c r="I14" s="1834"/>
    </row>
    <row r="15" spans="1:12" ht="12.75">
      <c r="A15" s="3058"/>
      <c r="B15" s="2997"/>
      <c r="C15" s="3062"/>
      <c r="D15" s="3081"/>
      <c r="E15" s="140" t="s">
        <v>2136</v>
      </c>
      <c r="F15" s="2432"/>
      <c r="G15" s="2432"/>
      <c r="H15" s="2432"/>
      <c r="I15" s="1834"/>
    </row>
    <row r="16" spans="1:12" ht="12.75">
      <c r="A16" s="3058"/>
      <c r="B16" s="2997"/>
      <c r="C16" s="3063"/>
      <c r="D16" s="3081"/>
      <c r="E16" s="140" t="s">
        <v>2137</v>
      </c>
      <c r="F16" s="2432"/>
      <c r="G16" s="2432"/>
      <c r="H16" s="2432"/>
      <c r="I16" s="1834"/>
    </row>
    <row r="17" spans="1:35" ht="15">
      <c r="A17" s="2433" t="s">
        <v>2138</v>
      </c>
      <c r="B17" s="64"/>
      <c r="C17" s="141">
        <f>SUM(C5:C16)</f>
        <v>4</v>
      </c>
      <c r="D17" s="141">
        <f>SUM(D5:D16)</f>
        <v>6</v>
      </c>
      <c r="E17" s="138"/>
      <c r="F17" s="138"/>
      <c r="G17" s="138"/>
      <c r="H17" s="138"/>
      <c r="I17" s="138"/>
      <c r="K17" s="2431"/>
      <c r="L17" s="2434" t="s">
        <v>2139</v>
      </c>
      <c r="M17" s="2434" t="s">
        <v>2140</v>
      </c>
    </row>
    <row r="18" spans="1:35" ht="15.75" thickBot="1">
      <c r="A18" s="2435" t="s">
        <v>2141</v>
      </c>
      <c r="B18" s="2436"/>
      <c r="C18" s="142">
        <f>ROUND(C17/SUM(C17:D17),2)</f>
        <v>0.4</v>
      </c>
      <c r="D18" s="142">
        <f>1-C18</f>
        <v>0.6</v>
      </c>
      <c r="E18" s="138"/>
      <c r="F18" s="138"/>
      <c r="G18" s="138"/>
      <c r="H18" s="138"/>
      <c r="I18" s="138"/>
      <c r="K18" s="2431" t="s">
        <v>2142</v>
      </c>
      <c r="L18" s="2431">
        <f>IF(C1="",'数据-汇总表'!E3,SUMIF(项目类型,C1,'数据-汇总表'!E17:E26)+SUMIF(项目类型,C1,'数据-汇总表'!I17:I26))</f>
        <v>70181.87</v>
      </c>
      <c r="M18" s="2431">
        <f>IF(C1="",'数据-汇总表'!E3,SUMIF(项目类型,C1,'数据-汇总表'!E17:E26))</f>
        <v>70181.87</v>
      </c>
    </row>
    <row r="19" spans="1:35" ht="15">
      <c r="A19" s="2437" t="s">
        <v>2143</v>
      </c>
      <c r="B19" s="2438" t="s">
        <v>2144</v>
      </c>
      <c r="C19" s="143">
        <f ca="1">SUMIF(INDIRECT("'"&amp;C4&amp;"'"&amp;"!A:A"),结果表!B19,INDIRECT("'"&amp;C4&amp;"'"&amp;"!B:B"))</f>
        <v>192314</v>
      </c>
      <c r="D19" s="144">
        <f ca="1">SUMIF(INDIRECT("'"&amp;D4&amp;"'"&amp;"!A:A"),结果表!B19,INDIRECT("'"&amp;D4&amp;"'"&amp;"!B:B"))</f>
        <v>286144</v>
      </c>
      <c r="E19" s="2437" t="s">
        <v>2145</v>
      </c>
      <c r="F19" s="2438" t="s">
        <v>2144</v>
      </c>
      <c r="G19" s="145">
        <f ca="1">ROUND(C19*$C$18+D19*$D$18,0)</f>
        <v>248612</v>
      </c>
      <c r="H19" s="2439" t="s">
        <v>2146</v>
      </c>
      <c r="I19" s="138"/>
      <c r="K19" s="2431" t="s">
        <v>2147</v>
      </c>
      <c r="L19" s="2431">
        <f>IF(C1="",'数据-汇总表'!D3,SUMIF(项目类型,C1,'数据-汇总表'!D17:D26)+SUMIF(项目类型,C1,'数据-汇总表'!H17:H27))</f>
        <v>31510.77</v>
      </c>
      <c r="M19" s="2431">
        <f>IF(C1="",'数据-汇总表'!D3,SUMIF(项目类型,C1,'数据-汇总表'!D17:D26))</f>
        <v>31510.77</v>
      </c>
    </row>
    <row r="20" spans="1:35" ht="15">
      <c r="A20" s="2440"/>
      <c r="B20" s="1250" t="s">
        <v>2148</v>
      </c>
      <c r="C20" s="146">
        <f ca="1">SUMIF(INDIRECT("'"&amp;C4&amp;"'"&amp;"!A:A"),结果表!B20,INDIRECT("'"&amp;C4&amp;"'"&amp;"!B:B"))</f>
        <v>27402</v>
      </c>
      <c r="D20" s="147">
        <f ca="1">SUMIF(INDIRECT("'"&amp;D4&amp;"'"&amp;"!A:A"),结果表!B20,INDIRECT("'"&amp;D4&amp;"'"&amp;"!B:B"))</f>
        <v>40772</v>
      </c>
      <c r="E20" s="2440"/>
      <c r="F20" s="1250" t="s">
        <v>2148</v>
      </c>
      <c r="G20" s="148">
        <f ca="1">ROUND(C20*$C$18+D20*$D$18,0)</f>
        <v>35424</v>
      </c>
      <c r="H20" s="983" t="s">
        <v>2149</v>
      </c>
      <c r="I20" s="138"/>
    </row>
    <row r="21" spans="1:35" ht="15" customHeight="1" thickBot="1">
      <c r="A21" s="1003"/>
      <c r="B21" s="2441" t="s">
        <v>2150</v>
      </c>
      <c r="C21" s="789">
        <f ca="1">ROUND(C19*10000/L19,0)</f>
        <v>61031</v>
      </c>
      <c r="D21" s="790">
        <f ca="1">ROUND(D19*10000/L19,0)</f>
        <v>90808</v>
      </c>
      <c r="E21" s="1003"/>
      <c r="F21" s="2441" t="s">
        <v>2150</v>
      </c>
      <c r="G21" s="149">
        <f ca="1">ROUND(G19*10000/L19,0)</f>
        <v>78897</v>
      </c>
      <c r="H21" s="2442" t="s">
        <v>2149</v>
      </c>
      <c r="I21" s="138"/>
    </row>
    <row r="22" spans="1:35" ht="15" thickBot="1">
      <c r="A22" s="2283" t="s">
        <v>2151</v>
      </c>
      <c r="B22" s="2443"/>
      <c r="C22" s="2444"/>
      <c r="D22" s="791">
        <f ca="1">IF(C19&lt;D19,D19/C19-1,C19/D19-1)</f>
        <v>0.48789999688010233</v>
      </c>
      <c r="E22" s="138"/>
      <c r="F22" s="138"/>
      <c r="G22" s="138"/>
      <c r="H22" s="138"/>
      <c r="I22" s="138"/>
    </row>
    <row r="23" spans="1:35" ht="13.5" thickBot="1">
      <c r="A23" s="2421"/>
      <c r="B23" s="2421"/>
      <c r="C23" s="2421"/>
      <c r="D23" s="2421"/>
      <c r="E23" s="138"/>
      <c r="F23" s="138"/>
      <c r="G23" s="138"/>
      <c r="H23" s="138"/>
      <c r="I23" s="138"/>
    </row>
    <row r="24" spans="1:35" ht="14.25">
      <c r="A24" s="3052" t="s">
        <v>2152</v>
      </c>
      <c r="B24" s="2438" t="s">
        <v>2144</v>
      </c>
      <c r="C24" s="145">
        <f>IF(B30=0,0,D30)</f>
        <v>0</v>
      </c>
      <c r="D24" s="2445"/>
      <c r="E24" s="138"/>
      <c r="F24" s="138"/>
      <c r="G24" s="138"/>
      <c r="H24" s="138"/>
      <c r="I24" s="138"/>
    </row>
    <row r="25" spans="1:35" ht="14.25">
      <c r="A25" s="3053"/>
      <c r="B25" s="1250" t="s">
        <v>2148</v>
      </c>
      <c r="C25" s="150">
        <f>IF(B30=0,0,C30)</f>
        <v>0</v>
      </c>
      <c r="D25" s="2446"/>
      <c r="E25" s="138"/>
      <c r="F25" s="138"/>
      <c r="G25" s="138"/>
      <c r="H25" s="138"/>
      <c r="I25" s="138"/>
    </row>
    <row r="26" spans="1:35" ht="13.5" customHeight="1">
      <c r="A26" s="2447" t="s">
        <v>2153</v>
      </c>
      <c r="B26" s="151" t="s">
        <v>2154</v>
      </c>
      <c r="C26" s="151" t="s">
        <v>2155</v>
      </c>
      <c r="D26" s="152" t="s">
        <v>2156</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2157</v>
      </c>
      <c r="B30" s="151"/>
      <c r="C30" s="151"/>
      <c r="D30" s="151"/>
      <c r="E30" s="2930" t="s">
        <v>3039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2158</v>
      </c>
      <c r="B32" s="2451"/>
      <c r="C32" s="153">
        <f ca="1">IF(D32="总价",G19-C24,G20-C25)</f>
        <v>248612</v>
      </c>
      <c r="D32" s="2452" t="s">
        <v>2159</v>
      </c>
      <c r="E32" s="138"/>
      <c r="F32" s="138"/>
      <c r="G32" s="138"/>
      <c r="H32" s="138"/>
      <c r="I32" s="138"/>
    </row>
    <row r="33" spans="1:15" ht="15">
      <c r="A33" s="960" t="s">
        <v>2160</v>
      </c>
      <c r="B33" s="2453"/>
      <c r="C33" s="2454" t="s">
        <v>5247</v>
      </c>
      <c r="D33" s="2455" t="s">
        <v>5246</v>
      </c>
      <c r="E33" s="2456" t="s">
        <v>2161</v>
      </c>
      <c r="F33" s="2457" t="str">
        <f>IF(D32="楼面单价","取值（单价）","取值（总价）")</f>
        <v>取值（总价）</v>
      </c>
      <c r="G33" s="138"/>
      <c r="H33" s="138"/>
      <c r="I33" s="138"/>
    </row>
    <row r="34" spans="1:15" ht="15">
      <c r="A34" s="2458"/>
      <c r="B34" s="2459" t="s">
        <v>2162</v>
      </c>
      <c r="C34" s="157">
        <f ca="1">IF(C33="自定义",F34,C32-C35)</f>
        <v>208088</v>
      </c>
      <c r="D34" s="1058">
        <f ca="1">IF(C33="自定义",ROUND(C34/C32,3),IF(C33="收益比率",SUMIF(INDIRECT("'"&amp;D33&amp;"'"&amp;"!b:b"),"土地收益比率",INDIRECT("'"&amp;D33&amp;"'"&amp;"!c:c")),SUMIF(INDIRECT("'"&amp;D33&amp;"'"&amp;"!b:b"),"土地成本比率",INDIRECT("'"&amp;D33&amp;"'"&amp;"!c:c"))))</f>
        <v>0.83699999999999997</v>
      </c>
      <c r="E34" s="2460" t="s">
        <v>2163</v>
      </c>
      <c r="F34" s="1739"/>
      <c r="G34" s="138"/>
      <c r="H34" s="138"/>
      <c r="I34" s="138"/>
    </row>
    <row r="35" spans="1:15" ht="15.75" thickBot="1">
      <c r="A35" s="2461"/>
      <c r="B35" s="2462" t="s">
        <v>2164</v>
      </c>
      <c r="C35" s="1444">
        <f ca="1">IF(C33="自定义",F35,ROUND(C32*D35,0))</f>
        <v>40524</v>
      </c>
      <c r="D35" s="1445">
        <f ca="1">IF(C33="自定义",ROUND(C35/C32,3),IF(C33="收益比率",SUMIF(INDIRECT("'"&amp;D33&amp;"'"&amp;"!b:b"),"建筑物收益比率",INDIRECT("'"&amp;D33&amp;"'"&amp;"!c:c")),SUMIF(INDIRECT("'"&amp;D33&amp;"'"&amp;"!b:b"),"建筑物成本比率",INDIRECT("'"&amp;D33&amp;"'"&amp;"!c:c"))))</f>
        <v>0.16300000000000001</v>
      </c>
      <c r="E35" s="2463" t="s">
        <v>2165</v>
      </c>
      <c r="F35" s="163"/>
      <c r="G35" s="138"/>
      <c r="H35" s="138"/>
      <c r="I35" s="138"/>
    </row>
    <row r="36" spans="1:15" ht="15.75" thickBot="1">
      <c r="A36" s="3070" t="s">
        <v>2166</v>
      </c>
      <c r="B36" s="2464" t="s">
        <v>2167</v>
      </c>
      <c r="C36" s="154"/>
      <c r="D36" s="2465"/>
      <c r="E36" s="2466"/>
      <c r="F36" s="2467"/>
      <c r="G36" s="138"/>
      <c r="H36" s="138"/>
      <c r="I36" s="138"/>
    </row>
    <row r="37" spans="1:15" ht="15.75" thickBot="1">
      <c r="A37" s="3071"/>
      <c r="B37" s="2269" t="s">
        <v>2168</v>
      </c>
      <c r="C37" s="156"/>
      <c r="D37" s="1395"/>
      <c r="E37" s="1395"/>
      <c r="F37" s="2467"/>
      <c r="G37" s="138"/>
      <c r="H37" s="138"/>
      <c r="I37" s="138"/>
    </row>
    <row r="38" spans="1:15" ht="15.75" thickBot="1">
      <c r="A38" s="3072"/>
      <c r="B38" s="2468" t="s">
        <v>2169</v>
      </c>
      <c r="C38" s="727"/>
      <c r="D38" s="2469" t="s">
        <v>2170</v>
      </c>
      <c r="E38" s="1395"/>
      <c r="F38" s="2467"/>
      <c r="G38" s="138"/>
      <c r="H38" s="138"/>
      <c r="I38" s="138"/>
    </row>
    <row r="39" spans="1:15" ht="15">
      <c r="A39" s="2440" t="s">
        <v>2171</v>
      </c>
      <c r="B39" s="2470" t="s">
        <v>2172</v>
      </c>
      <c r="C39" s="2471" t="s">
        <v>2173</v>
      </c>
      <c r="D39" s="2471" t="s">
        <v>2174</v>
      </c>
      <c r="E39" s="2472" t="s">
        <v>2175</v>
      </c>
      <c r="F39" s="2467"/>
      <c r="G39" s="138"/>
      <c r="H39" s="138"/>
      <c r="I39" s="138"/>
    </row>
    <row r="40" spans="1:15" ht="14.25">
      <c r="A40" s="2473" t="s">
        <v>2176</v>
      </c>
      <c r="B40" s="158"/>
      <c r="C40" s="159"/>
      <c r="D40" s="159"/>
      <c r="E40" s="160"/>
      <c r="F40" s="2467"/>
      <c r="G40" s="138"/>
      <c r="H40" s="138"/>
      <c r="I40" s="138"/>
    </row>
    <row r="41" spans="1:15" ht="14.25">
      <c r="A41" s="2473" t="s">
        <v>2177</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2178</v>
      </c>
      <c r="B44" s="2478"/>
      <c r="C44" s="2478"/>
      <c r="D44" s="2479"/>
      <c r="E44" s="2479"/>
      <c r="F44" s="2480"/>
      <c r="G44" s="2480"/>
      <c r="H44" s="2480"/>
      <c r="I44" s="2480"/>
      <c r="J44" s="2481" t="s">
        <v>2179</v>
      </c>
      <c r="K44" s="2482"/>
      <c r="L44" s="2482"/>
      <c r="M44" s="2482"/>
      <c r="N44" s="2482"/>
      <c r="O44" s="2482"/>
    </row>
    <row r="45" spans="1:15" ht="14.25" customHeight="1" thickBot="1">
      <c r="A45" s="3049" t="s">
        <v>2180</v>
      </c>
      <c r="B45" s="3050"/>
      <c r="C45" s="3051"/>
      <c r="D45" s="164">
        <f ca="1">ROUND(H101*F45,0)</f>
        <v>248612</v>
      </c>
      <c r="E45" s="165" t="s">
        <v>2181</v>
      </c>
      <c r="F45" s="166">
        <v>1</v>
      </c>
      <c r="G45" s="167" t="s">
        <v>2182</v>
      </c>
      <c r="H45" s="138"/>
      <c r="I45" s="138"/>
      <c r="J45" s="3109" t="s">
        <v>2183</v>
      </c>
      <c r="K45" s="3109"/>
      <c r="L45" s="3109"/>
      <c r="M45" s="3109"/>
      <c r="N45" s="3109"/>
      <c r="O45" s="3109"/>
    </row>
    <row r="46" spans="1:15" ht="14.25" customHeight="1">
      <c r="A46" s="3046" t="s">
        <v>2184</v>
      </c>
      <c r="B46" s="3047"/>
      <c r="C46" s="3047"/>
      <c r="D46" s="3047"/>
      <c r="E46" s="3047"/>
      <c r="F46" s="3047"/>
      <c r="G46" s="3048"/>
      <c r="H46" s="2483"/>
      <c r="I46" s="168"/>
      <c r="J46" s="1812">
        <v>1</v>
      </c>
      <c r="K46" s="3109" t="s">
        <v>2185</v>
      </c>
      <c r="L46" s="3109"/>
      <c r="M46" s="3129"/>
      <c r="N46" s="3129"/>
      <c r="O46" s="3129"/>
    </row>
    <row r="47" spans="1:15" ht="12" customHeight="1">
      <c r="A47" s="169" t="s">
        <v>2186</v>
      </c>
      <c r="B47" s="170"/>
      <c r="C47" s="171"/>
      <c r="D47" s="172" t="s">
        <v>2187</v>
      </c>
      <c r="E47" s="24" t="s">
        <v>2188</v>
      </c>
      <c r="F47" s="173" t="s">
        <v>2189</v>
      </c>
      <c r="G47" s="174" t="s">
        <v>2190</v>
      </c>
      <c r="H47" s="2483"/>
      <c r="I47" s="168"/>
      <c r="J47" s="1812">
        <v>2</v>
      </c>
      <c r="K47" s="3109" t="s">
        <v>2191</v>
      </c>
      <c r="L47" s="3109"/>
      <c r="M47" s="3130">
        <f>'数据-取费表'!B2</f>
        <v>43157</v>
      </c>
      <c r="N47" s="3130"/>
      <c r="O47" s="3130"/>
    </row>
    <row r="48" spans="1:15" ht="25.5">
      <c r="A48" s="3077" t="s">
        <v>2192</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4" t="s">
        <v>2193</v>
      </c>
      <c r="H48" s="2485" t="s">
        <v>2194</v>
      </c>
      <c r="I48" s="2483"/>
      <c r="J48" s="1812">
        <v>3</v>
      </c>
      <c r="K48" s="3109" t="s">
        <v>2195</v>
      </c>
      <c r="L48" s="3109"/>
      <c r="M48" s="3131">
        <f ca="1">H101</f>
        <v>248612</v>
      </c>
      <c r="N48" s="3131"/>
      <c r="O48" s="3131"/>
    </row>
    <row r="49" spans="1:35" ht="25.5" customHeight="1">
      <c r="A49" s="176" t="s">
        <v>2196</v>
      </c>
      <c r="B49" s="3045" t="s">
        <v>2197</v>
      </c>
      <c r="C49" s="3045"/>
      <c r="D49" s="177">
        <v>0</v>
      </c>
      <c r="E49" s="23" t="s">
        <v>2198</v>
      </c>
      <c r="F49" s="28" t="s">
        <v>34</v>
      </c>
      <c r="G49" s="3115"/>
      <c r="H49" s="138"/>
      <c r="I49" s="2486"/>
      <c r="J49" s="1812">
        <v>4</v>
      </c>
      <c r="K49" s="3109" t="str">
        <f>IF(项目基本情况!E8="房地产抵押价值","房地产抵押价值","抵押担保权已注销时的房地产抵押价值")</f>
        <v>抵押担保权已注销时的房地产抵押价值</v>
      </c>
      <c r="L49" s="3109"/>
      <c r="M49" s="3131">
        <f ca="1">IF(项目基本情况!E8="房地产抵押价值",H107,H109)</f>
        <v>248612</v>
      </c>
      <c r="N49" s="3131"/>
      <c r="O49" s="3131"/>
    </row>
    <row r="50" spans="1:35" ht="25.5" customHeight="1">
      <c r="A50" s="178"/>
      <c r="B50" s="3045" t="s">
        <v>2199</v>
      </c>
      <c r="C50" s="3045"/>
      <c r="D50" s="179"/>
      <c r="E50" s="31"/>
      <c r="F50" s="180"/>
      <c r="G50" s="3116"/>
      <c r="H50" s="138"/>
      <c r="I50" s="2486"/>
      <c r="J50" s="3109" t="s">
        <v>2200</v>
      </c>
      <c r="K50" s="3109"/>
      <c r="L50" s="3109"/>
      <c r="M50" s="3109"/>
      <c r="N50" s="3109"/>
      <c r="O50" s="3109"/>
    </row>
    <row r="51" spans="1:35" ht="12" customHeight="1">
      <c r="A51" s="181"/>
      <c r="B51" s="3045" t="s">
        <v>2201</v>
      </c>
      <c r="C51" s="3045"/>
      <c r="D51" s="182"/>
      <c r="E51" s="30"/>
      <c r="F51" s="180"/>
      <c r="G51" s="3117"/>
      <c r="H51" s="138"/>
      <c r="I51" s="2486"/>
      <c r="J51" s="2487" t="s">
        <v>2202</v>
      </c>
      <c r="K51" s="3109" t="s">
        <v>2203</v>
      </c>
      <c r="L51" s="3109"/>
      <c r="M51" s="2487" t="s">
        <v>2204</v>
      </c>
      <c r="N51" s="2487" t="s">
        <v>2205</v>
      </c>
      <c r="O51" s="2487" t="s">
        <v>2206</v>
      </c>
    </row>
    <row r="52" spans="1:35" ht="24" customHeight="1">
      <c r="A52" s="183" t="s">
        <v>2207</v>
      </c>
      <c r="B52" s="3045" t="s">
        <v>2208</v>
      </c>
      <c r="C52" s="3045"/>
      <c r="D52" s="182">
        <f ca="1">ROUND(D45*'数据-取费表'!B41/(1+'数据-取费表'!C42),0)</f>
        <v>13259</v>
      </c>
      <c r="E52" s="11" t="s">
        <v>2209</v>
      </c>
      <c r="F52" s="184">
        <f>'数据-取费表'!B41</f>
        <v>5.6000000000000001E-2</v>
      </c>
      <c r="G52" s="2488"/>
      <c r="H52" s="138"/>
      <c r="I52" s="2486"/>
      <c r="J52" s="1812">
        <v>1</v>
      </c>
      <c r="K52" s="3110" t="s">
        <v>2210</v>
      </c>
      <c r="L52" s="3110"/>
      <c r="M52" s="1754">
        <f>D48</f>
        <v>0</v>
      </c>
      <c r="N52" s="1812" t="str">
        <f>E48</f>
        <v>销售额×税（费）率</v>
      </c>
      <c r="O52" s="1755" t="str">
        <f>F48</f>
        <v>免征</v>
      </c>
    </row>
    <row r="53" spans="1:35" ht="12" customHeight="1">
      <c r="A53" s="183" t="s">
        <v>2211</v>
      </c>
      <c r="B53" s="3068" t="s">
        <v>2212</v>
      </c>
      <c r="C53" s="3069"/>
      <c r="D53" s="182">
        <f ca="1">ROUND(D45*'数据-取费表'!B41/(1+'数据-取费表'!C42),0)</f>
        <v>13259</v>
      </c>
      <c r="E53" s="11" t="s">
        <v>2209</v>
      </c>
      <c r="F53" s="184">
        <f>'数据-取费表'!B41</f>
        <v>5.6000000000000001E-2</v>
      </c>
      <c r="G53" s="2488"/>
      <c r="H53" s="138"/>
      <c r="I53" s="2486"/>
      <c r="J53" s="1812">
        <v>2</v>
      </c>
      <c r="K53" s="3110" t="s">
        <v>2213</v>
      </c>
      <c r="L53" s="3110"/>
      <c r="M53" s="1754">
        <f t="shared" ref="M53:O54" ca="1" si="0">D55</f>
        <v>124</v>
      </c>
      <c r="N53" s="1812" t="str">
        <f t="shared" si="0"/>
        <v>销售额×税（费）率</v>
      </c>
      <c r="O53" s="1755">
        <f t="shared" si="0"/>
        <v>5.0000000000000001E-4</v>
      </c>
    </row>
    <row r="54" spans="1:35" ht="12" customHeight="1">
      <c r="A54" s="183" t="s">
        <v>2214</v>
      </c>
      <c r="B54" s="3068" t="s">
        <v>2215</v>
      </c>
      <c r="C54" s="3069"/>
      <c r="D54" s="182">
        <f ca="1">C68</f>
        <v>13259</v>
      </c>
      <c r="E54" s="30" t="s">
        <v>2216</v>
      </c>
      <c r="F54" s="184">
        <f>'数据-取费表'!B41</f>
        <v>5.6000000000000001E-2</v>
      </c>
      <c r="G54" s="2488"/>
      <c r="H54" s="2489"/>
      <c r="I54" s="2486"/>
      <c r="J54" s="1812">
        <v>3</v>
      </c>
      <c r="K54" s="3110" t="s">
        <v>2217</v>
      </c>
      <c r="L54" s="3110"/>
      <c r="M54" s="1754">
        <f t="shared" ca="1" si="0"/>
        <v>140714</v>
      </c>
      <c r="N54" s="1812" t="str">
        <f t="shared" si="0"/>
        <v>增值额×税（费）率</v>
      </c>
      <c r="O54" s="1756" t="str">
        <f t="shared" si="0"/>
        <v>——</v>
      </c>
    </row>
    <row r="55" spans="1:35" ht="24" customHeight="1">
      <c r="A55" s="3059" t="s">
        <v>2218</v>
      </c>
      <c r="B55" s="3060"/>
      <c r="C55" s="3060"/>
      <c r="D55" s="185">
        <f ca="1">IF(H55="个人住宅",0,ROUND(D45*I55,0))</f>
        <v>124</v>
      </c>
      <c r="E55" s="11" t="s">
        <v>2219</v>
      </c>
      <c r="F55" s="184">
        <f>IF(H55="正常",I55,"免征")</f>
        <v>5.0000000000000001E-4</v>
      </c>
      <c r="G55" s="2488"/>
      <c r="H55" s="2485" t="s">
        <v>2220</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2221</v>
      </c>
      <c r="B56" s="3060"/>
      <c r="C56" s="3060"/>
      <c r="D56" s="185">
        <f ca="1">IF(H56="个人住宅",D57,D58)</f>
        <v>140714</v>
      </c>
      <c r="E56" s="11" t="s">
        <v>2222</v>
      </c>
      <c r="F56" s="184" t="str">
        <f>IF(H56="正常",F58,"免征")</f>
        <v>——</v>
      </c>
      <c r="G56" s="2490" t="s">
        <v>2223</v>
      </c>
      <c r="H56" s="2491" t="s">
        <v>2220</v>
      </c>
      <c r="I56" s="2492"/>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2196</v>
      </c>
      <c r="B57" s="3075" t="s">
        <v>2224</v>
      </c>
      <c r="C57" s="3084"/>
      <c r="D57" s="187">
        <v>0</v>
      </c>
      <c r="E57" s="23" t="s">
        <v>2198</v>
      </c>
      <c r="F57" s="155"/>
      <c r="G57" s="2488"/>
      <c r="H57" s="2492"/>
      <c r="I57" s="2492"/>
      <c r="J57" s="3110">
        <f>IF(AND(J55="",J56=""),4,IF(项目基本情况!K6="上海银行",结果表!J56+1,结果表!J55+1))</f>
        <v>4</v>
      </c>
      <c r="K57" s="3110" t="s">
        <v>2225</v>
      </c>
      <c r="L57" s="2493" t="s">
        <v>2226</v>
      </c>
      <c r="M57" s="1759"/>
      <c r="N57" s="1760">
        <f ca="1">SUMIF(M52:M56,"&lt;9e307")</f>
        <v>140838</v>
      </c>
      <c r="O57" s="2494"/>
      <c r="P57" s="1753">
        <f ca="1">N57/M49</f>
        <v>0.56649719241227292</v>
      </c>
    </row>
    <row r="58" spans="1:35" ht="24.75">
      <c r="A58" s="183" t="s">
        <v>2207</v>
      </c>
      <c r="B58" s="3075" t="s">
        <v>2227</v>
      </c>
      <c r="C58" s="3076"/>
      <c r="D58" s="185">
        <f ca="1">IF(H58="转让取得",C81,C97)</f>
        <v>140714</v>
      </c>
      <c r="E58" s="11" t="s">
        <v>2222</v>
      </c>
      <c r="F58" s="24" t="s">
        <v>34</v>
      </c>
      <c r="G58" s="2488"/>
      <c r="H58" s="2491" t="s">
        <v>2228</v>
      </c>
      <c r="I58" s="2492"/>
      <c r="J58" s="3110"/>
      <c r="K58" s="3110"/>
      <c r="L58" s="2493" t="s">
        <v>2229</v>
      </c>
      <c r="M58" s="1761"/>
      <c r="N58" s="2495" t="str">
        <f ca="1">NUMBERSTRING(INT(N57*10000),2)&amp;"元整"</f>
        <v>壹拾肆亿零捌佰叁拾捌万元整</v>
      </c>
      <c r="O58" s="2496"/>
    </row>
    <row r="59" spans="1:35" ht="24.75" thickBot="1">
      <c r="A59" s="3113" t="s">
        <v>2230</v>
      </c>
      <c r="B59" s="3114"/>
      <c r="C59" s="3114"/>
      <c r="D59" s="188" t="str">
        <f>IF(H59="非个人房产","——",IF(H59="个人住宅",0,ROUND(D45*I59,0)))</f>
        <v>——</v>
      </c>
      <c r="E59" s="189" t="str">
        <f>IF(H59="非个人房产","——","销售额×税（费）率")</f>
        <v>——</v>
      </c>
      <c r="F59" s="190" t="str">
        <f>IF(H59="非个人房产","——",IF(H59="个人住宅","免征",I59))</f>
        <v>——</v>
      </c>
      <c r="G59" s="2497" t="s">
        <v>2223</v>
      </c>
      <c r="H59" s="2491" t="s">
        <v>2231</v>
      </c>
      <c r="I59" s="191">
        <v>0.01</v>
      </c>
      <c r="J59" s="3111">
        <f>J57+1</f>
        <v>5</v>
      </c>
      <c r="K59" s="3110" t="s">
        <v>2232</v>
      </c>
      <c r="L59" s="1812" t="s">
        <v>2226</v>
      </c>
      <c r="M59" s="1762"/>
      <c r="N59" s="1763">
        <f ca="1">M49-N57</f>
        <v>107774</v>
      </c>
      <c r="O59" s="2498"/>
    </row>
    <row r="60" spans="1:35" ht="12" customHeight="1">
      <c r="A60" s="2499"/>
      <c r="B60" s="2421"/>
      <c r="C60" s="2421"/>
      <c r="D60" s="2421"/>
      <c r="E60" s="2168"/>
      <c r="F60" s="2492"/>
      <c r="G60" s="2492"/>
      <c r="H60" s="2500"/>
      <c r="I60" s="138"/>
      <c r="J60" s="3112"/>
      <c r="K60" s="3110"/>
      <c r="L60" s="2493" t="s">
        <v>2229</v>
      </c>
      <c r="M60" s="1761"/>
      <c r="N60" s="2495" t="str">
        <f ca="1">NUMBERSTRING(INT(N59*10000),2)&amp;"元整"</f>
        <v>壹拾亿柒仟柒佰柒拾肆万元整</v>
      </c>
      <c r="O60" s="2496"/>
    </row>
    <row r="61" spans="1:35" ht="13.5" thickBot="1">
      <c r="A61" s="3057" t="s">
        <v>2233</v>
      </c>
      <c r="B61" s="3057"/>
      <c r="C61" s="3057"/>
      <c r="D61" s="3057"/>
      <c r="E61" s="3057"/>
      <c r="F61" s="2492"/>
      <c r="G61" s="2492"/>
      <c r="H61" s="2500"/>
      <c r="I61" s="138"/>
      <c r="J61" s="1812">
        <f>J59+1</f>
        <v>6</v>
      </c>
      <c r="K61" s="3110" t="s">
        <v>2234</v>
      </c>
      <c r="L61" s="3110"/>
      <c r="M61" s="1764"/>
      <c r="N61" s="1765">
        <f ca="1">ROUND(N59*10000/'数据-汇总表'!E3,0)</f>
        <v>15356</v>
      </c>
      <c r="O61" s="2501"/>
    </row>
    <row r="62" spans="1:35" ht="12.75">
      <c r="A62" s="3073" t="s">
        <v>2235</v>
      </c>
      <c r="B62" s="3074"/>
      <c r="C62" s="1804"/>
      <c r="D62" s="1804" t="s">
        <v>2236</v>
      </c>
      <c r="E62" s="192" t="s">
        <v>2237</v>
      </c>
      <c r="F62" s="2492"/>
      <c r="G62" s="2492"/>
      <c r="H62" s="2500"/>
      <c r="I62" s="138"/>
    </row>
    <row r="63" spans="1:35" ht="12.75">
      <c r="A63" s="203" t="s">
        <v>774</v>
      </c>
      <c r="B63" s="193" t="s">
        <v>2238</v>
      </c>
      <c r="C63" s="194">
        <f ca="1">ROUND((C64+C65)/(1+'数据-取费表'!C42),0)</f>
        <v>236773</v>
      </c>
      <c r="D63" s="195"/>
      <c r="E63" s="196"/>
      <c r="F63" s="2492"/>
      <c r="G63" s="2492"/>
      <c r="H63" s="2500"/>
      <c r="I63" s="138"/>
      <c r="J63" s="3135" t="s">
        <v>2239</v>
      </c>
      <c r="K63" s="2502" t="s">
        <v>2240</v>
      </c>
      <c r="L63" s="1752">
        <f ca="1">IF(M49&gt;10000,M49*0.5%,IF(AND(M49&gt;1000,M49&lt;=10000),M49*1%,IF(AND(M49&gt;100,M49&lt;=1000),M49*3%,IF(AND(M49&gt;10,M49&lt;=100),M49*5%,M49*8%))))</f>
        <v>1243.06</v>
      </c>
      <c r="M63" s="24">
        <f ca="1">ROUND(L63,1)</f>
        <v>1243.0999999999999</v>
      </c>
      <c r="Z63" s="2426"/>
      <c r="AI63" s="2427"/>
    </row>
    <row r="64" spans="1:35" ht="14.25" customHeight="1">
      <c r="A64" s="197" t="s">
        <v>769</v>
      </c>
      <c r="B64" s="198" t="s">
        <v>2241</v>
      </c>
      <c r="C64" s="199">
        <f ca="1">D45</f>
        <v>248612</v>
      </c>
      <c r="D64" s="200" t="s">
        <v>32</v>
      </c>
      <c r="E64" s="201"/>
      <c r="F64" s="2492"/>
      <c r="G64" s="2492"/>
      <c r="H64" s="2500"/>
      <c r="I64" s="138"/>
      <c r="J64" s="3135"/>
      <c r="K64" s="2502" t="s">
        <v>2242</v>
      </c>
      <c r="L64" s="1752">
        <f ca="1">IF(M49&gt;2000,M49*0.5%,IF(AND(M49&gt;1000,M49&lt;=2000),M49*0.6%,IF(AND(M49&gt;500,M49&lt;=1000),M49*0.7%,IF(AND(M49&gt;200,M49&lt;=500),M49*0.8%,IF(AND(M49&gt;100,M49&lt;=200),M49*0.9%,IF(AND(M49&gt;50,M49&lt;=100),M49*1%,IF(AND(M49&gt;20,M49&lt;=50),M49*1.5%,IF(AND(M49&gt;10,M49&lt;=20),M49*2%,IF(AND(M49&gt;1,M49&lt;=10),M49*2.5%)))))))))</f>
        <v>1243.06</v>
      </c>
      <c r="M64" s="24">
        <f t="shared" ref="M64:M65" ca="1" si="1">ROUND(L64,1)</f>
        <v>1243.0999999999999</v>
      </c>
      <c r="N64" s="138" t="s">
        <v>2243</v>
      </c>
      <c r="Z64" s="2426"/>
      <c r="AI64" s="2427"/>
    </row>
    <row r="65" spans="1:35" ht="14.25" customHeight="1">
      <c r="A65" s="197" t="s">
        <v>770</v>
      </c>
      <c r="B65" s="198" t="s">
        <v>2244</v>
      </c>
      <c r="C65" s="202"/>
      <c r="D65" s="200"/>
      <c r="E65" s="201"/>
      <c r="F65" s="2492"/>
      <c r="G65" s="2492"/>
      <c r="H65" s="2500"/>
      <c r="I65" s="138"/>
      <c r="J65" s="3135"/>
      <c r="K65" s="2502" t="s">
        <v>2245</v>
      </c>
      <c r="L65" s="1752">
        <f ca="1">IF(M49&gt;1000,M49*0.1%,IF(AND(M49&gt;500,M49&lt;=1000),M49*0.5%,IF(AND(M49&gt;50,M49&lt;=500),M49*1%,IF(AND(M49&gt;1,M49&lt;=50),M49*1.5%))))</f>
        <v>248.61199999999999</v>
      </c>
      <c r="M65" s="24">
        <f t="shared" ca="1" si="1"/>
        <v>248.6</v>
      </c>
      <c r="N65" s="138" t="s">
        <v>2243</v>
      </c>
      <c r="Z65" s="2426"/>
      <c r="AI65" s="2427"/>
    </row>
    <row r="66" spans="1:35" ht="14.25" customHeight="1">
      <c r="A66" s="203" t="s">
        <v>771</v>
      </c>
      <c r="B66" s="204" t="s">
        <v>2246</v>
      </c>
      <c r="C66" s="205"/>
      <c r="D66" s="206" t="s">
        <v>32</v>
      </c>
      <c r="E66" s="1776" t="s">
        <v>1370</v>
      </c>
      <c r="F66" s="2492"/>
      <c r="G66" s="2492"/>
      <c r="H66" s="2500"/>
      <c r="I66" s="138"/>
      <c r="J66" s="3135"/>
      <c r="K66" s="2502" t="s">
        <v>2247</v>
      </c>
      <c r="L66" s="1752">
        <f ca="1">M49*0.5%</f>
        <v>1243.06</v>
      </c>
      <c r="M66" s="24">
        <f ca="1">IF(L66&gt;0.5,0.5,ROUND(L66,0))</f>
        <v>0.5</v>
      </c>
      <c r="N66" s="138" t="s">
        <v>2248</v>
      </c>
      <c r="Z66" s="2426"/>
      <c r="AI66" s="2427"/>
    </row>
    <row r="67" spans="1:35" ht="14.25" customHeight="1">
      <c r="A67" s="203" t="s">
        <v>772</v>
      </c>
      <c r="B67" s="204" t="s">
        <v>2249</v>
      </c>
      <c r="C67" s="207">
        <f ca="1">C63-C66</f>
        <v>236773</v>
      </c>
      <c r="D67" s="200" t="s">
        <v>32</v>
      </c>
      <c r="E67" s="201"/>
      <c r="F67" s="2492"/>
      <c r="G67" s="2492"/>
      <c r="H67" s="2500"/>
      <c r="I67" s="138"/>
      <c r="J67" s="3135"/>
      <c r="K67" s="2502" t="s">
        <v>2250</v>
      </c>
      <c r="L67" s="1752">
        <f ca="1">IF(M49&gt;=10000,(8.25+(M49-10000)*0.01%),IF(AND(M49&gt;=8000,M49&lt;10000),(7.85+(M49-8000)*0.02%),IF(AND(M49&gt;=5000,M49&lt;8000),(6.65+(M49-5000)*0.04%),IF(AND(M49&gt;=2000,M49&lt;5000),(4.25+(PM49-2000)*0.08%),IF(AND(M49&gt;=1000,M49&lt;2000),(2.75+(M49-1000)*0.15%),IF(AND(M49&gt;=100,M49&lt;1000),(0.5+(M49-100)*0.25%),IF(AND(M49&gt;0,M49&lt;100),M49*0.5%)))))))</f>
        <v>32.111199999999997</v>
      </c>
      <c r="M67" s="24">
        <f ca="1">ROUND(L67*0.9,1)</f>
        <v>28.9</v>
      </c>
      <c r="Z67" s="2426"/>
      <c r="AI67" s="2427"/>
    </row>
    <row r="68" spans="1:35" ht="14.25" customHeight="1" thickBot="1">
      <c r="A68" s="208" t="s">
        <v>773</v>
      </c>
      <c r="B68" s="209" t="s">
        <v>2251</v>
      </c>
      <c r="C68" s="210">
        <f ca="1">IF(C67&lt;=0,0,ROUND(C67*D68,0))</f>
        <v>13259</v>
      </c>
      <c r="D68" s="211">
        <f>'数据-取费表'!B41</f>
        <v>5.6000000000000001E-2</v>
      </c>
      <c r="E68" s="212"/>
      <c r="F68" s="2492"/>
      <c r="G68" s="2492"/>
      <c r="H68" s="2500"/>
      <c r="I68" s="138"/>
      <c r="J68" s="3135"/>
      <c r="K68" s="2502" t="s">
        <v>2252</v>
      </c>
      <c r="L68" s="1752">
        <f ca="1">IF(M49&gt;10000,M49*0.5%,IF(AND(M49&gt;5000,M49&lt;=10000),M49*1%,IF(AND(M49&gt;1000,M49&lt;=5000),M49*2%,IF(AND(M49&gt;200,M49&lt;=1000),M49*3%,M49*5%))))</f>
        <v>1243.06</v>
      </c>
      <c r="M68" s="24">
        <f ca="1">ROUND(L68,1)</f>
        <v>1243.0999999999999</v>
      </c>
      <c r="Z68" s="2426"/>
      <c r="AI68" s="2427"/>
    </row>
    <row r="69" spans="1:35" s="2449" customFormat="1" ht="16.5" customHeight="1">
      <c r="A69" s="2503"/>
      <c r="B69" s="2504"/>
      <c r="C69" s="2505"/>
      <c r="D69" s="2506"/>
      <c r="E69" s="2507"/>
      <c r="F69" s="2168"/>
      <c r="G69" s="2168"/>
      <c r="H69" s="2167"/>
      <c r="I69" s="2421"/>
      <c r="J69" s="3135"/>
      <c r="K69" s="2502" t="s">
        <v>2253</v>
      </c>
      <c r="L69" s="2508"/>
      <c r="M69" s="24">
        <f ca="1">ROUND(SUM(M63:M68),0)</f>
        <v>4007</v>
      </c>
      <c r="N69" s="1753">
        <f ca="1">M69/M49</f>
        <v>1.611748427268193E-2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4" t="s">
        <v>2254</v>
      </c>
      <c r="B70" s="3095"/>
      <c r="C70" s="3095"/>
      <c r="D70" s="3095"/>
      <c r="E70" s="3095"/>
      <c r="F70" s="3095"/>
      <c r="G70" s="3095"/>
      <c r="H70" s="30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3" t="s">
        <v>2235</v>
      </c>
      <c r="B71" s="3074"/>
      <c r="C71" s="1804"/>
      <c r="D71" s="1804" t="s">
        <v>2236</v>
      </c>
      <c r="E71" s="213" t="s">
        <v>2237</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774</v>
      </c>
      <c r="B72" s="204" t="s">
        <v>2255</v>
      </c>
      <c r="C72" s="207">
        <f ca="1">ROUND(D45/(1+'数据-取费表'!C42),0)</f>
        <v>236773</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771</v>
      </c>
      <c r="B73" s="173" t="s">
        <v>2256</v>
      </c>
      <c r="C73" s="207">
        <f ca="1">C74+C78</f>
        <v>1421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769</v>
      </c>
      <c r="B74" s="198" t="s">
        <v>2257</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775</v>
      </c>
      <c r="B75" s="198" t="s">
        <v>2258</v>
      </c>
      <c r="C75" s="218"/>
      <c r="D75" s="200" t="s">
        <v>32</v>
      </c>
      <c r="E75" s="219" t="s">
        <v>2259</v>
      </c>
      <c r="F75" s="2514" t="s">
        <v>2260</v>
      </c>
      <c r="G75" s="219" t="s">
        <v>2261</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776</v>
      </c>
      <c r="B76" s="221" t="s">
        <v>2262</v>
      </c>
      <c r="C76" s="200">
        <f>IF(F75="购房发票",ROUND(C75*H75*D76,0),0)</f>
        <v>0</v>
      </c>
      <c r="D76" s="222">
        <v>0.05</v>
      </c>
      <c r="E76" s="3068" t="s">
        <v>2263</v>
      </c>
      <c r="F76" s="3045"/>
      <c r="G76" s="3045"/>
      <c r="H76" s="30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777</v>
      </c>
      <c r="B77" s="198" t="s">
        <v>2264</v>
      </c>
      <c r="C77" s="200">
        <f>ROUND(IF(G77="个人住宅",0,IF(G77="2016年5月1日前购买",C75*D77,C75*D77/(1+'数据-取费表'!C42))),0)</f>
        <v>0</v>
      </c>
      <c r="D77" s="223">
        <f>'数据-取费表'!B48+'数据-取费表'!B49</f>
        <v>3.0499999999999999E-2</v>
      </c>
      <c r="E77" s="15" t="s">
        <v>2265</v>
      </c>
      <c r="F77" s="224"/>
      <c r="G77" s="2516" t="s">
        <v>2266</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770</v>
      </c>
      <c r="B78" s="198" t="s">
        <v>2267</v>
      </c>
      <c r="C78" s="225">
        <f ca="1">ROUND(D45*D78/(1+'数据-取费表'!C42),0)</f>
        <v>1421</v>
      </c>
      <c r="D78" s="226">
        <f>'数据-取费表'!B43</f>
        <v>6.000000000000001E-3</v>
      </c>
      <c r="E78" s="3054" t="s">
        <v>2268</v>
      </c>
      <c r="F78" s="3055"/>
      <c r="G78" s="3055"/>
      <c r="H78" s="306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778</v>
      </c>
      <c r="B79" s="204" t="s">
        <v>2269</v>
      </c>
      <c r="C79" s="207">
        <f ca="1">C72-C73</f>
        <v>235352</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779</v>
      </c>
      <c r="B80" s="204" t="s">
        <v>2270</v>
      </c>
      <c r="C80" s="227">
        <f ca="1">IF(C79&lt;=0,0,C79/C73)</f>
        <v>165.62420830401126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780</v>
      </c>
      <c r="B81" s="209" t="s">
        <v>2271</v>
      </c>
      <c r="C81" s="228">
        <f ca="1">ROUND(IF(C79&lt;=0,0,IF(C80&gt;=200%,C79*60%-C73*35%,IF(C80&gt;=100%,C79*50%-C73*15%,IF(C80&gt;=50%,C79*40%-C73*5%,IF(C80&lt;50%,C79*30%,0))))),0)</f>
        <v>140714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4" t="s">
        <v>2272</v>
      </c>
      <c r="B83" s="3095"/>
      <c r="C83" s="3095"/>
      <c r="D83" s="3095"/>
      <c r="E83" s="3095"/>
      <c r="F83" s="3095"/>
      <c r="G83" s="3095"/>
      <c r="H83" s="30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3" t="s">
        <v>2235</v>
      </c>
      <c r="B84" s="3074"/>
      <c r="C84" s="1804"/>
      <c r="D84" s="1804" t="s">
        <v>2236</v>
      </c>
      <c r="E84" s="213" t="s">
        <v>2237</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774</v>
      </c>
      <c r="B85" s="204" t="s">
        <v>2255</v>
      </c>
      <c r="C85" s="207">
        <f ca="1">ROUND(D45/(1+'数据-取费表'!C42),0)</f>
        <v>236773</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771</v>
      </c>
      <c r="B86" s="173" t="s">
        <v>2256</v>
      </c>
      <c r="C86" s="207">
        <f ca="1">IF(H88="仅含出让金",C87+C90+C91+C92+C93+C94,C87+C91+C92+C93+C94)</f>
        <v>1421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769</v>
      </c>
      <c r="B87" s="198" t="s">
        <v>2273</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775</v>
      </c>
      <c r="B88" s="198" t="s">
        <v>2274</v>
      </c>
      <c r="C88" s="236"/>
      <c r="D88" s="226"/>
      <c r="E88" s="237" t="s">
        <v>2275</v>
      </c>
      <c r="F88" s="1800"/>
      <c r="G88" s="238" t="s">
        <v>2276</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776</v>
      </c>
      <c r="B89" s="198" t="s">
        <v>2264</v>
      </c>
      <c r="C89" s="225">
        <f>ROUND(C88*D89,0)</f>
        <v>0</v>
      </c>
      <c r="D89" s="226">
        <f>'数据-取费表'!B48+'数据-取费表'!B49</f>
        <v>3.0499999999999999E-2</v>
      </c>
      <c r="E89" s="237" t="s">
        <v>2277</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770</v>
      </c>
      <c r="B90" s="198" t="s">
        <v>2278</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2279</v>
      </c>
      <c r="B91" s="198" t="s">
        <v>2280</v>
      </c>
      <c r="C91" s="225">
        <f>IF(H91="——",成本法!C33,I91)</f>
        <v>0</v>
      </c>
      <c r="D91" s="226"/>
      <c r="E91" s="3054" t="s">
        <v>2281</v>
      </c>
      <c r="F91" s="3055"/>
      <c r="G91" s="3055"/>
      <c r="H91" s="2521" t="s">
        <v>2282</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2283</v>
      </c>
      <c r="B92" s="198" t="s">
        <v>2284</v>
      </c>
      <c r="C92" s="225">
        <f>ROUND((C87+C90+C91)*D92,0)</f>
        <v>0</v>
      </c>
      <c r="D92" s="226">
        <v>0.1</v>
      </c>
      <c r="E92" s="3054" t="s">
        <v>2285</v>
      </c>
      <c r="F92" s="3055"/>
      <c r="G92" s="3055"/>
      <c r="H92" s="306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2286</v>
      </c>
      <c r="B93" s="198" t="s">
        <v>2267</v>
      </c>
      <c r="C93" s="225">
        <f ca="1">ROUND(D45*D93/(1+'数据-取费表'!C42),0)</f>
        <v>1421</v>
      </c>
      <c r="D93" s="226">
        <f>'数据-取费表'!B43</f>
        <v>6.000000000000001E-3</v>
      </c>
      <c r="E93" s="3054" t="s">
        <v>2268</v>
      </c>
      <c r="F93" s="3055"/>
      <c r="G93" s="3055"/>
      <c r="H93" s="306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2287</v>
      </c>
      <c r="B94" s="198" t="s">
        <v>2288</v>
      </c>
      <c r="C94" s="236">
        <f>ROUND((C87+C90+C91)*D94,0)</f>
        <v>0</v>
      </c>
      <c r="D94" s="226">
        <v>0.2</v>
      </c>
      <c r="E94" s="3065" t="s">
        <v>2289</v>
      </c>
      <c r="F94" s="3066"/>
      <c r="G94" s="3066"/>
      <c r="H94" s="306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778</v>
      </c>
      <c r="B95" s="204" t="s">
        <v>2269</v>
      </c>
      <c r="C95" s="207">
        <f ca="1">ROUND(C85-C86,0)</f>
        <v>235352</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779</v>
      </c>
      <c r="B96" s="204" t="s">
        <v>2270</v>
      </c>
      <c r="C96" s="227">
        <f ca="1">IF(C95&lt;=0,0,C95/C86)</f>
        <v>165.62420830401126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780</v>
      </c>
      <c r="B97" s="209" t="s">
        <v>2271</v>
      </c>
      <c r="C97" s="228">
        <f ca="1">ROUND(IF(C95&lt;=0,0,IF(C96&gt;=200%,C95*60%-C86*35%,IF(C96&gt;=100%,C95*50%-C86*15%,IF(C96&gt;=50%,C95*40%-C86*5%,IF(C96&lt;50%,C95*30%,0))))),0)</f>
        <v>140714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2290</v>
      </c>
      <c r="B99" s="2421"/>
      <c r="C99" s="2421"/>
      <c r="D99" s="2421"/>
      <c r="E99" s="2168"/>
      <c r="F99" s="2168"/>
      <c r="G99" s="2168"/>
      <c r="H99" s="2167"/>
      <c r="I99" s="138"/>
    </row>
    <row r="100" spans="1:35" ht="18.75" customHeight="1">
      <c r="A100" s="3039" t="s">
        <v>2291</v>
      </c>
      <c r="B100" s="3040"/>
      <c r="C100" s="3040"/>
      <c r="D100" s="3056"/>
      <c r="E100" s="3040" t="s">
        <v>2292</v>
      </c>
      <c r="F100" s="3040"/>
      <c r="G100" s="3040"/>
      <c r="H100" s="3056"/>
      <c r="I100" s="138"/>
    </row>
    <row r="101" spans="1:35" ht="18.75" customHeight="1">
      <c r="A101" s="3118" t="s">
        <v>2293</v>
      </c>
      <c r="B101" s="3119"/>
      <c r="C101" s="736" t="str">
        <f>C4</f>
        <v>成本法</v>
      </c>
      <c r="D101" s="737" t="str">
        <f>D4</f>
        <v>收益法</v>
      </c>
      <c r="E101" s="3132" t="s">
        <v>2294</v>
      </c>
      <c r="F101" s="3086"/>
      <c r="G101" s="2523" t="s">
        <v>2295</v>
      </c>
      <c r="H101" s="1048">
        <f ca="1">H118</f>
        <v>248612</v>
      </c>
      <c r="I101" s="138"/>
    </row>
    <row r="102" spans="1:35" ht="18.75" customHeight="1">
      <c r="A102" s="3088" t="s">
        <v>2296</v>
      </c>
      <c r="B102" s="2523" t="s">
        <v>2295</v>
      </c>
      <c r="C102" s="736">
        <f ca="1">C19</f>
        <v>192314</v>
      </c>
      <c r="D102" s="737">
        <f ca="1">D19</f>
        <v>286144</v>
      </c>
      <c r="E102" s="3132"/>
      <c r="F102" s="3086"/>
      <c r="G102" s="2523" t="s">
        <v>2297</v>
      </c>
      <c r="H102" s="371">
        <f ca="1">I118</f>
        <v>35424</v>
      </c>
      <c r="I102" s="138"/>
    </row>
    <row r="103" spans="1:35" ht="42.75" customHeight="1">
      <c r="A103" s="3088"/>
      <c r="B103" s="2523" t="s">
        <v>2297</v>
      </c>
      <c r="C103" s="738">
        <f ca="1">C20</f>
        <v>27402</v>
      </c>
      <c r="D103" s="739">
        <f ca="1">D20</f>
        <v>40772</v>
      </c>
      <c r="E103" s="3127" t="s">
        <v>2298</v>
      </c>
      <c r="F103" s="3128"/>
      <c r="G103" s="2524" t="s">
        <v>2299</v>
      </c>
      <c r="H103" s="1048">
        <f>IF(D36="正常操作",H104+H105+H106,H105+H106)</f>
        <v>0</v>
      </c>
      <c r="I103" s="138"/>
    </row>
    <row r="104" spans="1:35" ht="18.75" customHeight="1">
      <c r="A104" s="3088" t="s">
        <v>2300</v>
      </c>
      <c r="B104" s="2525" t="s">
        <v>2295</v>
      </c>
      <c r="C104" s="740">
        <f ca="1">H118</f>
        <v>248612</v>
      </c>
      <c r="D104" s="741"/>
      <c r="E104" s="2269" t="s">
        <v>2301</v>
      </c>
      <c r="F104" s="2260"/>
      <c r="G104" s="2524" t="s">
        <v>2299</v>
      </c>
      <c r="H104" s="1049">
        <f>IF(D36="同一抵押权人同一抵押物续贷",C36&amp;"（未扣减，详见特别提示）",C36)</f>
        <v>0</v>
      </c>
      <c r="I104" s="138"/>
    </row>
    <row r="105" spans="1:35" ht="18.75" customHeight="1" thickBot="1">
      <c r="A105" s="3089"/>
      <c r="B105" s="2526" t="s">
        <v>2297</v>
      </c>
      <c r="C105" s="742">
        <f ca="1">I118</f>
        <v>35424</v>
      </c>
      <c r="D105" s="743"/>
      <c r="E105" s="2269" t="s">
        <v>2302</v>
      </c>
      <c r="F105" s="2260"/>
      <c r="G105" s="2524" t="s">
        <v>2299</v>
      </c>
      <c r="H105" s="1049">
        <f>C37</f>
        <v>0</v>
      </c>
      <c r="I105" s="138"/>
    </row>
    <row r="106" spans="1:35" ht="18.75" customHeight="1">
      <c r="A106" s="2421" t="s">
        <v>2303</v>
      </c>
      <c r="B106" s="2421"/>
      <c r="C106" s="2421"/>
      <c r="D106" s="2421"/>
      <c r="E106" s="2527" t="s">
        <v>2304</v>
      </c>
      <c r="F106" s="2260"/>
      <c r="G106" s="2524" t="s">
        <v>2299</v>
      </c>
      <c r="H106" s="1049">
        <f>C38</f>
        <v>0</v>
      </c>
      <c r="I106" s="138"/>
    </row>
    <row r="107" spans="1:35" ht="18.75" customHeight="1">
      <c r="A107" s="138"/>
      <c r="B107" s="138"/>
      <c r="C107" s="138"/>
      <c r="D107" s="138"/>
      <c r="E107" s="3085" t="str">
        <f>IF(项目基本情况!E8="已注销","——","3.房地产抵押价值")</f>
        <v>——</v>
      </c>
      <c r="F107" s="3086"/>
      <c r="G107" s="2523" t="s">
        <v>2295</v>
      </c>
      <c r="H107" s="1048" t="str">
        <f>IF(E107="——","——",H101-H103)</f>
        <v>——</v>
      </c>
      <c r="I107" s="138"/>
    </row>
    <row r="108" spans="1:35" ht="18.75" customHeight="1">
      <c r="A108" s="138"/>
      <c r="B108" s="138"/>
      <c r="C108" s="138"/>
      <c r="D108" s="138"/>
      <c r="E108" s="3085"/>
      <c r="F108" s="3086"/>
      <c r="G108" s="2523" t="s">
        <v>2297</v>
      </c>
      <c r="H108" s="371" t="e">
        <f>ROUND(H107*10000/'数据-汇总表'!E3,0)</f>
        <v>#VALUE!</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3.抵押担保权已注销时的房地产抵押价值</v>
      </c>
      <c r="F109" s="3086"/>
      <c r="G109" s="2523" t="s">
        <v>2295</v>
      </c>
      <c r="H109" s="348">
        <f ca="1">IF(E109="——","——",H101-H105-H106)</f>
        <v>248612</v>
      </c>
      <c r="I109" s="138"/>
    </row>
    <row r="110" spans="1:35" ht="18.75" customHeight="1">
      <c r="A110" s="138"/>
      <c r="B110" s="138"/>
      <c r="C110" s="138"/>
      <c r="D110" s="138"/>
      <c r="E110" s="3085"/>
      <c r="F110" s="3086"/>
      <c r="G110" s="2523" t="s">
        <v>2297</v>
      </c>
      <c r="H110" s="371">
        <f ca="1">IF(H109="——","——",ROUND(H109*10000/'数据-汇总表'!E3,0))</f>
        <v>35424</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3" t="s">
        <v>2295</v>
      </c>
      <c r="H111" s="1048" t="str">
        <f>IF(E111="——","——",N59)</f>
        <v>——</v>
      </c>
      <c r="I111" s="138"/>
    </row>
    <row r="112" spans="1:35" ht="18.75" customHeight="1" thickBot="1">
      <c r="A112" s="138"/>
      <c r="B112" s="138"/>
      <c r="C112" s="138"/>
      <c r="D112" s="138"/>
      <c r="E112" s="3122"/>
      <c r="F112" s="3123"/>
      <c r="G112" s="2528" t="s">
        <v>2297</v>
      </c>
      <c r="H112" s="790" t="str">
        <f>IF(E111="——","——",N61)</f>
        <v>——</v>
      </c>
      <c r="I112" s="138"/>
    </row>
    <row r="113" spans="1:11" ht="18.75" customHeight="1">
      <c r="A113" s="138"/>
      <c r="B113" s="138"/>
      <c r="C113" s="138"/>
      <c r="D113" s="138"/>
      <c r="E113" s="3090" t="s">
        <v>2303</v>
      </c>
      <c r="F113" s="3090"/>
      <c r="G113" s="3090"/>
      <c r="H113" s="3090"/>
      <c r="I113" s="138"/>
    </row>
    <row r="114" spans="1:11" ht="3.75" customHeight="1">
      <c r="A114" s="2421"/>
      <c r="B114" s="2421"/>
      <c r="C114" s="2421"/>
      <c r="D114" s="2421"/>
      <c r="E114" s="2499"/>
      <c r="F114" s="2499"/>
      <c r="G114" s="2499"/>
      <c r="H114" s="2499"/>
      <c r="I114" s="2421"/>
    </row>
    <row r="115" spans="1:11" ht="18.75" customHeight="1">
      <c r="A115" s="3103" t="s">
        <v>2305</v>
      </c>
      <c r="B115" s="3104"/>
      <c r="C115" s="3104"/>
      <c r="D115" s="3104"/>
      <c r="E115" s="3104"/>
      <c r="F115" s="3104"/>
      <c r="G115" s="3104"/>
      <c r="H115" s="3104"/>
      <c r="I115" s="3105"/>
    </row>
    <row r="116" spans="1:11" ht="27" customHeight="1">
      <c r="A116" s="2997" t="s">
        <v>2306</v>
      </c>
      <c r="B116" s="3091" t="s">
        <v>2307</v>
      </c>
      <c r="C116" s="3091" t="s">
        <v>2308</v>
      </c>
      <c r="D116" s="3107" t="s">
        <v>2309</v>
      </c>
      <c r="E116" s="3108"/>
      <c r="F116" s="3099" t="s">
        <v>2310</v>
      </c>
      <c r="G116" s="3099"/>
      <c r="H116" s="2997" t="s">
        <v>2311</v>
      </c>
      <c r="I116" s="2997"/>
    </row>
    <row r="117" spans="1:11" ht="18.75" customHeight="1">
      <c r="A117" s="2997"/>
      <c r="B117" s="3092"/>
      <c r="C117" s="3092"/>
      <c r="D117" s="1798" t="s">
        <v>2312</v>
      </c>
      <c r="E117" s="1798" t="s">
        <v>2313</v>
      </c>
      <c r="F117" s="1798" t="s">
        <v>2312</v>
      </c>
      <c r="G117" s="1798" t="s">
        <v>2314</v>
      </c>
      <c r="H117" s="1798" t="s">
        <v>2312</v>
      </c>
      <c r="I117" s="1798" t="s">
        <v>2314</v>
      </c>
    </row>
    <row r="118" spans="1:11" ht="24.75" customHeight="1">
      <c r="A118" s="2529" t="str">
        <f>项目基本情况!S2</f>
        <v>北京市丰台区西四环中路113号房地产</v>
      </c>
      <c r="B118" s="1798">
        <f>M18</f>
        <v>70181.87</v>
      </c>
      <c r="C118" s="1798">
        <f>M19</f>
        <v>31510.77</v>
      </c>
      <c r="D118" s="1798">
        <f ca="1">ROUND(IF(D32="总价",C34,E118*B118/10000),0)</f>
        <v>208088</v>
      </c>
      <c r="E118" s="1798">
        <f ca="1">ROUND(IF(C33="自定义",IF(D32="楼面单价",C34,D118*10000/B118),I118-G118),0)</f>
        <v>29650</v>
      </c>
      <c r="F118" s="1798">
        <f ca="1">ROUND(IF(D32="总价",C35,G118*B118/10000),0)</f>
        <v>40524</v>
      </c>
      <c r="G118" s="1798">
        <f ca="1">ROUND(IF(D32="楼面单价",C35,F118*10000/B118),0)</f>
        <v>5774</v>
      </c>
      <c r="H118" s="1798">
        <f ca="1">ROUND(IF(D32="总价",C32,I118*B118/10000),0)</f>
        <v>248612</v>
      </c>
      <c r="I118" s="1798">
        <f ca="1">ROUND(IF(D32="楼面单价",C32,H118*10000/B118),0)</f>
        <v>35424</v>
      </c>
    </row>
    <row r="119" spans="1:11" ht="36" customHeight="1">
      <c r="A119" s="2997" t="s">
        <v>2315</v>
      </c>
      <c r="B119" s="2997"/>
      <c r="C119" s="2997"/>
      <c r="D119" s="3096" t="str">
        <f ca="1">NUMBERSTRING(INT(D118*10000),2)&amp;"元整"</f>
        <v>贰拾亿捌仟零捌拾捌万元整</v>
      </c>
      <c r="E119" s="3098"/>
      <c r="F119" s="3096" t="str">
        <f ca="1">NUMBERSTRING(INT(F118*10000),2)&amp;"元整"</f>
        <v>肆亿零伍佰贰拾肆万元整</v>
      </c>
      <c r="G119" s="3098"/>
      <c r="H119" s="3096" t="str">
        <f ca="1">NUMBERSTRING(INT(H118*10000),2)&amp;"元整"</f>
        <v>贰拾肆亿捌仟陆佰壹拾贰万元整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6" t="str">
        <f>IF(D120=0,"故，本次评估不存在"&amp;A120,"故，本次评估"&amp;A120&amp;"为人民币"&amp;D120&amp;"万元整。")</f>
        <v>故，本次评估不存在估价师知悉的法定优先受偿款</v>
      </c>
    </row>
    <row r="121" spans="1:11" ht="18.75" customHeight="1">
      <c r="A121" s="3100" t="s">
        <v>2315</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
      </c>
      <c r="B122" s="3087"/>
      <c r="C122" s="3087"/>
      <c r="D122" s="3124" t="str">
        <f>H107</f>
        <v>——</v>
      </c>
      <c r="E122" s="3125"/>
      <c r="F122" s="3125"/>
      <c r="G122" s="3125"/>
      <c r="H122" s="3125"/>
      <c r="I122" s="3126"/>
    </row>
    <row r="123" spans="1:11" ht="18.75" customHeight="1">
      <c r="A123" s="2997" t="s">
        <v>2315</v>
      </c>
      <c r="B123" s="2997"/>
      <c r="C123" s="2997"/>
      <c r="D123" s="3096" t="e">
        <f>NUMBERSTRING(INT(D122*10000),2)&amp;"元整"</f>
        <v>#VALUE!</v>
      </c>
      <c r="E123" s="3097"/>
      <c r="F123" s="3097"/>
      <c r="G123" s="3097"/>
      <c r="H123" s="3097"/>
      <c r="I123" s="3098"/>
    </row>
    <row r="124" spans="1:11" ht="18.75" customHeight="1">
      <c r="A124" s="3087" t="str">
        <f>IF(项目基本情况!B9="房地产市场价值","",MID(E109,3,LEN(E109)-2))</f>
        <v>抵押担保权已注销时的房地产抵押价值</v>
      </c>
      <c r="B124" s="3087"/>
      <c r="C124" s="3087"/>
      <c r="D124" s="3124">
        <f ca="1">H109</f>
        <v>248612</v>
      </c>
      <c r="E124" s="3125"/>
      <c r="F124" s="3125"/>
      <c r="G124" s="3125"/>
      <c r="H124" s="3125"/>
      <c r="I124" s="3126"/>
    </row>
    <row r="125" spans="1:11" ht="18.75" customHeight="1">
      <c r="A125" s="2997" t="s">
        <v>2315</v>
      </c>
      <c r="B125" s="2997"/>
      <c r="C125" s="2997"/>
      <c r="D125" s="3096" t="str">
        <f ca="1">NUMBERSTRING(INT(D124*10000),2)&amp;"元整"</f>
        <v>贰拾肆亿捌仟陆佰壹拾贰万元整</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7" t="s">
        <v>2315</v>
      </c>
      <c r="B127" s="2997"/>
      <c r="C127" s="2997"/>
      <c r="D127" s="3096" t="e">
        <f>NUMBERSTRING(INT(D126*10000),2)&amp;"元整"</f>
        <v>#VALUE!</v>
      </c>
      <c r="E127" s="3097"/>
      <c r="F127" s="3097"/>
      <c r="G127" s="3097"/>
      <c r="H127" s="3097"/>
      <c r="I127" s="3098"/>
    </row>
    <row r="128" spans="1:11" ht="21.75" customHeight="1">
      <c r="A128" s="3106" t="s">
        <v>2316</v>
      </c>
      <c r="B128" s="3106"/>
      <c r="C128" s="3106"/>
      <c r="D128" s="3106"/>
      <c r="E128" s="3106"/>
      <c r="F128" s="3106"/>
      <c r="G128" s="3106"/>
      <c r="H128" s="3106"/>
      <c r="I128" s="3106"/>
    </row>
    <row r="129" spans="1:35" ht="21.75" customHeight="1">
      <c r="A129" s="2530" t="s">
        <v>2317</v>
      </c>
      <c r="B129" s="2531"/>
      <c r="C129" s="2532" t="s">
        <v>2318</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2319</v>
      </c>
      <c r="G135" s="2547"/>
      <c r="H135" s="2547"/>
      <c r="I135" s="2548" t="s">
        <v>2320</v>
      </c>
    </row>
    <row r="136" spans="1:35" ht="21.75" customHeight="1">
      <c r="A136" s="795"/>
      <c r="B136" s="2549"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2322</v>
      </c>
    </row>
    <row r="139" spans="1:35" ht="21.75" customHeight="1">
      <c r="A139" s="795"/>
      <c r="B139" s="2549" t="s">
        <v>2323</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2322</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9" sqref="J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11669.09</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32943</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28231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28231</v>
      </c>
      <c r="C3" s="2726" t="s">
        <v>2817</v>
      </c>
      <c r="D3" s="2727" t="s">
        <v>2818</v>
      </c>
      <c r="E3" s="2732" t="s">
        <v>3085</v>
      </c>
      <c r="F3" s="2733" t="s">
        <v>2819</v>
      </c>
      <c r="G3" s="916">
        <f>IF(F3="宗地容积率",'数据-汇总表'!I4,IF(F3="估价对象容积率",'数据-汇总表'!I6,'数据-汇总表'!I7))</f>
        <v>1.84</v>
      </c>
      <c r="H3" s="198" t="s">
        <v>2820</v>
      </c>
      <c r="I3" s="947">
        <v>1</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20264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16349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13118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11170</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9823</v>
      </c>
      <c r="U7" s="1606"/>
      <c r="V7" s="1605">
        <f t="shared" ca="1" si="1"/>
        <v>0</v>
      </c>
      <c r="W7" s="1819" t="s">
        <v>2833</v>
      </c>
      <c r="X7" s="1607" t="str">
        <f>G2</f>
        <v>五级</v>
      </c>
      <c r="Y7" s="1607" t="s">
        <v>2834</v>
      </c>
      <c r="Z7" s="1608">
        <f>G3</f>
        <v>1.84</v>
      </c>
      <c r="AA7" s="1609"/>
      <c r="AB7" s="1609"/>
      <c r="AC7" s="1610"/>
      <c r="AD7" s="1611"/>
      <c r="AE7" s="1611"/>
      <c r="AF7" s="1611"/>
      <c r="AG7" s="1611"/>
      <c r="AH7" s="1611"/>
      <c r="AI7" s="1611"/>
      <c r="AJ7" s="1612"/>
    </row>
    <row r="8" spans="1:36" ht="25.5">
      <c r="A8" s="3246"/>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2838</v>
      </c>
      <c r="X8" s="323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6"/>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2862</v>
      </c>
      <c r="X11" s="1617" t="s">
        <v>2863</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45"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4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2881</v>
      </c>
      <c r="B16" s="2750" t="s">
        <v>2882</v>
      </c>
      <c r="C16" s="180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3105</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940">
        <f>IF(B21="容积率修正",IF(G3&lt;=10,D22,J22),C23)</f>
        <v>1.8629</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1813" t="s">
        <v>2906</v>
      </c>
      <c r="D22" s="1813">
        <f>IF(E22=G22,F22,IF(G3&lt;=10,ROUND(F22+(H22-F22)*(G3-E22)/(G22-E22),4),"——"))</f>
        <v>1.1217999999999999</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813"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1.0305</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32943</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28231</v>
      </c>
      <c r="D29" s="2850">
        <f>面积表!E4</f>
        <v>11669.09</v>
      </c>
      <c r="E29" s="945">
        <f ca="1">ROUND(C29*D29/10000,0)</f>
        <v>32943</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7058</v>
      </c>
      <c r="D30" s="2856"/>
      <c r="E30" s="945">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2929</v>
      </c>
      <c r="B33" s="2866" t="s">
        <v>2930</v>
      </c>
      <c r="C33" s="206">
        <f ca="1">ROUND(D5*C19*C20*C24*F33,0)</f>
        <v>10608</v>
      </c>
      <c r="D33" s="2850"/>
      <c r="E33" s="200">
        <f ca="1">ROUND(C33*D33/10000,0)</f>
        <v>0</v>
      </c>
      <c r="F33" s="200">
        <f>SUMIF(修正!A45:A56,G2,修正!B45:B56)</f>
        <v>0.7</v>
      </c>
      <c r="G33" s="200">
        <f t="shared" ref="G33:G39" ca="1" si="6">ROUND(IF(E2="工业",C33*$M$39,C33*$M$38),0)</f>
        <v>2652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2931</v>
      </c>
      <c r="C34" s="206">
        <f ca="1">ROUND(D5*C19*C20*C24*F34,0)</f>
        <v>6062</v>
      </c>
      <c r="D34" s="2850"/>
      <c r="E34" s="200">
        <f t="shared" ref="E34:E39" ca="1" si="7">ROUND(C34*D34/10000,0)</f>
        <v>0</v>
      </c>
      <c r="F34" s="200">
        <f>SUMIF(修正!A45:A56,G2,修正!C45:C56)</f>
        <v>0.4</v>
      </c>
      <c r="G34" s="200">
        <f t="shared" ca="1" si="6"/>
        <v>1516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2932</v>
      </c>
      <c r="C35" s="206">
        <f ca="1">ROUND(D5*C19*C20*C24*F35,0)</f>
        <v>4243</v>
      </c>
      <c r="D35" s="2850"/>
      <c r="E35" s="200">
        <f t="shared" ca="1" si="7"/>
        <v>0</v>
      </c>
      <c r="F35" s="200">
        <f>SUMIF(修正!A45:A56,G2,修正!D45:D56)</f>
        <v>0.28000000000000003</v>
      </c>
      <c r="G35" s="200">
        <f t="shared" ca="1" si="6"/>
        <v>1061</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2933</v>
      </c>
      <c r="C36" s="206">
        <f ca="1">ROUND(D5*C19*C20*C24*F36,0)</f>
        <v>3789</v>
      </c>
      <c r="D36" s="2850"/>
      <c r="E36" s="200">
        <f t="shared" ca="1" si="7"/>
        <v>0</v>
      </c>
      <c r="F36" s="200">
        <f>SUMIF(修正!A45:A56,G2,修正!E45:E56)</f>
        <v>0.25</v>
      </c>
      <c r="G36" s="200">
        <f t="shared" ca="1" si="6"/>
        <v>947</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3789</v>
      </c>
      <c r="D37" s="2850"/>
      <c r="E37" s="200">
        <f t="shared" ca="1" si="7"/>
        <v>0</v>
      </c>
      <c r="F37" s="206">
        <f>SUMIF(修正!A45:A56,G2,修正!F45:F56)</f>
        <v>0.25</v>
      </c>
      <c r="G37" s="200">
        <f t="shared" ca="1" si="6"/>
        <v>947</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3789</v>
      </c>
      <c r="D38" s="2850"/>
      <c r="E38" s="200">
        <f t="shared" ca="1" si="7"/>
        <v>0</v>
      </c>
      <c r="F38" s="206">
        <f>SUMIF(修正!A45:A56,G2,修正!G45:G56)</f>
        <v>0.25</v>
      </c>
      <c r="G38" s="200">
        <f t="shared" ca="1" si="6"/>
        <v>947</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3031</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1.0305</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1812" t="s">
        <v>2942</v>
      </c>
      <c r="C47" s="1812" t="s">
        <v>2943</v>
      </c>
      <c r="D47" s="1812" t="s">
        <v>2944</v>
      </c>
      <c r="E47" s="819" t="s">
        <v>2945</v>
      </c>
      <c r="F47" s="2884" t="s">
        <v>2946</v>
      </c>
      <c r="G47" s="1812" t="s">
        <v>754</v>
      </c>
      <c r="H47" s="2885"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3095</v>
      </c>
      <c r="D48" s="1289">
        <f t="shared" ref="D48:D56" si="10">SUMIF($J$47:$N$47,C48,J48:N48)</f>
        <v>0</v>
      </c>
      <c r="E48" s="821">
        <f>ROUND(SUM(D48:D56),4)</f>
        <v>3.0499999999999999E-2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3096</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3096</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3097</v>
      </c>
      <c r="C51" s="2775" t="s">
        <v>3096</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3096</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3294" t="s">
        <v>3098</v>
      </c>
      <c r="C53" s="2775" t="s">
        <v>3096</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3096</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六通</v>
      </c>
      <c r="C55" s="2775" t="s">
        <v>3096</v>
      </c>
      <c r="D55" s="1289">
        <f t="shared" si="10"/>
        <v>5.0000000000000001E-3</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3095</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1812"/>
      <c r="C58" s="1812" t="s">
        <v>2943</v>
      </c>
      <c r="D58" s="1812" t="s">
        <v>2944</v>
      </c>
      <c r="E58" s="819" t="s">
        <v>2945</v>
      </c>
      <c r="F58" s="2884" t="s">
        <v>2961</v>
      </c>
      <c r="G58" s="1812" t="s">
        <v>754</v>
      </c>
      <c r="H58" s="2885"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2958</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1812"/>
      <c r="C69" s="1812" t="s">
        <v>2943</v>
      </c>
      <c r="D69" s="1812" t="s">
        <v>2944</v>
      </c>
      <c r="E69" s="819" t="s">
        <v>2945</v>
      </c>
      <c r="F69" s="2884" t="s">
        <v>2961</v>
      </c>
      <c r="G69" s="1812" t="s">
        <v>754</v>
      </c>
      <c r="H69" s="2885"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2958</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1812"/>
      <c r="C80" s="1812" t="s">
        <v>2943</v>
      </c>
      <c r="D80" s="1812" t="s">
        <v>2944</v>
      </c>
      <c r="E80" s="819" t="s">
        <v>2945</v>
      </c>
      <c r="F80" s="2884" t="s">
        <v>2961</v>
      </c>
      <c r="G80" s="1812" t="s">
        <v>754</v>
      </c>
      <c r="H80" s="2885" t="s">
        <v>2947</v>
      </c>
      <c r="I80" s="181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2971</v>
      </c>
      <c r="B90" s="3249"/>
      <c r="C90" s="3249"/>
      <c r="D90" s="3249"/>
      <c r="E90" s="3249"/>
      <c r="F90" s="3249"/>
      <c r="G90" s="3249"/>
      <c r="H90" s="3249"/>
      <c r="I90" s="3249"/>
      <c r="J90" s="3249"/>
      <c r="K90" s="2897"/>
      <c r="L90" s="2897"/>
      <c r="M90" s="2897"/>
      <c r="N90" s="2897"/>
    </row>
    <row r="91" spans="1:37">
      <c r="A91" s="3251" t="s">
        <v>2972</v>
      </c>
      <c r="B91" s="3251" t="s">
        <v>2973</v>
      </c>
      <c r="C91" s="2851" t="s">
        <v>2974</v>
      </c>
      <c r="D91" s="2852"/>
      <c r="E91" s="2852"/>
      <c r="F91" s="2852"/>
      <c r="G91" s="2852"/>
      <c r="H91" s="2852"/>
      <c r="I91" s="2852"/>
      <c r="J91" s="2898"/>
      <c r="K91" s="2899"/>
      <c r="L91" s="2899"/>
      <c r="M91" s="2899"/>
      <c r="N91" s="2899"/>
    </row>
    <row r="92" spans="1:37">
      <c r="A92" s="3251"/>
      <c r="B92" s="325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2"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2855</v>
      </c>
      <c r="C99" s="2902">
        <f>$I$3</f>
        <v>1</v>
      </c>
      <c r="D99" s="2902">
        <f t="shared" ref="D99:M99" si="30">$I$3</f>
        <v>1</v>
      </c>
      <c r="E99" s="2902">
        <f t="shared" si="30"/>
        <v>1</v>
      </c>
      <c r="F99" s="2902">
        <f t="shared" si="30"/>
        <v>1</v>
      </c>
      <c r="G99" s="2902">
        <f t="shared" si="30"/>
        <v>1</v>
      </c>
      <c r="H99" s="2902">
        <f t="shared" si="30"/>
        <v>1</v>
      </c>
      <c r="I99" s="2902">
        <f t="shared" si="30"/>
        <v>1</v>
      </c>
      <c r="J99" s="2902">
        <f t="shared" si="30"/>
        <v>1</v>
      </c>
      <c r="K99" s="2902">
        <f t="shared" si="30"/>
        <v>1</v>
      </c>
      <c r="L99" s="2902">
        <f t="shared" si="30"/>
        <v>1</v>
      </c>
      <c r="M99" s="2902">
        <f t="shared" si="30"/>
        <v>1</v>
      </c>
      <c r="N99" s="2902">
        <f>$I$3</f>
        <v>1</v>
      </c>
    </row>
    <row r="100" spans="1:14">
      <c r="A100" s="3254"/>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52"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53"/>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53"/>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53"/>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53"/>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53"/>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53"/>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53"/>
      <c r="B108" s="3111" t="s">
        <v>2978</v>
      </c>
      <c r="C108" s="2902">
        <f>C99</f>
        <v>1</v>
      </c>
      <c r="D108" s="2902">
        <f t="shared" ref="D108:N108" si="32">D99</f>
        <v>1</v>
      </c>
      <c r="E108" s="2902">
        <f t="shared" si="32"/>
        <v>1</v>
      </c>
      <c r="F108" s="2902">
        <f t="shared" si="32"/>
        <v>1</v>
      </c>
      <c r="G108" s="2902">
        <f t="shared" si="32"/>
        <v>1</v>
      </c>
      <c r="H108" s="2902">
        <f t="shared" si="32"/>
        <v>1</v>
      </c>
      <c r="I108" s="2902">
        <f t="shared" si="32"/>
        <v>1</v>
      </c>
      <c r="J108" s="2902">
        <f t="shared" si="32"/>
        <v>1</v>
      </c>
      <c r="K108" s="2902">
        <f t="shared" si="32"/>
        <v>1</v>
      </c>
      <c r="L108" s="2902">
        <f t="shared" si="32"/>
        <v>1</v>
      </c>
      <c r="M108" s="2902">
        <f t="shared" si="32"/>
        <v>1</v>
      </c>
      <c r="N108" s="2902">
        <f t="shared" si="32"/>
        <v>1</v>
      </c>
    </row>
    <row r="109" spans="1:14">
      <c r="A109" s="3254"/>
      <c r="B109" s="3112"/>
      <c r="C109" s="2903">
        <f>(-0.163*(C108^2)-0.59*C108+7617)*(10^(-4))/C101</f>
        <v>0.41392646739130434</v>
      </c>
      <c r="D109" s="2903">
        <f>(-0.163*(D108^2)-0.59*D108+7617)*(10^(-4))/D101</f>
        <v>0.41392646739130434</v>
      </c>
      <c r="E109" s="2903">
        <f>(-0.161*(E108^2)-7.509*E108+6533)*(10^(-4))/E101</f>
        <v>0.35463749999999999</v>
      </c>
      <c r="F109" s="2903">
        <f>(-0.161*(F108^2)-7.509*F108+6533)*(10^(-4))/F101</f>
        <v>0.35463749999999999</v>
      </c>
      <c r="G109" s="2903">
        <f>(-0.161*(G108^2)-7.509*G108+6533)*(10^(-4))/G101</f>
        <v>0.35463749999999999</v>
      </c>
      <c r="H109" s="2903">
        <f>(-0.161*(H108^2)-7.509*H108+6533)*(10^(-4))/H101</f>
        <v>0.35463749999999999</v>
      </c>
      <c r="I109" s="2903">
        <f>(-0.161*(I108^2)-7.509*I108+6533)*(10^(-4))/I101</f>
        <v>0.35463749999999999</v>
      </c>
      <c r="J109" s="2903">
        <f>(-0.214*(J108^2)-21.991*J108+4665)*(10^(-4))/J101</f>
        <v>0.25232581521739128</v>
      </c>
      <c r="K109" s="2903">
        <f>(-0.214*(K108^2)-21.991*K108+4665)*(10^(-4))/K101</f>
        <v>0.25232581521739128</v>
      </c>
      <c r="L109" s="2903">
        <f>(-0.214*(L108^2)-21.991*L108+4665)*(10^(-4))/L101</f>
        <v>0.25232581521739128</v>
      </c>
      <c r="M109" s="2903">
        <f>(-0.214*(M108^2)-21.991*M108+4665)*(10^(-4))/M101</f>
        <v>0.25232581521739128</v>
      </c>
      <c r="N109" s="2903">
        <f>(-0.214*(N108^2)-21.991*N108+4665)*(10^(-4))/N101</f>
        <v>0.25232581521739128</v>
      </c>
    </row>
    <row r="110" spans="1:14">
      <c r="A110" s="3250" t="s">
        <v>2979</v>
      </c>
      <c r="B110" s="3250"/>
      <c r="C110" s="3250"/>
      <c r="D110" s="3250"/>
      <c r="E110" s="3250"/>
      <c r="F110" s="3250"/>
      <c r="G110" s="3250"/>
      <c r="H110" s="3250"/>
      <c r="I110" s="3250"/>
      <c r="J110" s="3250"/>
      <c r="K110" s="2906"/>
      <c r="L110" s="2906"/>
      <c r="M110" s="2906"/>
      <c r="N110" s="2906"/>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3" t="str">
        <f>项目基本情况!B1</f>
        <v>北京市丰台区西四环中路113号房地产抵押价值预评估</v>
      </c>
      <c r="C37" s="2953"/>
      <c r="D37" s="2953"/>
      <c r="E37" s="2953"/>
      <c r="F37" s="2953"/>
      <c r="G37" s="2953"/>
      <c r="H37" s="2953"/>
      <c r="I37" s="2953"/>
    </row>
    <row r="38" spans="1:9">
      <c r="A38" s="1019"/>
      <c r="B38" s="1019"/>
    </row>
    <row r="39" spans="1:9">
      <c r="A39" s="1017" t="s">
        <v>817</v>
      </c>
      <c r="B39" s="1017" t="s">
        <v>819</v>
      </c>
    </row>
    <row r="40" spans="1:9">
      <c r="A40" s="1017"/>
      <c r="B40" s="1945" t="str">
        <f>项目基本情况!B5</f>
        <v>北京红星美凯龙国际家具建材广场有限公司</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梁津（注册号：1119970066)、欧红伟（注册号：1120000080)</v>
      </c>
    </row>
    <row r="47" spans="1:9">
      <c r="A47" s="1017"/>
      <c r="B47" s="1017" t="str">
        <f>项目基本情况!K5</f>
        <v/>
      </c>
    </row>
    <row r="48" spans="1:9">
      <c r="A48" s="1017" t="s">
        <v>817</v>
      </c>
      <c r="B48" s="1017" t="s">
        <v>823</v>
      </c>
    </row>
    <row r="49" spans="2:2">
      <c r="B49" s="1945" t="str">
        <f>"康正预评字"&amp;项目基本情况!B2&amp;"号"</f>
        <v>康正预评字 2018-1-0100-P01DYGJ1号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11633.97</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23575</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28231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20264</v>
      </c>
      <c r="C3" s="2726" t="s">
        <v>2817</v>
      </c>
      <c r="D3" s="2727" t="s">
        <v>2818</v>
      </c>
      <c r="E3" s="2732" t="s">
        <v>3085</v>
      </c>
      <c r="F3" s="2733" t="s">
        <v>2819</v>
      </c>
      <c r="G3" s="916">
        <f>IF(F3="宗地容积率",'数据-汇总表'!I4,IF(F3="估价对象容积率",'数据-汇总表'!I6,'数据-汇总表'!I7))</f>
        <v>1.84</v>
      </c>
      <c r="H3" s="198" t="s">
        <v>2820</v>
      </c>
      <c r="I3" s="947">
        <v>2</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20264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16349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13118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11170</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9823</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46"/>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2838</v>
      </c>
      <c r="X8" s="323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6"/>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45"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4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3105</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1.3371999999999999</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1.3371999999999999</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1.0305</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23575</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20264</v>
      </c>
      <c r="D29" s="2850">
        <f>面积表!E5</f>
        <v>11633.97</v>
      </c>
      <c r="E29" s="2939">
        <f ca="1">ROUND(C29*D29/10000,0)</f>
        <v>23575</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5066</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2929</v>
      </c>
      <c r="B33" s="2866" t="s">
        <v>2930</v>
      </c>
      <c r="C33" s="206">
        <f ca="1">ROUND(D5*C19*C20*C24*F33,0)</f>
        <v>10608</v>
      </c>
      <c r="D33" s="2850"/>
      <c r="E33" s="200">
        <f ca="1">ROUND(C33*D33/10000,0)</f>
        <v>0</v>
      </c>
      <c r="F33" s="200">
        <f>SUMIF(修正!A45:A56,G2,修正!B45:B56)</f>
        <v>0.7</v>
      </c>
      <c r="G33" s="200">
        <f t="shared" ref="G33:G39" ca="1" si="6">ROUND(IF(E2="工业",C33*$M$39,C33*$M$38),0)</f>
        <v>2652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2931</v>
      </c>
      <c r="C34" s="206">
        <f ca="1">ROUND(D5*C19*C20*C24*F34,0)</f>
        <v>6062</v>
      </c>
      <c r="D34" s="2850"/>
      <c r="E34" s="200">
        <f t="shared" ref="E34:E39" ca="1" si="7">ROUND(C34*D34/10000,0)</f>
        <v>0</v>
      </c>
      <c r="F34" s="200">
        <f>SUMIF(修正!A45:A56,G2,修正!C45:C56)</f>
        <v>0.4</v>
      </c>
      <c r="G34" s="200">
        <f t="shared" ca="1" si="6"/>
        <v>1516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2932</v>
      </c>
      <c r="C35" s="206">
        <f ca="1">ROUND(D5*C19*C20*C24*F35,0)</f>
        <v>4243</v>
      </c>
      <c r="D35" s="2850"/>
      <c r="E35" s="200">
        <f t="shared" ca="1" si="7"/>
        <v>0</v>
      </c>
      <c r="F35" s="200">
        <f>SUMIF(修正!A45:A56,G2,修正!D45:D56)</f>
        <v>0.28000000000000003</v>
      </c>
      <c r="G35" s="200">
        <f t="shared" ca="1" si="6"/>
        <v>1061</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2933</v>
      </c>
      <c r="C36" s="206">
        <f ca="1">ROUND(D5*C19*C20*C24*F36,0)</f>
        <v>3789</v>
      </c>
      <c r="D36" s="2850"/>
      <c r="E36" s="200">
        <f t="shared" ca="1" si="7"/>
        <v>0</v>
      </c>
      <c r="F36" s="200">
        <f>SUMIF(修正!A45:A56,G2,修正!E45:E56)</f>
        <v>0.25</v>
      </c>
      <c r="G36" s="200">
        <f t="shared" ca="1" si="6"/>
        <v>947</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3789</v>
      </c>
      <c r="D37" s="2850"/>
      <c r="E37" s="200">
        <f t="shared" ca="1" si="7"/>
        <v>0</v>
      </c>
      <c r="F37" s="206">
        <f>SUMIF(修正!A45:A56,G2,修正!F45:F56)</f>
        <v>0.25</v>
      </c>
      <c r="G37" s="200">
        <f t="shared" ca="1" si="6"/>
        <v>947</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3789</v>
      </c>
      <c r="D38" s="2850"/>
      <c r="E38" s="200">
        <f t="shared" ca="1" si="7"/>
        <v>0</v>
      </c>
      <c r="F38" s="206">
        <f>SUMIF(修正!A45:A56,G2,修正!G45:G56)</f>
        <v>0.25</v>
      </c>
      <c r="G38" s="200">
        <f t="shared" ca="1" si="6"/>
        <v>947</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3031</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1.0305</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3095</v>
      </c>
      <c r="D48" s="1289">
        <f t="shared" ref="D48:D56" si="10">SUMIF($J$47:$N$47,C48,J48:N48)</f>
        <v>0</v>
      </c>
      <c r="E48" s="821">
        <f>ROUND(SUM(D48:D56),4)</f>
        <v>3.0499999999999999E-2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3096</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3096</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3097</v>
      </c>
      <c r="C51" s="2775" t="s">
        <v>3096</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3096</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3294" t="s">
        <v>3098</v>
      </c>
      <c r="C53" s="2775" t="s">
        <v>3096</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3096</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六通</v>
      </c>
      <c r="C55" s="2775" t="s">
        <v>3096</v>
      </c>
      <c r="D55" s="1289">
        <f t="shared" si="10"/>
        <v>5.0000000000000001E-3</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3095</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2971</v>
      </c>
      <c r="B90" s="3249"/>
      <c r="C90" s="3249"/>
      <c r="D90" s="3249"/>
      <c r="E90" s="3249"/>
      <c r="F90" s="3249"/>
      <c r="G90" s="3249"/>
      <c r="H90" s="3249"/>
      <c r="I90" s="3249"/>
      <c r="J90" s="3249"/>
      <c r="K90" s="2937"/>
      <c r="L90" s="2937"/>
      <c r="M90" s="2937"/>
      <c r="N90" s="2937"/>
    </row>
    <row r="91" spans="1:37">
      <c r="A91" s="3251" t="s">
        <v>2972</v>
      </c>
      <c r="B91" s="3251" t="s">
        <v>2973</v>
      </c>
      <c r="C91" s="2851" t="s">
        <v>2974</v>
      </c>
      <c r="D91" s="2852"/>
      <c r="E91" s="2852"/>
      <c r="F91" s="2852"/>
      <c r="G91" s="2852"/>
      <c r="H91" s="2852"/>
      <c r="I91" s="2852"/>
      <c r="J91" s="2898"/>
      <c r="K91" s="2899"/>
      <c r="L91" s="2899"/>
      <c r="M91" s="2899"/>
      <c r="N91" s="2899"/>
    </row>
    <row r="92" spans="1:37">
      <c r="A92" s="3251"/>
      <c r="B92" s="3251"/>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52"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2855</v>
      </c>
      <c r="C99" s="2902">
        <f>$I$3</f>
        <v>2</v>
      </c>
      <c r="D99" s="2902">
        <f t="shared" ref="D99:M99" si="30">$I$3</f>
        <v>2</v>
      </c>
      <c r="E99" s="2902">
        <f t="shared" si="30"/>
        <v>2</v>
      </c>
      <c r="F99" s="2902">
        <f t="shared" si="30"/>
        <v>2</v>
      </c>
      <c r="G99" s="2902">
        <f t="shared" si="30"/>
        <v>2</v>
      </c>
      <c r="H99" s="2902">
        <f t="shared" si="30"/>
        <v>2</v>
      </c>
      <c r="I99" s="2902">
        <f t="shared" si="30"/>
        <v>2</v>
      </c>
      <c r="J99" s="2902">
        <f t="shared" si="30"/>
        <v>2</v>
      </c>
      <c r="K99" s="2902">
        <f t="shared" si="30"/>
        <v>2</v>
      </c>
      <c r="L99" s="2902">
        <f t="shared" si="30"/>
        <v>2</v>
      </c>
      <c r="M99" s="2902">
        <f t="shared" si="30"/>
        <v>2</v>
      </c>
      <c r="N99" s="2902">
        <f>$I$3</f>
        <v>2</v>
      </c>
    </row>
    <row r="100" spans="1:14">
      <c r="A100" s="3254"/>
      <c r="B100" s="2900">
        <v>7</v>
      </c>
      <c r="C100" s="2903">
        <f>(-0.163*(C99^2)-0.59*C99+7617)*(10^(-4))</f>
        <v>0.76151679999999999</v>
      </c>
      <c r="D100" s="2903">
        <f>(-0.163*(D99^2)-0.59*D99+7617)*(10^(-4))</f>
        <v>0.76151679999999999</v>
      </c>
      <c r="E100" s="2903">
        <f>(-0.161*(E99^2)-7.509*E99+6533)*(10^(-4))</f>
        <v>0.65173380000000003</v>
      </c>
      <c r="F100" s="2903">
        <f>(-0.161*(F99^2)-7.509*F99+6533)*(10^(-4))</f>
        <v>0.65173380000000003</v>
      </c>
      <c r="G100" s="2903">
        <f>(-0.161*(G99^2)-7.509*G99+6533)*(10^(-4))</f>
        <v>0.65173380000000003</v>
      </c>
      <c r="H100" s="2903">
        <f>(-0.161*(H99^2)-7.509*H99+6533)*(10^(-4))</f>
        <v>0.65173380000000003</v>
      </c>
      <c r="I100" s="2903">
        <f>(-0.161*(I99^2)-7.509*I99+6533)*(10^(-4))</f>
        <v>0.65173380000000003</v>
      </c>
      <c r="J100" s="2903">
        <f>(-0.214*(J99^2)-21.991*J99+4665)*(10^(-4))</f>
        <v>0.46201620000000004</v>
      </c>
      <c r="K100" s="2903">
        <f>(-0.214*(K99^2)-21.991*K99+4665)*(10^(-4))</f>
        <v>0.46201620000000004</v>
      </c>
      <c r="L100" s="2903">
        <f>(-0.214*(L99^2)-21.991*L99+4665)*(10^(-4))</f>
        <v>0.46201620000000004</v>
      </c>
      <c r="M100" s="2903">
        <f>(-0.214*(M99^2)-21.991*M99+4665)*(10^(-4))</f>
        <v>0.46201620000000004</v>
      </c>
      <c r="N100" s="2903">
        <f>(-0.214*(N99^2)-21.991*N99+4665)*(10^(-4))</f>
        <v>0.46201620000000004</v>
      </c>
    </row>
    <row r="101" spans="1:14">
      <c r="A101" s="3252"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53"/>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53"/>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53"/>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53"/>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53"/>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53"/>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53"/>
      <c r="B108" s="3111" t="s">
        <v>2868</v>
      </c>
      <c r="C108" s="2902">
        <f>C99</f>
        <v>2</v>
      </c>
      <c r="D108" s="2902">
        <f t="shared" ref="D108:N108" si="32">D99</f>
        <v>2</v>
      </c>
      <c r="E108" s="2902">
        <f t="shared" si="32"/>
        <v>2</v>
      </c>
      <c r="F108" s="2902">
        <f t="shared" si="32"/>
        <v>2</v>
      </c>
      <c r="G108" s="2902">
        <f t="shared" si="32"/>
        <v>2</v>
      </c>
      <c r="H108" s="2902">
        <f t="shared" si="32"/>
        <v>2</v>
      </c>
      <c r="I108" s="2902">
        <f t="shared" si="32"/>
        <v>2</v>
      </c>
      <c r="J108" s="2902">
        <f t="shared" si="32"/>
        <v>2</v>
      </c>
      <c r="K108" s="2902">
        <f t="shared" si="32"/>
        <v>2</v>
      </c>
      <c r="L108" s="2902">
        <f t="shared" si="32"/>
        <v>2</v>
      </c>
      <c r="M108" s="2902">
        <f t="shared" si="32"/>
        <v>2</v>
      </c>
      <c r="N108" s="2902">
        <f t="shared" si="32"/>
        <v>2</v>
      </c>
    </row>
    <row r="109" spans="1:14">
      <c r="A109" s="3254"/>
      <c r="B109" s="3112"/>
      <c r="C109" s="2903">
        <f>(-0.163*(C108^2)-0.59*C108+7617)*(10^(-4))/C101</f>
        <v>0.41386782608695649</v>
      </c>
      <c r="D109" s="2903">
        <f>(-0.163*(D108^2)-0.59*D108+7617)*(10^(-4))/D101</f>
        <v>0.41386782608695649</v>
      </c>
      <c r="E109" s="2903">
        <f>(-0.161*(E108^2)-7.509*E108+6533)*(10^(-4))/E101</f>
        <v>0.35420315217391307</v>
      </c>
      <c r="F109" s="2903">
        <f>(-0.161*(F108^2)-7.509*F108+6533)*(10^(-4))/F101</f>
        <v>0.35420315217391307</v>
      </c>
      <c r="G109" s="2903">
        <f>(-0.161*(G108^2)-7.509*G108+6533)*(10^(-4))/G101</f>
        <v>0.35420315217391307</v>
      </c>
      <c r="H109" s="2903">
        <f>(-0.161*(H108^2)-7.509*H108+6533)*(10^(-4))/H101</f>
        <v>0.35420315217391307</v>
      </c>
      <c r="I109" s="2903">
        <f>(-0.161*(I108^2)-7.509*I108+6533)*(10^(-4))/I101</f>
        <v>0.35420315217391307</v>
      </c>
      <c r="J109" s="2903">
        <f>(-0.214*(J108^2)-21.991*J108+4665)*(10^(-4))/J101</f>
        <v>0.25109576086956525</v>
      </c>
      <c r="K109" s="2903">
        <f>(-0.214*(K108^2)-21.991*K108+4665)*(10^(-4))/K101</f>
        <v>0.25109576086956525</v>
      </c>
      <c r="L109" s="2903">
        <f>(-0.214*(L108^2)-21.991*L108+4665)*(10^(-4))/L101</f>
        <v>0.25109576086956525</v>
      </c>
      <c r="M109" s="2903">
        <f>(-0.214*(M108^2)-21.991*M108+4665)*(10^(-4))/M101</f>
        <v>0.25109576086956525</v>
      </c>
      <c r="N109" s="2903">
        <f>(-0.214*(N108^2)-21.991*N108+4665)*(10^(-4))/N101</f>
        <v>0.25109576086956525</v>
      </c>
    </row>
    <row r="110" spans="1:14">
      <c r="A110" s="3250" t="s">
        <v>2979</v>
      </c>
      <c r="B110" s="3250"/>
      <c r="C110" s="3250"/>
      <c r="D110" s="3250"/>
      <c r="E110" s="3250"/>
      <c r="F110" s="3250"/>
      <c r="G110" s="3250"/>
      <c r="H110" s="3250"/>
      <c r="I110" s="3250"/>
      <c r="J110" s="3250"/>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11667.07</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19074</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28231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16349</v>
      </c>
      <c r="C3" s="2726" t="s">
        <v>2817</v>
      </c>
      <c r="D3" s="2727" t="s">
        <v>2818</v>
      </c>
      <c r="E3" s="2732" t="s">
        <v>3085</v>
      </c>
      <c r="F3" s="2733" t="s">
        <v>2819</v>
      </c>
      <c r="G3" s="916">
        <f>IF(F3="宗地容积率",'数据-汇总表'!I4,IF(F3="估价对象容积率",'数据-汇总表'!I6,'数据-汇总表'!I7))</f>
        <v>1.84</v>
      </c>
      <c r="H3" s="198" t="s">
        <v>2820</v>
      </c>
      <c r="I3" s="947">
        <v>3</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20264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16349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13118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11170</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9823</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46"/>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2838</v>
      </c>
      <c r="X8" s="323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6"/>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45"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4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3105</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1.0788</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1.0788</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1.0305</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19074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16349</v>
      </c>
      <c r="D29" s="2850">
        <f>面积表!E6</f>
        <v>11667.07</v>
      </c>
      <c r="E29" s="2939">
        <f ca="1">ROUND(C29*D29/10000,0)</f>
        <v>19074</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4087</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2929</v>
      </c>
      <c r="B33" s="2866" t="s">
        <v>2930</v>
      </c>
      <c r="C33" s="206">
        <f ca="1">ROUND(D5*C19*C20*C24*F33,0)</f>
        <v>10608</v>
      </c>
      <c r="D33" s="2850"/>
      <c r="E33" s="200">
        <f ca="1">ROUND(C33*D33/10000,0)</f>
        <v>0</v>
      </c>
      <c r="F33" s="200">
        <f>SUMIF(修正!A45:A56,G2,修正!B45:B56)</f>
        <v>0.7</v>
      </c>
      <c r="G33" s="200">
        <f t="shared" ref="G33:G39" ca="1" si="6">ROUND(IF(E2="工业",C33*$M$39,C33*$M$38),0)</f>
        <v>2652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2931</v>
      </c>
      <c r="C34" s="206">
        <f ca="1">ROUND(D5*C19*C20*C24*F34,0)</f>
        <v>6062</v>
      </c>
      <c r="D34" s="2850"/>
      <c r="E34" s="200">
        <f t="shared" ref="E34:E39" ca="1" si="7">ROUND(C34*D34/10000,0)</f>
        <v>0</v>
      </c>
      <c r="F34" s="200">
        <f>SUMIF(修正!A45:A56,G2,修正!C45:C56)</f>
        <v>0.4</v>
      </c>
      <c r="G34" s="200">
        <f t="shared" ca="1" si="6"/>
        <v>1516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2932</v>
      </c>
      <c r="C35" s="206">
        <f ca="1">ROUND(D5*C19*C20*C24*F35,0)</f>
        <v>4243</v>
      </c>
      <c r="D35" s="2850"/>
      <c r="E35" s="200">
        <f t="shared" ca="1" si="7"/>
        <v>0</v>
      </c>
      <c r="F35" s="200">
        <f>SUMIF(修正!A45:A56,G2,修正!D45:D56)</f>
        <v>0.28000000000000003</v>
      </c>
      <c r="G35" s="200">
        <f t="shared" ca="1" si="6"/>
        <v>1061</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2933</v>
      </c>
      <c r="C36" s="206">
        <f ca="1">ROUND(D5*C19*C20*C24*F36,0)</f>
        <v>3789</v>
      </c>
      <c r="D36" s="2850"/>
      <c r="E36" s="200">
        <f t="shared" ca="1" si="7"/>
        <v>0</v>
      </c>
      <c r="F36" s="200">
        <f>SUMIF(修正!A45:A56,G2,修正!E45:E56)</f>
        <v>0.25</v>
      </c>
      <c r="G36" s="200">
        <f t="shared" ca="1" si="6"/>
        <v>947</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3789</v>
      </c>
      <c r="D37" s="2850"/>
      <c r="E37" s="200">
        <f t="shared" ca="1" si="7"/>
        <v>0</v>
      </c>
      <c r="F37" s="206">
        <f>SUMIF(修正!A45:A56,G2,修正!F45:F56)</f>
        <v>0.25</v>
      </c>
      <c r="G37" s="200">
        <f t="shared" ca="1" si="6"/>
        <v>947</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3789</v>
      </c>
      <c r="D38" s="2850"/>
      <c r="E38" s="200">
        <f t="shared" ca="1" si="7"/>
        <v>0</v>
      </c>
      <c r="F38" s="206">
        <f>SUMIF(修正!A45:A56,G2,修正!G45:G56)</f>
        <v>0.25</v>
      </c>
      <c r="G38" s="200">
        <f t="shared" ca="1" si="6"/>
        <v>947</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3031</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1.0305</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3095</v>
      </c>
      <c r="D48" s="1289">
        <f t="shared" ref="D48:D56" si="10">SUMIF($J$47:$N$47,C48,J48:N48)</f>
        <v>0</v>
      </c>
      <c r="E48" s="821">
        <f>ROUND(SUM(D48:D56),4)</f>
        <v>3.0499999999999999E-2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3096</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3096</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3097</v>
      </c>
      <c r="C51" s="2775" t="s">
        <v>3096</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3096</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3294" t="s">
        <v>3098</v>
      </c>
      <c r="C53" s="2775" t="s">
        <v>3096</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3096</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六通</v>
      </c>
      <c r="C55" s="2775" t="s">
        <v>3096</v>
      </c>
      <c r="D55" s="1289">
        <f t="shared" si="10"/>
        <v>5.0000000000000001E-3</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3095</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2971</v>
      </c>
      <c r="B90" s="3249"/>
      <c r="C90" s="3249"/>
      <c r="D90" s="3249"/>
      <c r="E90" s="3249"/>
      <c r="F90" s="3249"/>
      <c r="G90" s="3249"/>
      <c r="H90" s="3249"/>
      <c r="I90" s="3249"/>
      <c r="J90" s="3249"/>
      <c r="K90" s="2937"/>
      <c r="L90" s="2937"/>
      <c r="M90" s="2937"/>
      <c r="N90" s="2937"/>
    </row>
    <row r="91" spans="1:37">
      <c r="A91" s="3251" t="s">
        <v>2972</v>
      </c>
      <c r="B91" s="3251" t="s">
        <v>2973</v>
      </c>
      <c r="C91" s="2851" t="s">
        <v>2974</v>
      </c>
      <c r="D91" s="2852"/>
      <c r="E91" s="2852"/>
      <c r="F91" s="2852"/>
      <c r="G91" s="2852"/>
      <c r="H91" s="2852"/>
      <c r="I91" s="2852"/>
      <c r="J91" s="2898"/>
      <c r="K91" s="2899"/>
      <c r="L91" s="2899"/>
      <c r="M91" s="2899"/>
      <c r="N91" s="2899"/>
    </row>
    <row r="92" spans="1:37">
      <c r="A92" s="3251"/>
      <c r="B92" s="3251"/>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52"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2855</v>
      </c>
      <c r="C99" s="2902">
        <f>$I$3</f>
        <v>3</v>
      </c>
      <c r="D99" s="2902">
        <f t="shared" ref="D99:M99" si="30">$I$3</f>
        <v>3</v>
      </c>
      <c r="E99" s="2902">
        <f t="shared" si="30"/>
        <v>3</v>
      </c>
      <c r="F99" s="2902">
        <f t="shared" si="30"/>
        <v>3</v>
      </c>
      <c r="G99" s="2902">
        <f t="shared" si="30"/>
        <v>3</v>
      </c>
      <c r="H99" s="2902">
        <f t="shared" si="30"/>
        <v>3</v>
      </c>
      <c r="I99" s="2902">
        <f t="shared" si="30"/>
        <v>3</v>
      </c>
      <c r="J99" s="2902">
        <f t="shared" si="30"/>
        <v>3</v>
      </c>
      <c r="K99" s="2902">
        <f t="shared" si="30"/>
        <v>3</v>
      </c>
      <c r="L99" s="2902">
        <f t="shared" si="30"/>
        <v>3</v>
      </c>
      <c r="M99" s="2902">
        <f t="shared" si="30"/>
        <v>3</v>
      </c>
      <c r="N99" s="2902">
        <f>$I$3</f>
        <v>3</v>
      </c>
    </row>
    <row r="100" spans="1:14">
      <c r="A100" s="3254"/>
      <c r="B100" s="2900">
        <v>7</v>
      </c>
      <c r="C100" s="2903">
        <f>(-0.163*(C99^2)-0.59*C99+7617)*(10^(-4))</f>
        <v>0.76137630000000001</v>
      </c>
      <c r="D100" s="2903">
        <f>(-0.163*(D99^2)-0.59*D99+7617)*(10^(-4))</f>
        <v>0.76137630000000001</v>
      </c>
      <c r="E100" s="2903">
        <f>(-0.161*(E99^2)-7.509*E99+6533)*(10^(-4))</f>
        <v>0.6509024000000001</v>
      </c>
      <c r="F100" s="2903">
        <f>(-0.161*(F99^2)-7.509*F99+6533)*(10^(-4))</f>
        <v>0.6509024000000001</v>
      </c>
      <c r="G100" s="2903">
        <f>(-0.161*(G99^2)-7.509*G99+6533)*(10^(-4))</f>
        <v>0.6509024000000001</v>
      </c>
      <c r="H100" s="2903">
        <f>(-0.161*(H99^2)-7.509*H99+6533)*(10^(-4))</f>
        <v>0.6509024000000001</v>
      </c>
      <c r="I100" s="2903">
        <f>(-0.161*(I99^2)-7.509*I99+6533)*(10^(-4))</f>
        <v>0.6509024000000001</v>
      </c>
      <c r="J100" s="2903">
        <f>(-0.214*(J99^2)-21.991*J99+4665)*(10^(-4))</f>
        <v>0.45971010000000001</v>
      </c>
      <c r="K100" s="2903">
        <f>(-0.214*(K99^2)-21.991*K99+4665)*(10^(-4))</f>
        <v>0.45971010000000001</v>
      </c>
      <c r="L100" s="2903">
        <f>(-0.214*(L99^2)-21.991*L99+4665)*(10^(-4))</f>
        <v>0.45971010000000001</v>
      </c>
      <c r="M100" s="2903">
        <f>(-0.214*(M99^2)-21.991*M99+4665)*(10^(-4))</f>
        <v>0.45971010000000001</v>
      </c>
      <c r="N100" s="2903">
        <f>(-0.214*(N99^2)-21.991*N99+4665)*(10^(-4))</f>
        <v>0.45971010000000001</v>
      </c>
    </row>
    <row r="101" spans="1:14">
      <c r="A101" s="3252"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53"/>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53"/>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53"/>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53"/>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53"/>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53"/>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53"/>
      <c r="B108" s="3111" t="s">
        <v>2868</v>
      </c>
      <c r="C108" s="2902">
        <f>C99</f>
        <v>3</v>
      </c>
      <c r="D108" s="2902">
        <f t="shared" ref="D108:N108" si="32">D99</f>
        <v>3</v>
      </c>
      <c r="E108" s="2902">
        <f t="shared" si="32"/>
        <v>3</v>
      </c>
      <c r="F108" s="2902">
        <f t="shared" si="32"/>
        <v>3</v>
      </c>
      <c r="G108" s="2902">
        <f t="shared" si="32"/>
        <v>3</v>
      </c>
      <c r="H108" s="2902">
        <f t="shared" si="32"/>
        <v>3</v>
      </c>
      <c r="I108" s="2902">
        <f t="shared" si="32"/>
        <v>3</v>
      </c>
      <c r="J108" s="2902">
        <f t="shared" si="32"/>
        <v>3</v>
      </c>
      <c r="K108" s="2902">
        <f t="shared" si="32"/>
        <v>3</v>
      </c>
      <c r="L108" s="2902">
        <f t="shared" si="32"/>
        <v>3</v>
      </c>
      <c r="M108" s="2902">
        <f t="shared" si="32"/>
        <v>3</v>
      </c>
      <c r="N108" s="2902">
        <f t="shared" si="32"/>
        <v>3</v>
      </c>
    </row>
    <row r="109" spans="1:14">
      <c r="A109" s="3254"/>
      <c r="B109" s="3112"/>
      <c r="C109" s="2903">
        <f>(-0.163*(C108^2)-0.59*C108+7617)*(10^(-4))/C101</f>
        <v>0.41379146739130435</v>
      </c>
      <c r="D109" s="2903">
        <f>(-0.163*(D108^2)-0.59*D108+7617)*(10^(-4))/D101</f>
        <v>0.41379146739130435</v>
      </c>
      <c r="E109" s="2903">
        <f>(-0.161*(E108^2)-7.509*E108+6533)*(10^(-4))/E101</f>
        <v>0.35375130434782615</v>
      </c>
      <c r="F109" s="2903">
        <f>(-0.161*(F108^2)-7.509*F108+6533)*(10^(-4))/F101</f>
        <v>0.35375130434782615</v>
      </c>
      <c r="G109" s="2903">
        <f>(-0.161*(G108^2)-7.509*G108+6533)*(10^(-4))/G101</f>
        <v>0.35375130434782615</v>
      </c>
      <c r="H109" s="2903">
        <f>(-0.161*(H108^2)-7.509*H108+6533)*(10^(-4))/H101</f>
        <v>0.35375130434782615</v>
      </c>
      <c r="I109" s="2903">
        <f>(-0.161*(I108^2)-7.509*I108+6533)*(10^(-4))/I101</f>
        <v>0.35375130434782615</v>
      </c>
      <c r="J109" s="2903">
        <f>(-0.214*(J108^2)-21.991*J108+4665)*(10^(-4))/J101</f>
        <v>0.24984244565217389</v>
      </c>
      <c r="K109" s="2903">
        <f>(-0.214*(K108^2)-21.991*K108+4665)*(10^(-4))/K101</f>
        <v>0.24984244565217389</v>
      </c>
      <c r="L109" s="2903">
        <f>(-0.214*(L108^2)-21.991*L108+4665)*(10^(-4))/L101</f>
        <v>0.24984244565217389</v>
      </c>
      <c r="M109" s="2903">
        <f>(-0.214*(M108^2)-21.991*M108+4665)*(10^(-4))/M101</f>
        <v>0.24984244565217389</v>
      </c>
      <c r="N109" s="2903">
        <f>(-0.214*(N108^2)-21.991*N108+4665)*(10^(-4))/N101</f>
        <v>0.24984244565217389</v>
      </c>
    </row>
    <row r="110" spans="1:14">
      <c r="A110" s="3250" t="s">
        <v>2979</v>
      </c>
      <c r="B110" s="3250"/>
      <c r="C110" s="3250"/>
      <c r="D110" s="3250"/>
      <c r="E110" s="3250"/>
      <c r="F110" s="3250"/>
      <c r="G110" s="3250"/>
      <c r="H110" s="3250"/>
      <c r="I110" s="3250"/>
      <c r="J110" s="3250"/>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27" sqref="H2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11385.89</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14936</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28231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13118</v>
      </c>
      <c r="C3" s="2726" t="s">
        <v>2817</v>
      </c>
      <c r="D3" s="2727" t="s">
        <v>2818</v>
      </c>
      <c r="E3" s="2732" t="s">
        <v>3085</v>
      </c>
      <c r="F3" s="2733" t="s">
        <v>2819</v>
      </c>
      <c r="G3" s="916">
        <f>IF(F3="宗地容积率",'数据-汇总表'!I4,IF(F3="估价对象容积率",'数据-汇总表'!I6,'数据-汇总表'!I7))</f>
        <v>1.84</v>
      </c>
      <c r="H3" s="198" t="s">
        <v>2820</v>
      </c>
      <c r="I3" s="947">
        <v>4</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20264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16349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13118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11170</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9823</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46"/>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2838</v>
      </c>
      <c r="X8" s="323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6"/>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45"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4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3105</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0.86560000000000004</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0.86560000000000004</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1.0305</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14936</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13118</v>
      </c>
      <c r="D29" s="2850">
        <f>面积表!E7</f>
        <v>11385.89</v>
      </c>
      <c r="E29" s="2939">
        <f ca="1">ROUND(C29*D29/10000,0)</f>
        <v>14936</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3280</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2929</v>
      </c>
      <c r="B33" s="2866" t="s">
        <v>2930</v>
      </c>
      <c r="C33" s="206">
        <f ca="1">ROUND(D5*C19*C20*C24*F33,0)</f>
        <v>10608</v>
      </c>
      <c r="D33" s="2850"/>
      <c r="E33" s="200">
        <f ca="1">ROUND(C33*D33/10000,0)</f>
        <v>0</v>
      </c>
      <c r="F33" s="200">
        <f>SUMIF(修正!A45:A56,G2,修正!B45:B56)</f>
        <v>0.7</v>
      </c>
      <c r="G33" s="200">
        <f t="shared" ref="G33:G39" ca="1" si="6">ROUND(IF(E2="工业",C33*$M$39,C33*$M$38),0)</f>
        <v>2652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2931</v>
      </c>
      <c r="C34" s="206">
        <f ca="1">ROUND(D5*C19*C20*C24*F34,0)</f>
        <v>6062</v>
      </c>
      <c r="D34" s="2850"/>
      <c r="E34" s="200">
        <f t="shared" ref="E34:E39" ca="1" si="7">ROUND(C34*D34/10000,0)</f>
        <v>0</v>
      </c>
      <c r="F34" s="200">
        <f>SUMIF(修正!A45:A56,G2,修正!C45:C56)</f>
        <v>0.4</v>
      </c>
      <c r="G34" s="200">
        <f t="shared" ca="1" si="6"/>
        <v>1516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2932</v>
      </c>
      <c r="C35" s="206">
        <f ca="1">ROUND(D5*C19*C20*C24*F35,0)</f>
        <v>4243</v>
      </c>
      <c r="D35" s="2850"/>
      <c r="E35" s="200">
        <f t="shared" ca="1" si="7"/>
        <v>0</v>
      </c>
      <c r="F35" s="200">
        <f>SUMIF(修正!A45:A56,G2,修正!D45:D56)</f>
        <v>0.28000000000000003</v>
      </c>
      <c r="G35" s="200">
        <f t="shared" ca="1" si="6"/>
        <v>1061</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2933</v>
      </c>
      <c r="C36" s="206">
        <f ca="1">ROUND(D5*C19*C20*C24*F36,0)</f>
        <v>3789</v>
      </c>
      <c r="D36" s="2850"/>
      <c r="E36" s="200">
        <f t="shared" ca="1" si="7"/>
        <v>0</v>
      </c>
      <c r="F36" s="200">
        <f>SUMIF(修正!A45:A56,G2,修正!E45:E56)</f>
        <v>0.25</v>
      </c>
      <c r="G36" s="200">
        <f t="shared" ca="1" si="6"/>
        <v>947</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3789</v>
      </c>
      <c r="D37" s="2850"/>
      <c r="E37" s="200">
        <f t="shared" ca="1" si="7"/>
        <v>0</v>
      </c>
      <c r="F37" s="206">
        <f>SUMIF(修正!A45:A56,G2,修正!F45:F56)</f>
        <v>0.25</v>
      </c>
      <c r="G37" s="200">
        <f t="shared" ca="1" si="6"/>
        <v>947</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3789</v>
      </c>
      <c r="D38" s="2850"/>
      <c r="E38" s="200">
        <f t="shared" ca="1" si="7"/>
        <v>0</v>
      </c>
      <c r="F38" s="206">
        <f>SUMIF(修正!A45:A56,G2,修正!G45:G56)</f>
        <v>0.25</v>
      </c>
      <c r="G38" s="200">
        <f t="shared" ca="1" si="6"/>
        <v>947</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3031</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1.0305</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3095</v>
      </c>
      <c r="D48" s="1289">
        <f t="shared" ref="D48:D56" si="10">SUMIF($J$47:$N$47,C48,J48:N48)</f>
        <v>0</v>
      </c>
      <c r="E48" s="821">
        <f>ROUND(SUM(D48:D56),4)</f>
        <v>3.0499999999999999E-2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3096</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3096</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3097</v>
      </c>
      <c r="C51" s="2775" t="s">
        <v>3096</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3096</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3294" t="s">
        <v>3098</v>
      </c>
      <c r="C53" s="2775" t="s">
        <v>3096</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3096</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六通</v>
      </c>
      <c r="C55" s="2775" t="s">
        <v>3096</v>
      </c>
      <c r="D55" s="1289">
        <f t="shared" si="10"/>
        <v>5.0000000000000001E-3</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3095</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2971</v>
      </c>
      <c r="B90" s="3249"/>
      <c r="C90" s="3249"/>
      <c r="D90" s="3249"/>
      <c r="E90" s="3249"/>
      <c r="F90" s="3249"/>
      <c r="G90" s="3249"/>
      <c r="H90" s="3249"/>
      <c r="I90" s="3249"/>
      <c r="J90" s="3249"/>
      <c r="K90" s="2937"/>
      <c r="L90" s="2937"/>
      <c r="M90" s="2937"/>
      <c r="N90" s="2937"/>
    </row>
    <row r="91" spans="1:37">
      <c r="A91" s="3251" t="s">
        <v>2972</v>
      </c>
      <c r="B91" s="3251" t="s">
        <v>2973</v>
      </c>
      <c r="C91" s="2851" t="s">
        <v>2974</v>
      </c>
      <c r="D91" s="2852"/>
      <c r="E91" s="2852"/>
      <c r="F91" s="2852"/>
      <c r="G91" s="2852"/>
      <c r="H91" s="2852"/>
      <c r="I91" s="2852"/>
      <c r="J91" s="2898"/>
      <c r="K91" s="2899"/>
      <c r="L91" s="2899"/>
      <c r="M91" s="2899"/>
      <c r="N91" s="2899"/>
    </row>
    <row r="92" spans="1:37">
      <c r="A92" s="3251"/>
      <c r="B92" s="3251"/>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52"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2855</v>
      </c>
      <c r="C99" s="2902">
        <f>$I$3</f>
        <v>4</v>
      </c>
      <c r="D99" s="2902">
        <f t="shared" ref="D99:M99" si="30">$I$3</f>
        <v>4</v>
      </c>
      <c r="E99" s="2902">
        <f t="shared" si="30"/>
        <v>4</v>
      </c>
      <c r="F99" s="2902">
        <f t="shared" si="30"/>
        <v>4</v>
      </c>
      <c r="G99" s="2902">
        <f t="shared" si="30"/>
        <v>4</v>
      </c>
      <c r="H99" s="2902">
        <f t="shared" si="30"/>
        <v>4</v>
      </c>
      <c r="I99" s="2902">
        <f t="shared" si="30"/>
        <v>4</v>
      </c>
      <c r="J99" s="2902">
        <f t="shared" si="30"/>
        <v>4</v>
      </c>
      <c r="K99" s="2902">
        <f t="shared" si="30"/>
        <v>4</v>
      </c>
      <c r="L99" s="2902">
        <f t="shared" si="30"/>
        <v>4</v>
      </c>
      <c r="M99" s="2902">
        <f t="shared" si="30"/>
        <v>4</v>
      </c>
      <c r="N99" s="2902">
        <f>$I$3</f>
        <v>4</v>
      </c>
    </row>
    <row r="100" spans="1:14">
      <c r="A100" s="3254"/>
      <c r="B100" s="2900">
        <v>7</v>
      </c>
      <c r="C100" s="2903">
        <f>(-0.163*(C99^2)-0.59*C99+7617)*(10^(-4))</f>
        <v>0.76120320000000008</v>
      </c>
      <c r="D100" s="2903">
        <f>(-0.163*(D99^2)-0.59*D99+7617)*(10^(-4))</f>
        <v>0.76120320000000008</v>
      </c>
      <c r="E100" s="2903">
        <f>(-0.161*(E99^2)-7.509*E99+6533)*(10^(-4))</f>
        <v>0.65003880000000003</v>
      </c>
      <c r="F100" s="2903">
        <f>(-0.161*(F99^2)-7.509*F99+6533)*(10^(-4))</f>
        <v>0.65003880000000003</v>
      </c>
      <c r="G100" s="2903">
        <f>(-0.161*(G99^2)-7.509*G99+6533)*(10^(-4))</f>
        <v>0.65003880000000003</v>
      </c>
      <c r="H100" s="2903">
        <f>(-0.161*(H99^2)-7.509*H99+6533)*(10^(-4))</f>
        <v>0.65003880000000003</v>
      </c>
      <c r="I100" s="2903">
        <f>(-0.161*(I99^2)-7.509*I99+6533)*(10^(-4))</f>
        <v>0.65003880000000003</v>
      </c>
      <c r="J100" s="2903">
        <f>(-0.214*(J99^2)-21.991*J99+4665)*(10^(-4))</f>
        <v>0.45736120000000002</v>
      </c>
      <c r="K100" s="2903">
        <f>(-0.214*(K99^2)-21.991*K99+4665)*(10^(-4))</f>
        <v>0.45736120000000002</v>
      </c>
      <c r="L100" s="2903">
        <f>(-0.214*(L99^2)-21.991*L99+4665)*(10^(-4))</f>
        <v>0.45736120000000002</v>
      </c>
      <c r="M100" s="2903">
        <f>(-0.214*(M99^2)-21.991*M99+4665)*(10^(-4))</f>
        <v>0.45736120000000002</v>
      </c>
      <c r="N100" s="2903">
        <f>(-0.214*(N99^2)-21.991*N99+4665)*(10^(-4))</f>
        <v>0.45736120000000002</v>
      </c>
    </row>
    <row r="101" spans="1:14">
      <c r="A101" s="3252"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53"/>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53"/>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53"/>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53"/>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53"/>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53"/>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53"/>
      <c r="B108" s="3111" t="s">
        <v>2868</v>
      </c>
      <c r="C108" s="2902">
        <f>C99</f>
        <v>4</v>
      </c>
      <c r="D108" s="2902">
        <f t="shared" ref="D108:N108" si="32">D99</f>
        <v>4</v>
      </c>
      <c r="E108" s="2902">
        <f t="shared" si="32"/>
        <v>4</v>
      </c>
      <c r="F108" s="2902">
        <f t="shared" si="32"/>
        <v>4</v>
      </c>
      <c r="G108" s="2902">
        <f t="shared" si="32"/>
        <v>4</v>
      </c>
      <c r="H108" s="2902">
        <f t="shared" si="32"/>
        <v>4</v>
      </c>
      <c r="I108" s="2902">
        <f t="shared" si="32"/>
        <v>4</v>
      </c>
      <c r="J108" s="2902">
        <f t="shared" si="32"/>
        <v>4</v>
      </c>
      <c r="K108" s="2902">
        <f t="shared" si="32"/>
        <v>4</v>
      </c>
      <c r="L108" s="2902">
        <f t="shared" si="32"/>
        <v>4</v>
      </c>
      <c r="M108" s="2902">
        <f t="shared" si="32"/>
        <v>4</v>
      </c>
      <c r="N108" s="2902">
        <f t="shared" si="32"/>
        <v>4</v>
      </c>
    </row>
    <row r="109" spans="1:14">
      <c r="A109" s="3254"/>
      <c r="B109" s="3112"/>
      <c r="C109" s="2903">
        <f>(-0.163*(C108^2)-0.59*C108+7617)*(10^(-4))/C101</f>
        <v>0.41369739130434785</v>
      </c>
      <c r="D109" s="2903">
        <f>(-0.163*(D108^2)-0.59*D108+7617)*(10^(-4))/D101</f>
        <v>0.41369739130434785</v>
      </c>
      <c r="E109" s="2903">
        <f>(-0.161*(E108^2)-7.509*E108+6533)*(10^(-4))/E101</f>
        <v>0.3532819565217391</v>
      </c>
      <c r="F109" s="2903">
        <f>(-0.161*(F108^2)-7.509*F108+6533)*(10^(-4))/F101</f>
        <v>0.3532819565217391</v>
      </c>
      <c r="G109" s="2903">
        <f>(-0.161*(G108^2)-7.509*G108+6533)*(10^(-4))/G101</f>
        <v>0.3532819565217391</v>
      </c>
      <c r="H109" s="2903">
        <f>(-0.161*(H108^2)-7.509*H108+6533)*(10^(-4))/H101</f>
        <v>0.3532819565217391</v>
      </c>
      <c r="I109" s="2903">
        <f>(-0.161*(I108^2)-7.509*I108+6533)*(10^(-4))/I101</f>
        <v>0.3532819565217391</v>
      </c>
      <c r="J109" s="2903">
        <f>(-0.214*(J108^2)-21.991*J108+4665)*(10^(-4))/J101</f>
        <v>0.2485658695652174</v>
      </c>
      <c r="K109" s="2903">
        <f>(-0.214*(K108^2)-21.991*K108+4665)*(10^(-4))/K101</f>
        <v>0.2485658695652174</v>
      </c>
      <c r="L109" s="2903">
        <f>(-0.214*(L108^2)-21.991*L108+4665)*(10^(-4))/L101</f>
        <v>0.2485658695652174</v>
      </c>
      <c r="M109" s="2903">
        <f>(-0.214*(M108^2)-21.991*M108+4665)*(10^(-4))/M101</f>
        <v>0.2485658695652174</v>
      </c>
      <c r="N109" s="2903">
        <f>(-0.214*(N108^2)-21.991*N108+4665)*(10^(-4))/N101</f>
        <v>0.2485658695652174</v>
      </c>
    </row>
    <row r="110" spans="1:14">
      <c r="A110" s="3250" t="s">
        <v>2979</v>
      </c>
      <c r="B110" s="3250"/>
      <c r="C110" s="3250"/>
      <c r="D110" s="3250"/>
      <c r="E110" s="3250"/>
      <c r="F110" s="3250"/>
      <c r="G110" s="3250"/>
      <c r="H110" s="3250"/>
      <c r="I110" s="3250"/>
      <c r="J110" s="3250"/>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N32" sqref="N32"/>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11521.02</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12869</v>
      </c>
      <c r="C2" s="2726" t="s">
        <v>2811</v>
      </c>
      <c r="D2" s="2727" t="s">
        <v>2812</v>
      </c>
      <c r="E2" s="2728" t="s">
        <v>1376</v>
      </c>
      <c r="F2" s="2727" t="s">
        <v>2813</v>
      </c>
      <c r="G2" s="2729" t="str">
        <f>IF(E2="商业",项目基本情况!B37,IF(E2="办公",项目基本情况!C37,IF(E2="住宅",项目基本情况!D37,项目基本情况!E37)))</f>
        <v>五级</v>
      </c>
      <c r="H2" s="2727" t="s">
        <v>2814</v>
      </c>
      <c r="I2" s="2729" t="str">
        <f>IF(E2="商业",项目基本情况!B38,IF(E2="办公",项目基本情况!C38,IF(E2="住宅",项目基本情况!D38,项目基本情况!E38)))</f>
        <v>Ⅴ-12</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28231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11170</v>
      </c>
      <c r="C3" s="2726" t="s">
        <v>2817</v>
      </c>
      <c r="D3" s="2727" t="s">
        <v>2818</v>
      </c>
      <c r="E3" s="2732" t="s">
        <v>3085</v>
      </c>
      <c r="F3" s="2733" t="s">
        <v>2819</v>
      </c>
      <c r="G3" s="916">
        <f>IF(F3="宗地容积率",'数据-汇总表'!I4,IF(F3="估价对象容积率",'数据-汇总表'!I6,'数据-汇总表'!I7))</f>
        <v>1.84</v>
      </c>
      <c r="H3" s="198" t="s">
        <v>2820</v>
      </c>
      <c r="I3" s="947">
        <v>5</v>
      </c>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20264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16349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2824</v>
      </c>
      <c r="C5" s="917">
        <f>ROUND(IF(E2="商业",IF(F16="增加",C6*C7+C16,C6*C7-C16),IF(E2="住宅",IF(F16="增加",C6*C12+C16,C6*C12-C16),IF(F16="增加",C6+C16,C6-C16))),0)</f>
        <v>12920</v>
      </c>
      <c r="D5" s="1790">
        <f>ROUND(IF(E2="商业",IF(F16="增加",C6+C16,C6-C16)),0)</f>
        <v>12920</v>
      </c>
      <c r="E5" s="2736"/>
      <c r="F5" s="2736"/>
      <c r="G5" s="2737"/>
      <c r="H5" s="2737"/>
      <c r="I5" s="2737"/>
      <c r="J5" s="2738"/>
      <c r="K5" s="2739"/>
      <c r="L5" s="2731" t="s">
        <v>2825</v>
      </c>
      <c r="M5" s="1084">
        <f>SUMPRODUCT((区片价!B76:B109=I2)*(区片价!C3:F3=E2)*(区片价!C76:F109))</f>
        <v>12940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0.86560000000000004</v>
      </c>
      <c r="T5" s="1605">
        <f t="shared" ca="1" si="0"/>
        <v>13118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12940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11170</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2830</v>
      </c>
      <c r="C7" s="919">
        <f>IF(C8="不临58条商业街",1,ROUND(1+(1.6*E8+1.2*E9+0.8*E10+0.4*E11)*C9,4))</f>
        <v>1</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9823</v>
      </c>
      <c r="U7" s="1606"/>
      <c r="V7" s="1605">
        <f t="shared" ca="1" si="1"/>
        <v>0</v>
      </c>
      <c r="W7" s="2940" t="s">
        <v>2833</v>
      </c>
      <c r="X7" s="1607" t="str">
        <f>G2</f>
        <v>五级</v>
      </c>
      <c r="Y7" s="1607" t="s">
        <v>2834</v>
      </c>
      <c r="Z7" s="1608">
        <f>G3</f>
        <v>1.84</v>
      </c>
      <c r="AA7" s="1609"/>
      <c r="AB7" s="1609"/>
      <c r="AC7" s="1610"/>
      <c r="AD7" s="1611"/>
      <c r="AE7" s="1611"/>
      <c r="AF7" s="1611"/>
      <c r="AG7" s="1611"/>
      <c r="AH7" s="1611"/>
      <c r="AI7" s="1611"/>
      <c r="AJ7" s="1612"/>
    </row>
    <row r="8" spans="1:36" ht="25.5">
      <c r="A8" s="3246"/>
      <c r="B8" s="198" t="s">
        <v>2835</v>
      </c>
      <c r="C8" s="2755" t="s">
        <v>3089</v>
      </c>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2838</v>
      </c>
      <c r="X8" s="323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6"/>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2862</v>
      </c>
      <c r="X11" s="1617" t="s">
        <v>2834</v>
      </c>
      <c r="Y11" s="1618">
        <f>$G$3</f>
        <v>1.84</v>
      </c>
      <c r="Z11" s="1618">
        <f t="shared" ref="Z11:AJ11" si="3">$G$3</f>
        <v>1.84</v>
      </c>
      <c r="AA11" s="1618">
        <f t="shared" si="3"/>
        <v>1.84</v>
      </c>
      <c r="AB11" s="1618">
        <f t="shared" si="3"/>
        <v>1.84</v>
      </c>
      <c r="AC11" s="1618">
        <f t="shared" si="3"/>
        <v>1.84</v>
      </c>
      <c r="AD11" s="1618">
        <f t="shared" si="3"/>
        <v>1.84</v>
      </c>
      <c r="AE11" s="1618">
        <f t="shared" si="3"/>
        <v>1.84</v>
      </c>
      <c r="AF11" s="1618">
        <f t="shared" si="3"/>
        <v>1.84</v>
      </c>
      <c r="AG11" s="1618">
        <f t="shared" si="3"/>
        <v>1.84</v>
      </c>
      <c r="AH11" s="1618">
        <f t="shared" si="3"/>
        <v>1.84</v>
      </c>
      <c r="AI11" s="1618">
        <f t="shared" si="3"/>
        <v>1.84</v>
      </c>
      <c r="AJ11" s="1618">
        <f t="shared" si="3"/>
        <v>1.84</v>
      </c>
    </row>
    <row r="12" spans="1:36" ht="25.5" thickBot="1">
      <c r="A12" s="3245"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2869</v>
      </c>
      <c r="C13" s="2770" t="s">
        <v>2870</v>
      </c>
      <c r="D13" s="2933" t="s">
        <v>2871</v>
      </c>
      <c r="E13" s="2933" t="s">
        <v>2872</v>
      </c>
      <c r="F13" s="30" t="s">
        <v>2873</v>
      </c>
      <c r="G13" s="2771" t="s">
        <v>2874</v>
      </c>
      <c r="H13" s="2771" t="s">
        <v>2874</v>
      </c>
      <c r="I13" s="2771" t="s">
        <v>2874</v>
      </c>
      <c r="J13" s="2772" t="s">
        <v>2874</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0.41396739130434784</v>
      </c>
      <c r="Z13" s="1616">
        <f t="shared" ref="Z13:AJ13" si="5">(-0.163*(Z12^2)-0.59*Z12+7617)*(10^(-4))/Z11</f>
        <v>0.41396739130434784</v>
      </c>
      <c r="AA13" s="1616">
        <f t="shared" si="5"/>
        <v>0.41396739130434784</v>
      </c>
      <c r="AB13" s="1616">
        <f t="shared" si="5"/>
        <v>0.41396739130434784</v>
      </c>
      <c r="AC13" s="1616">
        <f t="shared" si="5"/>
        <v>0.41396739130434784</v>
      </c>
      <c r="AD13" s="1616">
        <f t="shared" si="5"/>
        <v>0.41396739130434784</v>
      </c>
      <c r="AE13" s="1616">
        <f t="shared" si="5"/>
        <v>0.41396739130434784</v>
      </c>
      <c r="AF13" s="1616">
        <f t="shared" si="5"/>
        <v>0.41396739130434784</v>
      </c>
      <c r="AG13" s="1616">
        <f t="shared" si="5"/>
        <v>0.41396739130434784</v>
      </c>
      <c r="AH13" s="1616">
        <f t="shared" si="5"/>
        <v>0.41396739130434784</v>
      </c>
      <c r="AI13" s="1616">
        <f t="shared" si="5"/>
        <v>0.41396739130434784</v>
      </c>
      <c r="AJ13" s="1616">
        <f t="shared" si="5"/>
        <v>0.41396739130434784</v>
      </c>
    </row>
    <row r="14" spans="1:36" ht="15">
      <c r="A14" s="3247"/>
      <c r="B14" s="2773"/>
      <c r="C14" s="2774"/>
      <c r="D14" s="2775"/>
      <c r="E14" s="2775"/>
      <c r="F14" s="2776"/>
      <c r="G14" s="2777" t="s">
        <v>2875</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2881</v>
      </c>
      <c r="B16" s="2750" t="s">
        <v>2882</v>
      </c>
      <c r="C16" s="2934">
        <f>ROUND(SUM(G17:J17)/C17,0)</f>
        <v>20</v>
      </c>
      <c r="D16" s="2784" t="s">
        <v>2883</v>
      </c>
      <c r="E16" s="2785" t="s">
        <v>3086</v>
      </c>
      <c r="F16" s="2786" t="s">
        <v>3087</v>
      </c>
      <c r="G16" s="2787" t="s">
        <v>3088</v>
      </c>
      <c r="H16" s="2787"/>
      <c r="I16" s="2787"/>
      <c r="J16" s="2788"/>
      <c r="K16" s="1373"/>
      <c r="L16" s="2789"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2885</v>
      </c>
      <c r="C17" s="924">
        <f>SUMPRODUCT((修正!A2:A5=E2)*(修正!B1:M1=G2)*(修正!B2:M5))</f>
        <v>2.5</v>
      </c>
      <c r="D17" s="2791"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2889</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808</v>
      </c>
      <c r="B19" s="2795" t="s">
        <v>2890</v>
      </c>
      <c r="C19" s="927">
        <f>ROUND(IF(H19="按公示增长率计算",SUMPRODUCT((地价!A3:A21=YEAR(G19)&amp;"-"&amp;ROUNDUP(MONTH(G19)/3,0))*(地价!X2:AB2=E2)*(地价!X3:AB21)),IF(H19="地价指数",M20/M19,(1+I19)^O19)),4)</f>
        <v>1.2685</v>
      </c>
      <c r="D19" s="2802" t="s">
        <v>2891</v>
      </c>
      <c r="E19" s="928">
        <v>41640</v>
      </c>
      <c r="F19" s="2802" t="s">
        <v>2892</v>
      </c>
      <c r="G19" s="929">
        <f>'数据-取费表'!B2</f>
        <v>43157</v>
      </c>
      <c r="H19" s="2803" t="s">
        <v>3105</v>
      </c>
      <c r="I19" s="930" t="str">
        <f>IF(H19="季度增幅（自定义）",SUMIF(N21:N24,E2,O21:O24),"")</f>
        <v/>
      </c>
      <c r="J19" s="2800"/>
      <c r="K19" s="1380"/>
      <c r="L19" s="2804" t="s">
        <v>2893</v>
      </c>
      <c r="M19" s="1737">
        <f>ROUND(SUMIF(地价!B2:F2,E2,地价!B21:F21),0)</f>
        <v>258</v>
      </c>
      <c r="N19" s="2805"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2895</v>
      </c>
      <c r="C20" s="932">
        <f ca="1">ROUND(POWER(1+G20,J20-I20)*(POWER(1+G20,I20)-1)/(POWER(1+G20,J20)-1),4)</f>
        <v>0.89729999999999999</v>
      </c>
      <c r="D20" s="2811" t="s">
        <v>2896</v>
      </c>
      <c r="E20" s="1771">
        <f ca="1">存贷款利率!D4/100</f>
        <v>4.3499999999999997E-2</v>
      </c>
      <c r="F20" s="2811" t="s">
        <v>2888</v>
      </c>
      <c r="G20" s="937">
        <f ca="1">SUMIF(M15:P15,E2,M17:P17)</f>
        <v>5.3999999999999999E-2</v>
      </c>
      <c r="H20" s="2811" t="s">
        <v>2897</v>
      </c>
      <c r="I20" s="938">
        <f>SUMIF('数据-取费表'!C6:C15,E2,'数据-取费表'!F6:F15)/COUNTIF('数据-取费表'!C6:C15,E2)</f>
        <v>29.48</v>
      </c>
      <c r="J20" s="939">
        <f>IF(E2="住宅",70,IF(E2="商业",40,50))</f>
        <v>40</v>
      </c>
      <c r="K20" s="1380"/>
      <c r="L20" s="2812" t="s">
        <v>2898</v>
      </c>
      <c r="M20" s="1738">
        <f>ROUND(SUMPRODUCT((地价!A4:A21=YEAR(G19)&amp;"-"&amp;ROUNDUP(MONTH(G19)/3,0))*(地价!B2:F2=E2)*(地价!B4:F21)),0)</f>
        <v>326</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2902</v>
      </c>
      <c r="C21" s="2936">
        <f>IF(B21="容积率修正",IF(G3&lt;=10,D22,J22),C23)</f>
        <v>0.73709999999999998</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2935" t="s">
        <v>2906</v>
      </c>
      <c r="D22" s="2935">
        <f>IF(E22=G22,F22,IF(G3&lt;=10,ROUND(F22+(H22-F22)*(G3-E22)/(G22-E22),4),"——"))</f>
        <v>1.1217999999999999</v>
      </c>
      <c r="E22" s="916">
        <f>ROUNDDOWN(G3,1)</f>
        <v>1.8</v>
      </c>
      <c r="F22" s="29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916">
        <f>ROUNDUP(G3,1)</f>
        <v>1.9000000000000001</v>
      </c>
      <c r="H22" s="29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35"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2911</v>
      </c>
      <c r="C24" s="927">
        <f>SUMIF(A45:A88,E2,B45:B88)</f>
        <v>1.0305</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12869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11170</v>
      </c>
      <c r="D29" s="2850">
        <f>面积表!E8+面积表!E9</f>
        <v>11521.02</v>
      </c>
      <c r="E29" s="2939">
        <f ca="1">ROUND(C29*D29/10000,0)</f>
        <v>12869</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2793</v>
      </c>
      <c r="D30" s="2856"/>
      <c r="E30" s="2939">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2929</v>
      </c>
      <c r="B33" s="2866" t="s">
        <v>2930</v>
      </c>
      <c r="C33" s="206">
        <f ca="1">ROUND(D5*C19*C20*C24*F33,0)</f>
        <v>10608</v>
      </c>
      <c r="D33" s="2850"/>
      <c r="E33" s="200">
        <f ca="1">ROUND(C33*D33/10000,0)</f>
        <v>0</v>
      </c>
      <c r="F33" s="200">
        <f>SUMIF(修正!A45:A56,G2,修正!B45:B56)</f>
        <v>0.7</v>
      </c>
      <c r="G33" s="200">
        <f t="shared" ref="G33:G39" ca="1" si="6">ROUND(IF(E2="工业",C33*$M$39,C33*$M$38),0)</f>
        <v>2652</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2931</v>
      </c>
      <c r="C34" s="206">
        <f ca="1">ROUND(D5*C19*C20*C24*F34,0)</f>
        <v>6062</v>
      </c>
      <c r="D34" s="2850"/>
      <c r="E34" s="200">
        <f t="shared" ref="E34:E39" ca="1" si="7">ROUND(C34*D34/10000,0)</f>
        <v>0</v>
      </c>
      <c r="F34" s="200">
        <f>SUMIF(修正!A45:A56,G2,修正!C45:C56)</f>
        <v>0.4</v>
      </c>
      <c r="G34" s="200">
        <f t="shared" ca="1" si="6"/>
        <v>1516</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2932</v>
      </c>
      <c r="C35" s="206">
        <f ca="1">ROUND(D5*C19*C20*C24*F35,0)</f>
        <v>4243</v>
      </c>
      <c r="D35" s="2850"/>
      <c r="E35" s="200">
        <f t="shared" ca="1" si="7"/>
        <v>0</v>
      </c>
      <c r="F35" s="200">
        <f>SUMIF(修正!A45:A56,G2,修正!D45:D56)</f>
        <v>0.28000000000000003</v>
      </c>
      <c r="G35" s="200">
        <f t="shared" ca="1" si="6"/>
        <v>1061</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2933</v>
      </c>
      <c r="C36" s="206">
        <f ca="1">ROUND(D5*C19*C20*C24*F36,0)</f>
        <v>3789</v>
      </c>
      <c r="D36" s="2850"/>
      <c r="E36" s="200">
        <f t="shared" ca="1" si="7"/>
        <v>0</v>
      </c>
      <c r="F36" s="200">
        <f>SUMIF(修正!A45:A56,G2,修正!E45:E56)</f>
        <v>0.25</v>
      </c>
      <c r="G36" s="200">
        <f t="shared" ca="1" si="6"/>
        <v>947</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3789</v>
      </c>
      <c r="D37" s="2850"/>
      <c r="E37" s="200">
        <f t="shared" ca="1" si="7"/>
        <v>0</v>
      </c>
      <c r="F37" s="206">
        <f>SUMIF(修正!A45:A56,G2,修正!F45:F56)</f>
        <v>0.25</v>
      </c>
      <c r="G37" s="200">
        <f t="shared" ca="1" si="6"/>
        <v>947</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3789</v>
      </c>
      <c r="D38" s="2850"/>
      <c r="E38" s="200">
        <f t="shared" ca="1" si="7"/>
        <v>0</v>
      </c>
      <c r="F38" s="206">
        <f>SUMIF(修正!A45:A56,G2,修正!G45:G56)</f>
        <v>0.25</v>
      </c>
      <c r="G38" s="200">
        <f t="shared" ca="1" si="6"/>
        <v>947</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3031</v>
      </c>
      <c r="D39" s="2856"/>
      <c r="E39" s="229">
        <f t="shared" ca="1" si="7"/>
        <v>0</v>
      </c>
      <c r="F39" s="935">
        <f>SUMIF(修正!A45:A56,G2,修正!H45:H56)</f>
        <v>0.2</v>
      </c>
      <c r="G39" s="229" t="e">
        <f t="shared" si="6"/>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1.0305</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2932" t="s">
        <v>2942</v>
      </c>
      <c r="C47" s="2932" t="s">
        <v>2943</v>
      </c>
      <c r="D47" s="2932" t="s">
        <v>2944</v>
      </c>
      <c r="E47" s="819" t="s">
        <v>2945</v>
      </c>
      <c r="F47" s="2884" t="s">
        <v>2946</v>
      </c>
      <c r="G47" s="2932" t="s">
        <v>754</v>
      </c>
      <c r="H47" s="2885" t="s">
        <v>2947</v>
      </c>
      <c r="I47" s="293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8.5" customHeight="1">
      <c r="A48" s="2883" t="s">
        <v>2949</v>
      </c>
      <c r="B48" s="2886" t="str">
        <f>估价对象房地状况!C4</f>
        <v>估价对象位于XX商圈，周边商业氛围成熟，人流量大，商业繁华度一般</v>
      </c>
      <c r="C48" s="2775" t="s">
        <v>3095</v>
      </c>
      <c r="D48" s="1289">
        <f t="shared" ref="D48:D56" si="10">SUMIF($J$47:$N$47,C48,J48:N48)</f>
        <v>0</v>
      </c>
      <c r="E48" s="821">
        <f>ROUND(SUM(D48:D56),4)</f>
        <v>3.0499999999999999E-2</v>
      </c>
      <c r="F48" s="2506">
        <f>IF(E2="商业",SUMIF(L1:L12,G2,N1:N12),"——")</f>
        <v>0.1</v>
      </c>
      <c r="G48" s="1287">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3096</v>
      </c>
      <c r="D49" s="1289">
        <f t="shared" si="10"/>
        <v>1.2500000000000001E-2</v>
      </c>
      <c r="E49" s="822"/>
      <c r="F49" s="2506"/>
      <c r="G49" s="1287">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3096</v>
      </c>
      <c r="D50" s="1289">
        <f t="shared" si="10"/>
        <v>2.5000000000000001E-3</v>
      </c>
      <c r="E50" s="822"/>
      <c r="F50" s="2506"/>
      <c r="G50" s="1287">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8.5" customHeight="1">
      <c r="A51" s="2883" t="s">
        <v>2952</v>
      </c>
      <c r="B51" s="2888" t="s">
        <v>3097</v>
      </c>
      <c r="C51" s="2775" t="s">
        <v>3096</v>
      </c>
      <c r="D51" s="1289">
        <f t="shared" si="10"/>
        <v>2.5000000000000001E-3</v>
      </c>
      <c r="E51" s="822"/>
      <c r="F51" s="2506"/>
      <c r="G51" s="1287">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3" t="s">
        <v>2954</v>
      </c>
      <c r="B52" s="2887" t="str">
        <f>估价对象房地状况!C24</f>
        <v>快速路-西四环</v>
      </c>
      <c r="C52" s="2775" t="s">
        <v>3096</v>
      </c>
      <c r="D52" s="1289">
        <f t="shared" si="10"/>
        <v>4.0000000000000001E-3</v>
      </c>
      <c r="E52" s="822"/>
      <c r="F52" s="2506"/>
      <c r="G52" s="1287">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3" t="s">
        <v>2955</v>
      </c>
      <c r="B53" s="3294" t="s">
        <v>3098</v>
      </c>
      <c r="C53" s="2775" t="s">
        <v>3096</v>
      </c>
      <c r="D53" s="1289">
        <f t="shared" si="10"/>
        <v>1.5E-3</v>
      </c>
      <c r="E53" s="822"/>
      <c r="F53" s="2506"/>
      <c r="G53" s="1287">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39.75" customHeight="1">
      <c r="A54" s="2890" t="s">
        <v>2957</v>
      </c>
      <c r="B54" s="1728" t="str">
        <f>估价对象房地状况!C21</f>
        <v>估价对象所在区域公共配套设施齐备情况较好</v>
      </c>
      <c r="C54" s="2775" t="s">
        <v>3096</v>
      </c>
      <c r="D54" s="1289">
        <f t="shared" si="10"/>
        <v>2.5000000000000001E-3</v>
      </c>
      <c r="E54" s="822"/>
      <c r="F54" s="2506"/>
      <c r="G54" s="1287">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4">
      <c r="A55" s="2890" t="s">
        <v>2958</v>
      </c>
      <c r="B55" s="2887" t="str">
        <f>估价对象房地状况!C22</f>
        <v>六通</v>
      </c>
      <c r="C55" s="2775" t="s">
        <v>3096</v>
      </c>
      <c r="D55" s="1289">
        <f t="shared" si="10"/>
        <v>5.0000000000000001E-3</v>
      </c>
      <c r="E55" s="822"/>
      <c r="F55" s="2506"/>
      <c r="G55" s="1287">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区域自然环境：天元公园；人文环境；综合评价环境状况一般</v>
      </c>
      <c r="C56" s="2775" t="s">
        <v>3095</v>
      </c>
      <c r="D56" s="1289">
        <f t="shared" si="10"/>
        <v>0</v>
      </c>
      <c r="E56" s="825"/>
      <c r="F56" s="2506"/>
      <c r="G56" s="1287">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2932"/>
      <c r="C58" s="2932" t="s">
        <v>2943</v>
      </c>
      <c r="D58" s="2932" t="s">
        <v>2944</v>
      </c>
      <c r="E58" s="819" t="s">
        <v>2945</v>
      </c>
      <c r="F58" s="2884" t="s">
        <v>2961</v>
      </c>
      <c r="G58" s="2932" t="s">
        <v>754</v>
      </c>
      <c r="H58" s="2885" t="s">
        <v>2947</v>
      </c>
      <c r="I58" s="293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83" t="s">
        <v>2962</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t="str">
        <f>估价对象房地状况!C24</f>
        <v>快速路-西四环</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2958</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区域自然环境：天元公园；人文环境；综合评价环境状况一般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2932"/>
      <c r="C69" s="2932" t="s">
        <v>2943</v>
      </c>
      <c r="D69" s="2932" t="s">
        <v>2944</v>
      </c>
      <c r="E69" s="819" t="s">
        <v>2945</v>
      </c>
      <c r="F69" s="2884" t="s">
        <v>2961</v>
      </c>
      <c r="G69" s="2932" t="s">
        <v>754</v>
      </c>
      <c r="H69" s="2885" t="s">
        <v>2947</v>
      </c>
      <c r="I69" s="293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3" t="s">
        <v>2964</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t="str">
        <f>估价对象房地状况!C24</f>
        <v>快速路-西四环</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2958</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区域自然环境：天元公园；人文环境；综合评价环境状况一般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2932"/>
      <c r="C80" s="2932" t="s">
        <v>2943</v>
      </c>
      <c r="D80" s="2932" t="s">
        <v>2944</v>
      </c>
      <c r="E80" s="819" t="s">
        <v>2945</v>
      </c>
      <c r="F80" s="2884" t="s">
        <v>2961</v>
      </c>
      <c r="G80" s="2932" t="s">
        <v>754</v>
      </c>
      <c r="H80" s="2885" t="s">
        <v>2947</v>
      </c>
      <c r="I80" s="293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9" t="s">
        <v>2971</v>
      </c>
      <c r="B90" s="3249"/>
      <c r="C90" s="3249"/>
      <c r="D90" s="3249"/>
      <c r="E90" s="3249"/>
      <c r="F90" s="3249"/>
      <c r="G90" s="3249"/>
      <c r="H90" s="3249"/>
      <c r="I90" s="3249"/>
      <c r="J90" s="3249"/>
      <c r="K90" s="2937"/>
      <c r="L90" s="2937"/>
      <c r="M90" s="2937"/>
      <c r="N90" s="2937"/>
    </row>
    <row r="91" spans="1:37">
      <c r="A91" s="3251" t="s">
        <v>2972</v>
      </c>
      <c r="B91" s="3251" t="s">
        <v>2973</v>
      </c>
      <c r="C91" s="2851" t="s">
        <v>2974</v>
      </c>
      <c r="D91" s="2852"/>
      <c r="E91" s="2852"/>
      <c r="F91" s="2852"/>
      <c r="G91" s="2852"/>
      <c r="H91" s="2852"/>
      <c r="I91" s="2852"/>
      <c r="J91" s="2898"/>
      <c r="K91" s="2899"/>
      <c r="L91" s="2899"/>
      <c r="M91" s="2899"/>
      <c r="N91" s="2899"/>
    </row>
    <row r="92" spans="1:37">
      <c r="A92" s="3251"/>
      <c r="B92" s="3251"/>
      <c r="C92" s="2939" t="s">
        <v>2839</v>
      </c>
      <c r="D92" s="2939" t="s">
        <v>2840</v>
      </c>
      <c r="E92" s="2939" t="s">
        <v>2841</v>
      </c>
      <c r="F92" s="2939" t="s">
        <v>2842</v>
      </c>
      <c r="G92" s="2939" t="s">
        <v>2843</v>
      </c>
      <c r="H92" s="2939" t="s">
        <v>2844</v>
      </c>
      <c r="I92" s="2939" t="s">
        <v>2845</v>
      </c>
      <c r="J92" s="2939" t="s">
        <v>2846</v>
      </c>
      <c r="K92" s="2939" t="s">
        <v>2847</v>
      </c>
      <c r="L92" s="2939" t="s">
        <v>2848</v>
      </c>
      <c r="M92" s="2939" t="s">
        <v>2849</v>
      </c>
      <c r="N92" s="2939" t="s">
        <v>2850</v>
      </c>
    </row>
    <row r="93" spans="1:37">
      <c r="A93" s="3252"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2855</v>
      </c>
      <c r="C99" s="2902">
        <f>$I$3</f>
        <v>5</v>
      </c>
      <c r="D99" s="2902">
        <f t="shared" ref="D99:M99" si="30">$I$3</f>
        <v>5</v>
      </c>
      <c r="E99" s="2902">
        <f t="shared" si="30"/>
        <v>5</v>
      </c>
      <c r="F99" s="2902">
        <f t="shared" si="30"/>
        <v>5</v>
      </c>
      <c r="G99" s="2902">
        <f t="shared" si="30"/>
        <v>5</v>
      </c>
      <c r="H99" s="2902">
        <f t="shared" si="30"/>
        <v>5</v>
      </c>
      <c r="I99" s="2902">
        <f t="shared" si="30"/>
        <v>5</v>
      </c>
      <c r="J99" s="2902">
        <f t="shared" si="30"/>
        <v>5</v>
      </c>
      <c r="K99" s="2902">
        <f t="shared" si="30"/>
        <v>5</v>
      </c>
      <c r="L99" s="2902">
        <f t="shared" si="30"/>
        <v>5</v>
      </c>
      <c r="M99" s="2902">
        <f t="shared" si="30"/>
        <v>5</v>
      </c>
      <c r="N99" s="2902">
        <f>$I$3</f>
        <v>5</v>
      </c>
    </row>
    <row r="100" spans="1:14">
      <c r="A100" s="3254"/>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52" t="s">
        <v>2976</v>
      </c>
      <c r="B101" s="2904" t="s">
        <v>2977</v>
      </c>
      <c r="C101" s="2905">
        <f>$G$3</f>
        <v>1.84</v>
      </c>
      <c r="D101" s="2905">
        <f t="shared" ref="D101:N101" si="31">$G$3</f>
        <v>1.84</v>
      </c>
      <c r="E101" s="2905">
        <f t="shared" si="31"/>
        <v>1.84</v>
      </c>
      <c r="F101" s="2905">
        <f t="shared" si="31"/>
        <v>1.84</v>
      </c>
      <c r="G101" s="2905">
        <f t="shared" si="31"/>
        <v>1.84</v>
      </c>
      <c r="H101" s="2905">
        <f t="shared" si="31"/>
        <v>1.84</v>
      </c>
      <c r="I101" s="2905">
        <f t="shared" si="31"/>
        <v>1.84</v>
      </c>
      <c r="J101" s="2905">
        <f t="shared" si="31"/>
        <v>1.84</v>
      </c>
      <c r="K101" s="2905">
        <f t="shared" si="31"/>
        <v>1.84</v>
      </c>
      <c r="L101" s="2905">
        <f t="shared" si="31"/>
        <v>1.84</v>
      </c>
      <c r="M101" s="2905">
        <f t="shared" si="31"/>
        <v>1.84</v>
      </c>
      <c r="N101" s="2905">
        <f t="shared" si="31"/>
        <v>1.84</v>
      </c>
    </row>
    <row r="102" spans="1:14">
      <c r="A102" s="3253"/>
      <c r="B102" s="2900">
        <v>1</v>
      </c>
      <c r="C102" s="2901">
        <f>1.9362/C101</f>
        <v>1.052282608695652</v>
      </c>
      <c r="D102" s="2901">
        <f>1.9362/D101</f>
        <v>1.052282608695652</v>
      </c>
      <c r="E102" s="2901">
        <f>1.8629/E101</f>
        <v>1.0124456521739129</v>
      </c>
      <c r="F102" s="2901">
        <f>1.8629/F101</f>
        <v>1.0124456521739129</v>
      </c>
      <c r="G102" s="2901">
        <f>1.8629/G101</f>
        <v>1.0124456521739129</v>
      </c>
      <c r="H102" s="2901">
        <f>1.8629/H101</f>
        <v>1.0124456521739129</v>
      </c>
      <c r="I102" s="2901">
        <f>1.8629/I101</f>
        <v>1.0124456521739129</v>
      </c>
      <c r="J102" s="2901">
        <f>1.942/J101</f>
        <v>1.0554347826086956</v>
      </c>
      <c r="K102" s="2901">
        <f>1.942/K101</f>
        <v>1.0554347826086956</v>
      </c>
      <c r="L102" s="2901">
        <f>1.942/L101</f>
        <v>1.0554347826086956</v>
      </c>
      <c r="M102" s="2901">
        <f>1.942/M101</f>
        <v>1.0554347826086956</v>
      </c>
      <c r="N102" s="2901">
        <f>1.942/N101</f>
        <v>1.0554347826086956</v>
      </c>
    </row>
    <row r="103" spans="1:14">
      <c r="A103" s="3253"/>
      <c r="B103" s="2900">
        <v>2</v>
      </c>
      <c r="C103" s="2901">
        <f>1.4198/C101</f>
        <v>0.77163043478260862</v>
      </c>
      <c r="D103" s="2901">
        <f>1.4198/D101</f>
        <v>0.77163043478260862</v>
      </c>
      <c r="E103" s="2901">
        <f>1.3372/E101</f>
        <v>0.72673913043478255</v>
      </c>
      <c r="F103" s="2901">
        <f>1.3372/F101</f>
        <v>0.72673913043478255</v>
      </c>
      <c r="G103" s="2901">
        <f>1.3372/G101</f>
        <v>0.72673913043478255</v>
      </c>
      <c r="H103" s="2901">
        <f>1.3372/H101</f>
        <v>0.72673913043478255</v>
      </c>
      <c r="I103" s="2901">
        <f>1.3372/I101</f>
        <v>0.72673913043478255</v>
      </c>
      <c r="J103" s="2901">
        <f>1.2799/J101</f>
        <v>0.69559782608695653</v>
      </c>
      <c r="K103" s="2901">
        <f>1.2799/K101</f>
        <v>0.69559782608695653</v>
      </c>
      <c r="L103" s="2901">
        <f>1.2799/L101</f>
        <v>0.69559782608695653</v>
      </c>
      <c r="M103" s="2901">
        <f>1.2799/M101</f>
        <v>0.69559782608695653</v>
      </c>
      <c r="N103" s="2901">
        <f>1.2799/N101</f>
        <v>0.69559782608695653</v>
      </c>
    </row>
    <row r="104" spans="1:14">
      <c r="A104" s="3253"/>
      <c r="B104" s="2900">
        <v>3</v>
      </c>
      <c r="C104" s="2901">
        <f>1.1594/C101</f>
        <v>0.63010869565217387</v>
      </c>
      <c r="D104" s="2901">
        <f>1.1594/D101</f>
        <v>0.63010869565217387</v>
      </c>
      <c r="E104" s="2901">
        <f>1.0788/E101</f>
        <v>0.58630434782608687</v>
      </c>
      <c r="F104" s="2901">
        <f>1.0788/F101</f>
        <v>0.58630434782608687</v>
      </c>
      <c r="G104" s="2901">
        <f>1.0788/G101</f>
        <v>0.58630434782608687</v>
      </c>
      <c r="H104" s="2901">
        <f>1.0788/H101</f>
        <v>0.58630434782608687</v>
      </c>
      <c r="I104" s="2901">
        <f>1.0788/I101</f>
        <v>0.58630434782608687</v>
      </c>
      <c r="J104" s="2901">
        <f>1.0072/J101</f>
        <v>0.54739130434782612</v>
      </c>
      <c r="K104" s="2901">
        <f>1.0072/K101</f>
        <v>0.54739130434782612</v>
      </c>
      <c r="L104" s="2901">
        <f>1.0072/L101</f>
        <v>0.54739130434782612</v>
      </c>
      <c r="M104" s="2901">
        <f>1.0072/M101</f>
        <v>0.54739130434782612</v>
      </c>
      <c r="N104" s="2901">
        <f>1.0072/N101</f>
        <v>0.54739130434782612</v>
      </c>
    </row>
    <row r="105" spans="1:14">
      <c r="A105" s="3253"/>
      <c r="B105" s="2900">
        <v>4</v>
      </c>
      <c r="C105" s="2901">
        <f>0.9622/C101</f>
        <v>0.52293478260869564</v>
      </c>
      <c r="D105" s="2901">
        <f>0.9622/D101</f>
        <v>0.52293478260869564</v>
      </c>
      <c r="E105" s="2901">
        <f>0.8656/E101</f>
        <v>0.47043478260869565</v>
      </c>
      <c r="F105" s="2901">
        <f>0.8656/F101</f>
        <v>0.47043478260869565</v>
      </c>
      <c r="G105" s="2901">
        <f>0.8656/G101</f>
        <v>0.47043478260869565</v>
      </c>
      <c r="H105" s="2901">
        <f>0.8656/H101</f>
        <v>0.47043478260869565</v>
      </c>
      <c r="I105" s="2901">
        <f>0.8656/I101</f>
        <v>0.47043478260869565</v>
      </c>
      <c r="J105" s="2901">
        <f>0.7525/J101</f>
        <v>0.40896739130434778</v>
      </c>
      <c r="K105" s="2901">
        <f>0.7525/K101</f>
        <v>0.40896739130434778</v>
      </c>
      <c r="L105" s="2901">
        <f>0.7525/L101</f>
        <v>0.40896739130434778</v>
      </c>
      <c r="M105" s="2901">
        <f>0.7525/M101</f>
        <v>0.40896739130434778</v>
      </c>
      <c r="N105" s="2901">
        <f>0.7525/N101</f>
        <v>0.40896739130434778</v>
      </c>
    </row>
    <row r="106" spans="1:14">
      <c r="A106" s="3253"/>
      <c r="B106" s="2900">
        <v>5</v>
      </c>
      <c r="C106" s="2901">
        <f>0.8417/C101</f>
        <v>0.45744565217391303</v>
      </c>
      <c r="D106" s="2901">
        <f>0.8417/D101</f>
        <v>0.45744565217391303</v>
      </c>
      <c r="E106" s="2901">
        <f>0.7371/E101</f>
        <v>0.40059782608695649</v>
      </c>
      <c r="F106" s="2901">
        <f>0.7371/F101</f>
        <v>0.40059782608695649</v>
      </c>
      <c r="G106" s="2901">
        <f>0.7371/G101</f>
        <v>0.40059782608695649</v>
      </c>
      <c r="H106" s="2901">
        <f>0.7371/H101</f>
        <v>0.40059782608695649</v>
      </c>
      <c r="I106" s="2901">
        <f>0.7371/I101</f>
        <v>0.40059782608695649</v>
      </c>
      <c r="J106" s="2901">
        <f>0.5659/J101</f>
        <v>0.30755434782608693</v>
      </c>
      <c r="K106" s="2901">
        <f>0.5659/K101</f>
        <v>0.30755434782608693</v>
      </c>
      <c r="L106" s="2901">
        <f>0.5659/L101</f>
        <v>0.30755434782608693</v>
      </c>
      <c r="M106" s="2901">
        <f>0.5659/M101</f>
        <v>0.30755434782608693</v>
      </c>
      <c r="N106" s="2901">
        <f>0.5659/N101</f>
        <v>0.30755434782608693</v>
      </c>
    </row>
    <row r="107" spans="1:14">
      <c r="A107" s="3253"/>
      <c r="B107" s="2900">
        <v>6</v>
      </c>
      <c r="C107" s="2901">
        <f>0.7608/C101</f>
        <v>0.41347826086956524</v>
      </c>
      <c r="D107" s="2901">
        <f>0.7608/D101</f>
        <v>0.41347826086956524</v>
      </c>
      <c r="E107" s="2901">
        <f>0.6482/E101</f>
        <v>0.35228260869565214</v>
      </c>
      <c r="F107" s="2901">
        <f>0.6482/F101</f>
        <v>0.35228260869565214</v>
      </c>
      <c r="G107" s="2901">
        <f>0.6482/G101</f>
        <v>0.35228260869565214</v>
      </c>
      <c r="H107" s="2901">
        <f>0.6482/H101</f>
        <v>0.35228260869565214</v>
      </c>
      <c r="I107" s="2901">
        <f>0.6482/I101</f>
        <v>0.35228260869565214</v>
      </c>
      <c r="J107" s="2901">
        <f>0.4525/J101</f>
        <v>0.24592391304347827</v>
      </c>
      <c r="K107" s="2901">
        <f>0.4525/K101</f>
        <v>0.24592391304347827</v>
      </c>
      <c r="L107" s="2901">
        <f>0.4525/L101</f>
        <v>0.24592391304347827</v>
      </c>
      <c r="M107" s="2901">
        <f>0.4525/M101</f>
        <v>0.24592391304347827</v>
      </c>
      <c r="N107" s="2901">
        <f>0.4525/N101</f>
        <v>0.24592391304347827</v>
      </c>
    </row>
    <row r="108" spans="1:14">
      <c r="A108" s="3253"/>
      <c r="B108" s="3111" t="s">
        <v>2868</v>
      </c>
      <c r="C108" s="2902">
        <f>C99</f>
        <v>5</v>
      </c>
      <c r="D108" s="2902">
        <f t="shared" ref="D108:N108" si="32">D99</f>
        <v>5</v>
      </c>
      <c r="E108" s="2902">
        <f t="shared" si="32"/>
        <v>5</v>
      </c>
      <c r="F108" s="2902">
        <f t="shared" si="32"/>
        <v>5</v>
      </c>
      <c r="G108" s="2902">
        <f t="shared" si="32"/>
        <v>5</v>
      </c>
      <c r="H108" s="2902">
        <f t="shared" si="32"/>
        <v>5</v>
      </c>
      <c r="I108" s="2902">
        <f t="shared" si="32"/>
        <v>5</v>
      </c>
      <c r="J108" s="2902">
        <f t="shared" si="32"/>
        <v>5</v>
      </c>
      <c r="K108" s="2902">
        <f t="shared" si="32"/>
        <v>5</v>
      </c>
      <c r="L108" s="2902">
        <f t="shared" si="32"/>
        <v>5</v>
      </c>
      <c r="M108" s="2902">
        <f t="shared" si="32"/>
        <v>5</v>
      </c>
      <c r="N108" s="2902">
        <f t="shared" si="32"/>
        <v>5</v>
      </c>
    </row>
    <row r="109" spans="1:14">
      <c r="A109" s="3254"/>
      <c r="B109" s="3112"/>
      <c r="C109" s="2903">
        <f>(-0.163*(C108^2)-0.59*C108+7617)*(10^(-4))/C101</f>
        <v>0.413585597826087</v>
      </c>
      <c r="D109" s="2903">
        <f>(-0.163*(D108^2)-0.59*D108+7617)*(10^(-4))/D101</f>
        <v>0.413585597826087</v>
      </c>
      <c r="E109" s="2903">
        <f>(-0.161*(E108^2)-7.509*E108+6533)*(10^(-4))/E101</f>
        <v>0.35279510869565217</v>
      </c>
      <c r="F109" s="2903">
        <f>(-0.161*(F108^2)-7.509*F108+6533)*(10^(-4))/F101</f>
        <v>0.35279510869565217</v>
      </c>
      <c r="G109" s="2903">
        <f>(-0.161*(G108^2)-7.509*G108+6533)*(10^(-4))/G101</f>
        <v>0.35279510869565217</v>
      </c>
      <c r="H109" s="2903">
        <f>(-0.161*(H108^2)-7.509*H108+6533)*(10^(-4))/H101</f>
        <v>0.35279510869565217</v>
      </c>
      <c r="I109" s="2903">
        <f>(-0.161*(I108^2)-7.509*I108+6533)*(10^(-4))/I101</f>
        <v>0.35279510869565217</v>
      </c>
      <c r="J109" s="2903">
        <f>(-0.214*(J108^2)-21.991*J108+4665)*(10^(-4))/J101</f>
        <v>0.24726603260869562</v>
      </c>
      <c r="K109" s="2903">
        <f>(-0.214*(K108^2)-21.991*K108+4665)*(10^(-4))/K101</f>
        <v>0.24726603260869562</v>
      </c>
      <c r="L109" s="2903">
        <f>(-0.214*(L108^2)-21.991*L108+4665)*(10^(-4))/L101</f>
        <v>0.24726603260869562</v>
      </c>
      <c r="M109" s="2903">
        <f>(-0.214*(M108^2)-21.991*M108+4665)*(10^(-4))/M101</f>
        <v>0.24726603260869562</v>
      </c>
      <c r="N109" s="2903">
        <f>(-0.214*(N108^2)-21.991*N108+4665)*(10^(-4))/N101</f>
        <v>0.24726603260869562</v>
      </c>
    </row>
    <row r="110" spans="1:14">
      <c r="A110" s="3250" t="s">
        <v>2979</v>
      </c>
      <c r="B110" s="3250"/>
      <c r="C110" s="3250"/>
      <c r="D110" s="3250"/>
      <c r="E110" s="3250"/>
      <c r="F110" s="3250"/>
      <c r="G110" s="3250"/>
      <c r="H110" s="3250"/>
      <c r="I110" s="3250"/>
      <c r="J110" s="3250"/>
      <c r="K110" s="2938"/>
      <c r="L110" s="2938"/>
      <c r="M110" s="2938"/>
      <c r="N110" s="2938"/>
    </row>
    <row r="112" spans="1:14" ht="13.5" thickBot="1"/>
    <row r="113" spans="1:13" ht="25.5" thickBot="1">
      <c r="A113" s="903" t="s">
        <v>2980</v>
      </c>
      <c r="B113" s="1290">
        <f>G3</f>
        <v>1.84</v>
      </c>
      <c r="C113" s="904" t="s">
        <v>2981</v>
      </c>
      <c r="D113" s="905">
        <f>SUMPRODUCT((A115:A118=F113)*(B114:M114=H113)*B115:M118)</f>
        <v>0.81299999999999994</v>
      </c>
      <c r="E113" s="2729" t="s">
        <v>2812</v>
      </c>
      <c r="F113" s="2908" t="str">
        <f>E2</f>
        <v>商业</v>
      </c>
      <c r="G113" s="2729" t="s">
        <v>2813</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2877</v>
      </c>
      <c r="B115" s="910">
        <f>ROUND(0.9335-0.0094*B113,4)</f>
        <v>0.91620000000000001</v>
      </c>
      <c r="C115" s="910">
        <f>B115</f>
        <v>0.91620000000000001</v>
      </c>
      <c r="D115" s="910">
        <f>ROUND(0.8331-0.0109*B113,4)</f>
        <v>0.81299999999999994</v>
      </c>
      <c r="E115" s="910">
        <f>D115</f>
        <v>0.81299999999999994</v>
      </c>
      <c r="F115" s="910">
        <f>E115</f>
        <v>0.81299999999999994</v>
      </c>
      <c r="G115" s="910">
        <f>F115</f>
        <v>0.81299999999999994</v>
      </c>
      <c r="H115" s="910">
        <f>G115</f>
        <v>0.81299999999999994</v>
      </c>
      <c r="I115" s="910">
        <f>ROUND(0.689-0.0155*B113,4)</f>
        <v>0.66049999999999998</v>
      </c>
      <c r="J115" s="910">
        <f t="shared" ref="J115:M118" si="33">I115</f>
        <v>0.66049999999999998</v>
      </c>
      <c r="K115" s="910">
        <f t="shared" si="33"/>
        <v>0.66049999999999998</v>
      </c>
      <c r="L115" s="910">
        <f t="shared" si="33"/>
        <v>0.66049999999999998</v>
      </c>
      <c r="M115" s="911">
        <f t="shared" si="33"/>
        <v>0.66049999999999998</v>
      </c>
    </row>
    <row r="116" spans="1:13">
      <c r="A116" s="909" t="s">
        <v>2878</v>
      </c>
      <c r="B116" s="910">
        <f>ROUND(0.949-0.012*B113,4)</f>
        <v>0.92689999999999995</v>
      </c>
      <c r="C116" s="910">
        <f>B116</f>
        <v>0.92689999999999995</v>
      </c>
      <c r="D116" s="910">
        <f>ROUND(0.8567-0.013*B113,4)</f>
        <v>0.83279999999999998</v>
      </c>
      <c r="E116" s="910">
        <f t="shared" ref="E116:H117" si="34">D116</f>
        <v>0.83279999999999998</v>
      </c>
      <c r="F116" s="910">
        <f t="shared" si="34"/>
        <v>0.83279999999999998</v>
      </c>
      <c r="G116" s="910">
        <f t="shared" si="34"/>
        <v>0.83279999999999998</v>
      </c>
      <c r="H116" s="910">
        <f t="shared" si="34"/>
        <v>0.83279999999999998</v>
      </c>
      <c r="I116" s="910">
        <f>ROUND(0.7694-0.014*B113,4)</f>
        <v>0.74360000000000004</v>
      </c>
      <c r="J116" s="910">
        <f t="shared" si="33"/>
        <v>0.74360000000000004</v>
      </c>
      <c r="K116" s="910">
        <f t="shared" si="33"/>
        <v>0.74360000000000004</v>
      </c>
      <c r="L116" s="910">
        <f t="shared" si="33"/>
        <v>0.74360000000000004</v>
      </c>
      <c r="M116" s="911">
        <f t="shared" si="33"/>
        <v>0.74360000000000004</v>
      </c>
    </row>
    <row r="117" spans="1:13">
      <c r="A117" s="909" t="s">
        <v>2879</v>
      </c>
      <c r="B117" s="910">
        <f>ROUND(0.8808-0.006*B113,4)</f>
        <v>0.86980000000000002</v>
      </c>
      <c r="C117" s="910">
        <f>B117</f>
        <v>0.86980000000000002</v>
      </c>
      <c r="D117" s="910">
        <f>ROUND(0.8748-0.008*B113,4)</f>
        <v>0.86009999999999998</v>
      </c>
      <c r="E117" s="910">
        <f t="shared" si="34"/>
        <v>0.86009999999999998</v>
      </c>
      <c r="F117" s="910">
        <f t="shared" si="34"/>
        <v>0.86009999999999998</v>
      </c>
      <c r="G117" s="910">
        <f t="shared" si="34"/>
        <v>0.86009999999999998</v>
      </c>
      <c r="H117" s="910">
        <f t="shared" si="34"/>
        <v>0.86009999999999998</v>
      </c>
      <c r="I117" s="910">
        <f>ROUND(0.7412-0.0095*B113,4)</f>
        <v>0.72370000000000001</v>
      </c>
      <c r="J117" s="910">
        <f t="shared" si="33"/>
        <v>0.72370000000000001</v>
      </c>
      <c r="K117" s="910">
        <f t="shared" si="33"/>
        <v>0.72370000000000001</v>
      </c>
      <c r="L117" s="910">
        <f t="shared" si="33"/>
        <v>0.72370000000000001</v>
      </c>
      <c r="M117" s="911">
        <f t="shared" si="33"/>
        <v>0.72370000000000001</v>
      </c>
    </row>
    <row r="118" spans="1:13" ht="13.5" thickBot="1">
      <c r="A118" s="714" t="s">
        <v>2880</v>
      </c>
      <c r="B118" s="912">
        <f>ROUND(0.7275-0.01*B113,4)</f>
        <v>0.70909999999999995</v>
      </c>
      <c r="C118" s="912">
        <f>B118</f>
        <v>0.70909999999999995</v>
      </c>
      <c r="D118" s="912">
        <f>ROUND(0.7043-0.012*B113,4)</f>
        <v>0.68220000000000003</v>
      </c>
      <c r="E118" s="912">
        <f>D118</f>
        <v>0.68220000000000003</v>
      </c>
      <c r="F118" s="912">
        <f>E118</f>
        <v>0.68220000000000003</v>
      </c>
      <c r="G118" s="912">
        <f>ROUND(0.6299-0.0122*B113,4)</f>
        <v>0.60750000000000004</v>
      </c>
      <c r="H118" s="912">
        <f>G118</f>
        <v>0.60750000000000004</v>
      </c>
      <c r="I118" s="912">
        <f>ROUND(0.5667-0.0136*B113,4)</f>
        <v>0.54169999999999996</v>
      </c>
      <c r="J118" s="912">
        <f t="shared" si="33"/>
        <v>0.54169999999999996</v>
      </c>
      <c r="K118" s="912">
        <f t="shared" si="33"/>
        <v>0.54169999999999996</v>
      </c>
      <c r="L118" s="912">
        <f t="shared" si="33"/>
        <v>0.54169999999999996</v>
      </c>
      <c r="M118" s="913">
        <f t="shared" si="33"/>
        <v>0.54169999999999996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70" t="s">
        <v>3005</v>
      </c>
      <c r="D1" s="3271"/>
      <c r="E1" s="3271"/>
      <c r="F1" s="3271"/>
      <c r="G1" s="3271"/>
      <c r="H1" s="3271"/>
      <c r="I1" s="3271"/>
      <c r="J1" s="3271"/>
      <c r="K1" s="3271"/>
      <c r="L1" s="3271"/>
      <c r="M1" s="3271"/>
      <c r="N1" s="3271"/>
      <c r="O1" s="3271"/>
      <c r="P1" s="3271"/>
      <c r="Q1" s="3271"/>
      <c r="R1" s="3271"/>
      <c r="S1" s="3272"/>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33" t="s">
        <v>33</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25" sqref="K25"/>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3002</v>
      </c>
    </row>
    <row r="2" spans="1:5" ht="15.75">
      <c r="A2" s="2915" t="s">
        <v>2994</v>
      </c>
      <c r="B2" s="2916">
        <f ca="1">SUMIF(B6:B13,"&lt;&gt;#ref!",B6:B13)</f>
        <v>103397</v>
      </c>
      <c r="C2" s="2915" t="s">
        <v>2995</v>
      </c>
      <c r="D2" s="2915" t="s">
        <v>2996</v>
      </c>
      <c r="E2" s="2916" t="e">
        <f ca="1">SUM(E6:E13)</f>
        <v>#REF!</v>
      </c>
    </row>
    <row r="3" spans="1:5" ht="15.75">
      <c r="A3" s="2915" t="s">
        <v>2997</v>
      </c>
      <c r="B3" s="2916" t="e">
        <f ca="1">ROUND(B2*10000/E2,0)</f>
        <v>#REF!</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t="e">
        <f ca="1">SUMIF(INDIRECT("'"&amp;A6&amp;"'"&amp;"!A:A"),"总价",INDIRECT("'"&amp;A6&amp;"'"&amp;"!B:B"))</f>
        <v>#REF!</v>
      </c>
      <c r="C6" s="2915" t="s">
        <v>2995</v>
      </c>
      <c r="D6" s="2917"/>
      <c r="E6" s="2580" t="e">
        <f ca="1">SUMIF(INDIRECT("'"&amp;A6&amp;"'"&amp;"!C:C"),"建筑面积",INDIRECT("'"&amp;A6&amp;"'"&amp;"!D:D"))</f>
        <v>#REF!</v>
      </c>
    </row>
    <row r="7" spans="1:5" ht="15.75">
      <c r="A7" s="2920" t="s">
        <v>3099</v>
      </c>
      <c r="B7" s="2916">
        <f ca="1">SUMIF(INDIRECT("'"&amp;A7&amp;"'"&amp;"!A:A"),"总价",INDIRECT("'"&amp;A7&amp;"'"&amp;"!B:B"))</f>
        <v>32943</v>
      </c>
      <c r="C7" s="2915" t="s">
        <v>2995</v>
      </c>
      <c r="D7" s="2917"/>
      <c r="E7" s="2580">
        <f t="shared" ref="E7:E13" ca="1" si="0">SUMIF(INDIRECT("'"&amp;A7&amp;"'"&amp;"!C:C"),"建筑面积",INDIRECT("'"&amp;A7&amp;"'"&amp;"!D:D"))</f>
        <v>11669.09</v>
      </c>
    </row>
    <row r="8" spans="1:5" ht="15.75">
      <c r="A8" s="2920" t="s">
        <v>3101</v>
      </c>
      <c r="B8" s="2916">
        <f t="shared" ref="B8:B13" ca="1" si="1">SUMIF(INDIRECT("'"&amp;A8&amp;"'"&amp;"!A:A"),"总价",INDIRECT("'"&amp;A8&amp;"'"&amp;"!B:B"))</f>
        <v>23575</v>
      </c>
      <c r="C8" s="2915" t="s">
        <v>2995</v>
      </c>
      <c r="D8" s="2917"/>
      <c r="E8" s="2580">
        <f t="shared" ca="1" si="0"/>
        <v>11633.97</v>
      </c>
    </row>
    <row r="9" spans="1:5" ht="15.75">
      <c r="A9" s="2920" t="s">
        <v>3102</v>
      </c>
      <c r="B9" s="2916">
        <f t="shared" ca="1" si="1"/>
        <v>19074</v>
      </c>
      <c r="C9" s="2915" t="s">
        <v>2995</v>
      </c>
      <c r="D9" s="2917"/>
      <c r="E9" s="2580">
        <f t="shared" ca="1" si="0"/>
        <v>11667.07</v>
      </c>
    </row>
    <row r="10" spans="1:5" ht="15.75">
      <c r="A10" s="2920" t="s">
        <v>3103</v>
      </c>
      <c r="B10" s="2916">
        <f t="shared" ca="1" si="1"/>
        <v>14936</v>
      </c>
      <c r="C10" s="2915" t="s">
        <v>2995</v>
      </c>
      <c r="D10" s="2917"/>
      <c r="E10" s="2580">
        <f t="shared" ca="1" si="0"/>
        <v>11385.89</v>
      </c>
    </row>
    <row r="11" spans="1:5" ht="15.75">
      <c r="A11" s="2920" t="s">
        <v>3104</v>
      </c>
      <c r="B11" s="2916">
        <f t="shared" ca="1" si="1"/>
        <v>12869</v>
      </c>
      <c r="C11" s="2915" t="s">
        <v>2995</v>
      </c>
      <c r="D11" s="2917"/>
      <c r="E11" s="2580">
        <f t="shared" ca="1" si="0"/>
        <v>11521.02</v>
      </c>
    </row>
    <row r="12" spans="1:5" ht="15.75">
      <c r="A12" s="2920"/>
      <c r="B12" s="2916" t="e">
        <f t="shared" ca="1" si="1"/>
        <v>#REF!</v>
      </c>
      <c r="C12" s="2915" t="s">
        <v>2995</v>
      </c>
      <c r="D12" s="2917"/>
      <c r="E12" s="2580" t="e">
        <f t="shared" ca="1" si="0"/>
        <v>#REF!</v>
      </c>
    </row>
    <row r="13" spans="1:5" ht="15.75">
      <c r="A13" s="2920"/>
      <c r="B13" s="2916" t="e">
        <f t="shared" ca="1" si="1"/>
        <v>#REF!</v>
      </c>
      <c r="C13" s="2915" t="s">
        <v>2995</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F59" sqref="F5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192314</v>
      </c>
      <c r="C2" s="243" t="s">
        <v>2326</v>
      </c>
      <c r="D2" s="2552" t="s">
        <v>70</v>
      </c>
      <c r="E2" s="1443" t="e">
        <f ca="1">SUMIF(INDIRECT("'"&amp;G2&amp;"'"&amp;"!A:A"),"承租人权益价值",INDIRECT("'"&amp;G2&amp;"'"&amp;"!c:c"))</f>
        <v>#REF!</v>
      </c>
      <c r="F2" s="2553" t="s">
        <v>2326</v>
      </c>
      <c r="G2" s="2554"/>
    </row>
    <row r="3" spans="1:9" s="244" customFormat="1" ht="18" customHeight="1" thickBot="1">
      <c r="A3" s="247" t="s">
        <v>2327</v>
      </c>
      <c r="B3" s="248">
        <f ca="1">ROUND(B2*10000/(IF(B1="",'数据-汇总表'!E3,INDIRECT("'数据-取费表'!k"&amp;$G$1))),0)</f>
        <v>27402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107955</v>
      </c>
      <c r="D5" s="255" t="s">
        <v>2332</v>
      </c>
      <c r="E5" s="256" t="s">
        <v>2333</v>
      </c>
      <c r="F5" s="256" t="s">
        <v>2334</v>
      </c>
      <c r="G5" s="257"/>
    </row>
    <row r="6" spans="1:9" s="258" customFormat="1" ht="13.5" customHeight="1">
      <c r="A6" s="952" t="s">
        <v>2335</v>
      </c>
      <c r="B6" s="259" t="s">
        <v>2336</v>
      </c>
      <c r="C6" s="260">
        <f ca="1">'基准地价（汇总）'!B2</f>
        <v>103397</v>
      </c>
      <c r="D6" s="261"/>
      <c r="E6" s="262"/>
      <c r="F6" s="262"/>
      <c r="G6" s="263"/>
    </row>
    <row r="7" spans="1:9" s="258" customFormat="1" ht="13.5" customHeight="1">
      <c r="A7" s="952" t="s">
        <v>2337</v>
      </c>
      <c r="B7" s="259" t="s">
        <v>2338</v>
      </c>
      <c r="C7" s="264">
        <f ca="1">ROUND(C6*F7,0)</f>
        <v>3154</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1404</v>
      </c>
      <c r="D8" s="266"/>
      <c r="E8" s="264"/>
      <c r="F8" s="265"/>
      <c r="G8" s="2555" t="s">
        <v>3107</v>
      </c>
    </row>
    <row r="9" spans="1:9" s="258" customFormat="1" ht="13.5" customHeight="1">
      <c r="A9" s="953" t="s">
        <v>799</v>
      </c>
      <c r="B9" s="268" t="s">
        <v>2341</v>
      </c>
      <c r="C9" s="269">
        <f ca="1">ROUND(D9*E9/10000,0)</f>
        <v>0</v>
      </c>
      <c r="D9" s="1035">
        <f ca="1">IF(B1="",'数据-汇总表'!E5,IF(INDIRECT("'数据-取费表'!c"&amp;$G$1)="住宅",INDIRECT("'数据-取费表'!k"&amp;$G$1),0))</f>
        <v>0</v>
      </c>
      <c r="E9" s="269">
        <f>'数据-取费表'!B27</f>
        <v>0</v>
      </c>
      <c r="F9" s="265"/>
      <c r="G9" s="2556" t="s">
        <v>3108</v>
      </c>
      <c r="H9" s="1393"/>
      <c r="I9" s="2557" t="s">
        <v>2342</v>
      </c>
    </row>
    <row r="10" spans="1:9" s="258" customFormat="1" ht="13.5" customHeight="1">
      <c r="A10" s="953" t="s">
        <v>800</v>
      </c>
      <c r="B10" s="268" t="s">
        <v>2343</v>
      </c>
      <c r="C10" s="269">
        <f ca="1">ROUND(D10*E10/10000,0)</f>
        <v>1404</v>
      </c>
      <c r="D10" s="1035">
        <f ca="1">IF(B1="",'数据-汇总表'!E6,IF(INDIRECT("'数据-取费表'!c"&amp;$G$1)="住宅",INDIRECT("'数据-取费表'!s"&amp;$G$1),INDIRECT("'数据-取费表'!k"&amp;$G$1)+INDIRECT("'数据-取费表'!s"&amp;$G$1)))</f>
        <v>70181.87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70181.87</v>
      </c>
      <c r="E19" s="255">
        <f>'数据-取费表'!B31</f>
        <v>200</v>
      </c>
      <c r="F19" s="275"/>
      <c r="G19" s="2555" t="s">
        <v>3106</v>
      </c>
    </row>
    <row r="20" spans="1:7" s="258" customFormat="1" ht="13.5" customHeight="1">
      <c r="A20" s="299" t="s">
        <v>2356</v>
      </c>
      <c r="B20" s="254" t="s">
        <v>2357</v>
      </c>
      <c r="C20" s="276">
        <f ca="1">ROUND((C5+C19)*F20,0)</f>
        <v>2159</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10602</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10499</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103</v>
      </c>
      <c r="D25" s="282"/>
      <c r="E25" s="285"/>
      <c r="F25" s="283"/>
      <c r="G25" s="286" t="s">
        <v>2373</v>
      </c>
    </row>
    <row r="26" spans="1:7" s="258" customFormat="1">
      <c r="A26" s="954" t="s">
        <v>794</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27529</v>
      </c>
      <c r="D27" s="279">
        <f ca="1">C29</f>
        <v>5.0000000000000001E-3</v>
      </c>
      <c r="E27" s="280" t="s">
        <v>2377</v>
      </c>
      <c r="F27" s="290">
        <f ca="1">IF(B1="",'数据-取费表'!Q16,INDIRECT("'数据-取费表'!q"&amp;$G$1))</f>
        <v>0.25</v>
      </c>
      <c r="G27" s="291" t="s">
        <v>2378</v>
      </c>
    </row>
    <row r="28" spans="1:7" s="258" customFormat="1" ht="13.5" customHeight="1">
      <c r="A28" s="954" t="s">
        <v>790</v>
      </c>
      <c r="B28" s="292" t="s">
        <v>2379</v>
      </c>
      <c r="C28" s="293">
        <f ca="1">ROUND((C5+C19+C20)*F27*'数据-取费表'!B21/'数据-取费表'!B20,0)</f>
        <v>27529</v>
      </c>
      <c r="D28" s="279"/>
      <c r="E28" s="280"/>
      <c r="F28" s="290"/>
      <c r="G28" s="291"/>
    </row>
    <row r="29" spans="1:7" s="258" customFormat="1" ht="13.5" customHeight="1">
      <c r="A29" s="954" t="s">
        <v>791</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161013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781</v>
      </c>
      <c r="B33" s="254" t="s">
        <v>2387</v>
      </c>
      <c r="C33" s="300">
        <f ca="1">SUM(C34:C38)</f>
        <v>27564</v>
      </c>
      <c r="D33" s="276"/>
      <c r="E33" s="256"/>
      <c r="F33" s="285"/>
      <c r="G33" s="278"/>
    </row>
    <row r="34" spans="1:7" s="302" customFormat="1" ht="13.5" customHeight="1">
      <c r="A34" s="954" t="s">
        <v>790</v>
      </c>
      <c r="B34" s="259" t="s">
        <v>2388</v>
      </c>
      <c r="C34" s="264">
        <f ca="1">IF(B1="",IF(F34=100%,'数据-取费表'!M16,'数据-取费表'!O16),IF(F34=100%,INDIRECT("'数据-取费表'!m"&amp;$G$1)+INDIRECT("'数据-取费表'!t"&amp;$G$1),INDIRECT("'数据-取费表'!o"&amp;$G$1)+INDIRECT("'数据-取费表'!aq"&amp;$G$1)))</f>
        <v>24564</v>
      </c>
      <c r="D34" s="261"/>
      <c r="E34" s="264"/>
      <c r="F34" s="301">
        <f ca="1">IF('数据-取费表'!B24=0,1,IF(B1="",'数据-取费表'!N16,INDIRECT("'数据-取费表'!n"&amp;$G$1)))</f>
        <v>1</v>
      </c>
      <c r="G34" s="263" t="s">
        <v>2389</v>
      </c>
    </row>
    <row r="35" spans="1:7" ht="13.5" customHeight="1">
      <c r="A35" s="954" t="s">
        <v>795</v>
      </c>
      <c r="B35" s="259" t="s">
        <v>2390</v>
      </c>
      <c r="C35" s="264">
        <f ca="1">ROUND(C34*F35,0)</f>
        <v>1228</v>
      </c>
      <c r="D35" s="264"/>
      <c r="E35" s="264"/>
      <c r="F35" s="303">
        <f>'数据-取费表'!B33</f>
        <v>0.05</v>
      </c>
      <c r="G35" s="263" t="s">
        <v>2391</v>
      </c>
    </row>
    <row r="36" spans="1:7" ht="24">
      <c r="A36" s="954" t="s">
        <v>796</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797</v>
      </c>
      <c r="B37" s="259" t="s">
        <v>2394</v>
      </c>
      <c r="C37" s="293">
        <f ca="1">ROUND(E37*D37*F34/10000,0)</f>
        <v>1404</v>
      </c>
      <c r="D37" s="261">
        <f ca="1">D19</f>
        <v>70181.87</v>
      </c>
      <c r="E37" s="293">
        <f>'数据-取费表'!B35</f>
        <v>200</v>
      </c>
      <c r="F37" s="303"/>
      <c r="G37" s="305" t="s">
        <v>2395</v>
      </c>
    </row>
    <row r="38" spans="1:7" ht="13.5" customHeight="1">
      <c r="A38" s="954" t="s">
        <v>798</v>
      </c>
      <c r="B38" s="259" t="s">
        <v>2396</v>
      </c>
      <c r="C38" s="264">
        <f ca="1">ROUND(C34*F38,0)</f>
        <v>368</v>
      </c>
      <c r="D38" s="264"/>
      <c r="E38" s="264"/>
      <c r="F38" s="303">
        <f>'数据-取费表'!B36</f>
        <v>1.4999999999999999E-2</v>
      </c>
      <c r="G38" s="263" t="s">
        <v>2391</v>
      </c>
    </row>
    <row r="39" spans="1:7" s="258" customFormat="1" ht="13.5" customHeight="1">
      <c r="A39" s="299" t="s">
        <v>2397</v>
      </c>
      <c r="B39" s="254" t="s">
        <v>2398</v>
      </c>
      <c r="C39" s="276">
        <f ca="1">ROUND(C33*F20,0)</f>
        <v>551</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1335</v>
      </c>
      <c r="D41" s="279">
        <f ca="1">C44</f>
        <v>1E-3</v>
      </c>
      <c r="E41" s="280" t="s">
        <v>2402</v>
      </c>
      <c r="F41" s="281"/>
      <c r="G41" s="278" t="str">
        <f>IF('数据-取费表'!B22&lt;=1,"单利计息","复利计息")</f>
        <v>复利计息</v>
      </c>
    </row>
    <row r="42" spans="1:7" ht="13.5" customHeight="1">
      <c r="A42" s="954" t="s">
        <v>790</v>
      </c>
      <c r="B42" s="259" t="s">
        <v>2406</v>
      </c>
      <c r="C42" s="282">
        <f ca="1">ROUND(IF('数据-取费表'!B22&lt;=1,C33*F22*'数据-取费表'!B21/2,C33*(POWER((1+F22),'数据-取费表'!B21/2)-1)),0)</f>
        <v>1309</v>
      </c>
      <c r="D42" s="282"/>
      <c r="E42" s="282"/>
      <c r="F42" s="283"/>
      <c r="G42" s="3138" t="s">
        <v>2407</v>
      </c>
    </row>
    <row r="43" spans="1:7" ht="13.5" customHeight="1">
      <c r="A43" s="954" t="s">
        <v>791</v>
      </c>
      <c r="B43" s="259" t="s">
        <v>2408</v>
      </c>
      <c r="C43" s="282">
        <f ca="1">ROUND(IF('数据-取费表'!B22&lt;=1,C39*F22*'数据-取费表'!B21/2,C39*(POWER((1+F22),'数据-取费表'!B21/2)-1)),0)</f>
        <v>26</v>
      </c>
      <c r="D43" s="282"/>
      <c r="E43" s="282"/>
      <c r="F43" s="283"/>
      <c r="G43" s="3139"/>
    </row>
    <row r="44" spans="1:7" ht="13.5" customHeight="1">
      <c r="A44" s="954" t="s">
        <v>792</v>
      </c>
      <c r="B44" s="259" t="s">
        <v>2409</v>
      </c>
      <c r="C44" s="282">
        <f ca="1">ROUND(IF('数据-取费表'!B22&lt;=1,C40*F22*'数据-取费表'!B21/2,C40*(POWER((1+F22),'数据-取费表'!B21/2)-1)),4)</f>
        <v>1E-3</v>
      </c>
      <c r="D44" s="282"/>
      <c r="E44" s="282"/>
      <c r="F44" s="283"/>
      <c r="G44" s="3140"/>
    </row>
    <row r="45" spans="1:7" s="258" customFormat="1" ht="13.5" customHeight="1">
      <c r="A45" s="299" t="s">
        <v>2410</v>
      </c>
      <c r="B45" s="288" t="s">
        <v>2376</v>
      </c>
      <c r="C45" s="289">
        <f ca="1">C46</f>
        <v>7029</v>
      </c>
      <c r="D45" s="279">
        <f ca="1">C47</f>
        <v>5.0000000000000001E-3</v>
      </c>
      <c r="E45" s="280" t="s">
        <v>2402</v>
      </c>
      <c r="F45" s="290"/>
      <c r="G45" s="291" t="s">
        <v>2411</v>
      </c>
    </row>
    <row r="46" spans="1:7" s="258" customFormat="1" ht="13.5" customHeight="1">
      <c r="A46" s="954" t="s">
        <v>790</v>
      </c>
      <c r="B46" s="292" t="s">
        <v>2412</v>
      </c>
      <c r="C46" s="293">
        <f ca="1">ROUND((C33+C39)*F27,0)</f>
        <v>7029</v>
      </c>
      <c r="D46" s="307"/>
      <c r="E46" s="280"/>
      <c r="F46" s="290"/>
      <c r="G46" s="291"/>
    </row>
    <row r="47" spans="1:7" s="258" customFormat="1" ht="13.5" customHeight="1">
      <c r="A47" s="954" t="s">
        <v>791</v>
      </c>
      <c r="B47" s="292" t="s">
        <v>2413</v>
      </c>
      <c r="C47" s="282">
        <f ca="1">ROUND(C40*F27,4)</f>
        <v>5.0000000000000001E-3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39621</v>
      </c>
      <c r="D49" s="276"/>
      <c r="E49" s="276"/>
      <c r="F49" s="308"/>
      <c r="G49" s="278" t="s">
        <v>2417</v>
      </c>
    </row>
    <row r="50" spans="1:7" s="302" customFormat="1" ht="24">
      <c r="A50" s="299" t="s">
        <v>2418</v>
      </c>
      <c r="B50" s="254" t="s">
        <v>2419</v>
      </c>
      <c r="C50" s="276"/>
      <c r="D50" s="276"/>
      <c r="E50" s="276"/>
      <c r="F50" s="308">
        <f>IF('数据-取费表'!B24=0,'数据-取费表'!N16,1)</f>
        <v>0.79</v>
      </c>
      <c r="G50" s="291" t="s">
        <v>2420</v>
      </c>
    </row>
    <row r="51" spans="1:7" ht="16.5" customHeight="1">
      <c r="A51" s="299" t="s">
        <v>2421</v>
      </c>
      <c r="B51" s="254" t="s">
        <v>2422</v>
      </c>
      <c r="C51" s="276">
        <f ca="1">ROUND(C49*F50,0)</f>
        <v>31301</v>
      </c>
      <c r="D51" s="276"/>
      <c r="E51" s="276"/>
      <c r="F51" s="308"/>
      <c r="G51" s="278" t="s">
        <v>2423</v>
      </c>
    </row>
    <row r="52" spans="1:7" s="252" customFormat="1" ht="16.5" thickBot="1">
      <c r="A52" s="309" t="s">
        <v>2424</v>
      </c>
      <c r="B52" s="310"/>
      <c r="C52" s="311">
        <f ca="1">C31+C51</f>
        <v>192314</v>
      </c>
      <c r="D52" s="310"/>
      <c r="E52" s="310"/>
      <c r="F52" s="310"/>
      <c r="G52" s="312"/>
    </row>
    <row r="55" spans="1:7" ht="15">
      <c r="B55" s="314" t="s">
        <v>2425</v>
      </c>
      <c r="C55" s="315"/>
    </row>
    <row r="56" spans="1:7">
      <c r="B56" s="317" t="s">
        <v>1513</v>
      </c>
      <c r="C56" s="319">
        <f ca="1">1-C57</f>
        <v>0.83699999999999997</v>
      </c>
    </row>
    <row r="57" spans="1:7">
      <c r="B57" s="317" t="s">
        <v>1514</v>
      </c>
      <c r="C57" s="318">
        <f ca="1">ROUND(C51/C52,3)</f>
        <v>0.16300000000000001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8"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35488</v>
      </c>
      <c r="C2" s="243" t="s">
        <v>2326</v>
      </c>
      <c r="D2" s="2552" t="s">
        <v>70</v>
      </c>
      <c r="E2" s="1443" t="e">
        <f ca="1">SUMIF(INDIRECT("'"&amp;G2&amp;"'"&amp;"!A:A"),"承租人权益价值",INDIRECT("'"&amp;G2&amp;"'"&amp;"!c:c"))</f>
        <v>#REF!</v>
      </c>
      <c r="F2" s="2553" t="s">
        <v>2326</v>
      </c>
      <c r="G2" s="2554"/>
    </row>
    <row r="3" spans="1:8" s="244" customFormat="1" ht="18" customHeight="1" thickBot="1">
      <c r="A3" s="247" t="s">
        <v>2327</v>
      </c>
      <c r="B3" s="248">
        <f ca="1">ROUND(B2*10000/(IF(B1="",'数据-汇总表'!E3,INDIRECT("'数据-取费表'!k"&amp;$G$1))),0)</f>
        <v>5057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14036374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14036374</v>
      </c>
      <c r="D8" s="266"/>
      <c r="E8" s="264"/>
      <c r="F8" s="265"/>
      <c r="G8" s="2555"/>
    </row>
    <row r="9" spans="1:8" s="258" customFormat="1" ht="13.5" customHeight="1">
      <c r="A9" s="953" t="s">
        <v>799</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2343</v>
      </c>
      <c r="C10" s="269">
        <f ca="1">ROUND(D10*E10,0)</f>
        <v>14036374</v>
      </c>
      <c r="D10" s="1035">
        <f ca="1">IF(B1="",'数据-汇总表'!E6,IF(INDIRECT("'数据-取费表'!c"&amp;$G$1)="住宅",INDIRECT("'数据-取费表'!s"&amp;$G$1),INDIRECT("'数据-取费表'!k"&amp;$G$1)+INDIRECT("'数据-取费表'!s"&amp;$G$1)))</f>
        <v>70181.87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14036374</v>
      </c>
      <c r="D19" s="1039">
        <f ca="1">D9+D10</f>
        <v>70181.87</v>
      </c>
      <c r="E19" s="255">
        <f>'数据-取费表'!B31</f>
        <v>200</v>
      </c>
      <c r="F19" s="275"/>
      <c r="G19" s="2555"/>
    </row>
    <row r="20" spans="1:7" s="258" customFormat="1" ht="13.5" customHeight="1">
      <c r="A20" s="299" t="s">
        <v>2437</v>
      </c>
      <c r="B20" s="254" t="s">
        <v>2438</v>
      </c>
      <c r="C20" s="276">
        <f ca="1">ROUND((C5+C19)*F20,0)</f>
        <v>561455</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2756919</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1365125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1365125</v>
      </c>
      <c r="D24" s="282"/>
      <c r="E24" s="282"/>
      <c r="F24" s="283"/>
      <c r="G24" s="284" t="s">
        <v>2449</v>
      </c>
    </row>
    <row r="25" spans="1:7" s="258" customFormat="1" ht="24">
      <c r="A25" s="954" t="s">
        <v>2339</v>
      </c>
      <c r="B25" s="259" t="s">
        <v>2450</v>
      </c>
      <c r="C25" s="1384">
        <f ca="1">ROUND(IF('数据-取费表'!B22&lt;=1,C20*F22*'数据-取费表'!B22/2,C20*(POWER((1+F22),'数据-取费表'!B22/2)-1)),0)</f>
        <v>26669</v>
      </c>
      <c r="D25" s="282"/>
      <c r="E25" s="285"/>
      <c r="F25" s="283"/>
      <c r="G25" s="286" t="s">
        <v>2451</v>
      </c>
    </row>
    <row r="26" spans="1:7" s="258" customFormat="1">
      <c r="A26" s="954" t="s">
        <v>794</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7158551</v>
      </c>
      <c r="D27" s="279">
        <f ca="1">C29</f>
        <v>5.0000000000000001E-3</v>
      </c>
      <c r="E27" s="280" t="s">
        <v>2377</v>
      </c>
      <c r="F27" s="290">
        <f ca="1">IF(B1="",'数据-取费表'!Q16,INDIRECT("'数据-取费表'!q"&amp;$G$1))</f>
        <v>0.25</v>
      </c>
      <c r="G27" s="291" t="s">
        <v>2378</v>
      </c>
    </row>
    <row r="28" spans="1:7" s="258" customFormat="1" ht="13.5" customHeight="1">
      <c r="A28" s="954" t="s">
        <v>790</v>
      </c>
      <c r="B28" s="292" t="s">
        <v>2379</v>
      </c>
      <c r="C28" s="293">
        <f ca="1">ROUND((C5+C19+C20)*F27,0)</f>
        <v>7158551</v>
      </c>
      <c r="D28" s="279"/>
      <c r="E28" s="280"/>
      <c r="F28" s="290"/>
      <c r="G28" s="291"/>
    </row>
    <row r="29" spans="1:7" s="258" customFormat="1" ht="13.5" customHeight="1">
      <c r="A29" s="954" t="s">
        <v>791</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41869961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781</v>
      </c>
      <c r="B33" s="254" t="s">
        <v>2453</v>
      </c>
      <c r="C33" s="300">
        <f ca="1">SUM(C34:C38)</f>
        <v>275639294</v>
      </c>
      <c r="D33" s="276"/>
      <c r="E33" s="256"/>
      <c r="F33" s="285"/>
      <c r="G33" s="278"/>
    </row>
    <row r="34" spans="1:7" s="302" customFormat="1" ht="13.5" customHeight="1">
      <c r="A34" s="954" t="s">
        <v>790</v>
      </c>
      <c r="B34" s="259" t="s">
        <v>2388</v>
      </c>
      <c r="C34" s="264">
        <f ca="1">ROUND(IF(B1="",SUMPRODUCT('数据-取费表'!K6:K14,'数据-取费表'!L6:L14),INDIRECT("'数据-取费表'!l"&amp;$G$1)*INDIRECT("'数据-取费表'!k"&amp;$G$1)+'数据-取费表'!L14*INDIRECT("'数据-取费表'!S"&amp;$G$1)),0)</f>
        <v>245636545</v>
      </c>
      <c r="D34" s="261"/>
      <c r="E34" s="264"/>
      <c r="F34" s="301"/>
      <c r="G34" s="263"/>
    </row>
    <row r="35" spans="1:7" ht="13.5" customHeight="1">
      <c r="A35" s="954" t="s">
        <v>795</v>
      </c>
      <c r="B35" s="259" t="s">
        <v>2390</v>
      </c>
      <c r="C35" s="264">
        <f ca="1">ROUND(C34*F35,0)</f>
        <v>12281827</v>
      </c>
      <c r="D35" s="264"/>
      <c r="E35" s="264"/>
      <c r="F35" s="303">
        <f>'数据-取费表'!B33</f>
        <v>0.05</v>
      </c>
      <c r="G35" s="263" t="s">
        <v>2391</v>
      </c>
    </row>
    <row r="36" spans="1:7" ht="24">
      <c r="A36" s="954" t="s">
        <v>796</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797</v>
      </c>
      <c r="B37" s="259" t="s">
        <v>2394</v>
      </c>
      <c r="C37" s="293">
        <f ca="1">ROUND(E37*D37,0)</f>
        <v>14036374</v>
      </c>
      <c r="D37" s="261">
        <f ca="1">D19</f>
        <v>70181.87</v>
      </c>
      <c r="E37" s="293">
        <f>'数据-取费表'!B35</f>
        <v>200</v>
      </c>
      <c r="F37" s="303"/>
      <c r="G37" s="305"/>
    </row>
    <row r="38" spans="1:7" ht="13.5" customHeight="1">
      <c r="A38" s="954" t="s">
        <v>798</v>
      </c>
      <c r="B38" s="259" t="s">
        <v>2396</v>
      </c>
      <c r="C38" s="264">
        <f ca="1">ROUND(C34*F38,0)</f>
        <v>3684548</v>
      </c>
      <c r="D38" s="264"/>
      <c r="E38" s="264"/>
      <c r="F38" s="303">
        <f>'数据-取费表'!B36</f>
        <v>1.4999999999999999E-2</v>
      </c>
      <c r="G38" s="263" t="s">
        <v>2391</v>
      </c>
    </row>
    <row r="39" spans="1:7" s="258" customFormat="1" ht="13.5" customHeight="1">
      <c r="A39" s="299" t="s">
        <v>2397</v>
      </c>
      <c r="B39" s="254" t="s">
        <v>2398</v>
      </c>
      <c r="C39" s="276">
        <f ca="1">ROUND(C33*F20,0)</f>
        <v>5512786</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13354723</v>
      </c>
      <c r="D41" s="279">
        <f ca="1">C44</f>
        <v>1E-3</v>
      </c>
      <c r="E41" s="280" t="s">
        <v>2402</v>
      </c>
      <c r="F41" s="281"/>
      <c r="G41" s="278" t="str">
        <f>IF('数据-取费表'!B22&lt;=1,"单利计息","复利计息")</f>
        <v>复利计息</v>
      </c>
    </row>
    <row r="42" spans="1:7" ht="13.5" customHeight="1">
      <c r="A42" s="954" t="s">
        <v>790</v>
      </c>
      <c r="B42" s="259" t="s">
        <v>2406</v>
      </c>
      <c r="C42" s="282">
        <f ca="1">ROUND(IF('数据-取费表'!B22&lt;=1,C33*F22*'数据-取费表'!B20/2,C33*(POWER((1+F22),'数据-取费表'!B20/2)-1)),0)</f>
        <v>13092866</v>
      </c>
      <c r="D42" s="282"/>
      <c r="E42" s="282"/>
      <c r="F42" s="283"/>
      <c r="G42" s="3138" t="s">
        <v>2454</v>
      </c>
    </row>
    <row r="43" spans="1:7" ht="13.5" customHeight="1">
      <c r="A43" s="954" t="s">
        <v>791</v>
      </c>
      <c r="B43" s="259" t="s">
        <v>2408</v>
      </c>
      <c r="C43" s="282">
        <f ca="1">ROUND(IF('数据-取费表'!B22&lt;=1,C39*F22*'数据-取费表'!B20/2,C39*(POWER((1+F22),'数据-取费表'!B20/2)-1)),0)</f>
        <v>261857</v>
      </c>
      <c r="D43" s="282"/>
      <c r="E43" s="282"/>
      <c r="F43" s="283"/>
      <c r="G43" s="3139"/>
    </row>
    <row r="44" spans="1:7" ht="13.5" customHeight="1">
      <c r="A44" s="954" t="s">
        <v>792</v>
      </c>
      <c r="B44" s="259" t="s">
        <v>2409</v>
      </c>
      <c r="C44" s="282">
        <f ca="1">ROUND(IF('数据-取费表'!B22&lt;=1,C40*F22*'数据-取费表'!B20/2,C40*(POWER((1+F22),'数据-取费表'!B20/2)-1)),4)</f>
        <v>1E-3</v>
      </c>
      <c r="D44" s="282"/>
      <c r="E44" s="282"/>
      <c r="F44" s="283"/>
      <c r="G44" s="3140"/>
    </row>
    <row r="45" spans="1:7" s="258" customFormat="1" ht="13.5" customHeight="1">
      <c r="A45" s="299" t="s">
        <v>2410</v>
      </c>
      <c r="B45" s="288" t="s">
        <v>2376</v>
      </c>
      <c r="C45" s="289">
        <f ca="1">C46</f>
        <v>70288020</v>
      </c>
      <c r="D45" s="279">
        <f ca="1">C47</f>
        <v>5.0000000000000001E-3</v>
      </c>
      <c r="E45" s="280" t="s">
        <v>2402</v>
      </c>
      <c r="F45" s="290"/>
      <c r="G45" s="291" t="s">
        <v>2411</v>
      </c>
    </row>
    <row r="46" spans="1:7" s="258" customFormat="1" ht="13.5" customHeight="1">
      <c r="A46" s="954" t="s">
        <v>790</v>
      </c>
      <c r="B46" s="292" t="s">
        <v>2412</v>
      </c>
      <c r="C46" s="293">
        <f ca="1">ROUND((C33+C39)*F27,0)</f>
        <v>70288020</v>
      </c>
      <c r="D46" s="307"/>
      <c r="E46" s="280"/>
      <c r="F46" s="290"/>
      <c r="G46" s="291"/>
    </row>
    <row r="47" spans="1:7" s="258" customFormat="1" ht="13.5" customHeight="1">
      <c r="A47" s="954" t="s">
        <v>791</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396214644</v>
      </c>
      <c r="D49" s="276"/>
      <c r="E49" s="276"/>
      <c r="F49" s="308"/>
      <c r="G49" s="278" t="s">
        <v>2417</v>
      </c>
    </row>
    <row r="50" spans="1:7" s="302" customFormat="1">
      <c r="A50" s="299" t="s">
        <v>2418</v>
      </c>
      <c r="B50" s="254" t="s">
        <v>2419</v>
      </c>
      <c r="C50" s="276"/>
      <c r="D50" s="276"/>
      <c r="E50" s="276"/>
      <c r="F50" s="308">
        <f>IF('数据-取费表'!B24=0,'数据-取费表'!N16,1)</f>
        <v>0.79</v>
      </c>
      <c r="G50" s="291"/>
    </row>
    <row r="51" spans="1:7" ht="16.5" customHeight="1">
      <c r="A51" s="299" t="s">
        <v>2421</v>
      </c>
      <c r="B51" s="254" t="s">
        <v>2456</v>
      </c>
      <c r="C51" s="276">
        <f ca="1">ROUND(C49*F50,0)</f>
        <v>313009569</v>
      </c>
      <c r="D51" s="276"/>
      <c r="E51" s="276"/>
      <c r="F51" s="308"/>
      <c r="G51" s="278" t="s">
        <v>2423</v>
      </c>
    </row>
    <row r="52" spans="1:7" s="252" customFormat="1" ht="16.5" thickBot="1">
      <c r="A52" s="309" t="s">
        <v>2424</v>
      </c>
      <c r="B52" s="310"/>
      <c r="C52" s="311">
        <f ca="1">C31+C51</f>
        <v>354879530</v>
      </c>
      <c r="D52" s="310"/>
      <c r="E52" s="310"/>
      <c r="F52" s="310"/>
      <c r="G52" s="312"/>
    </row>
    <row r="55" spans="1:7" ht="15">
      <c r="B55" s="314" t="s">
        <v>2425</v>
      </c>
      <c r="C55" s="315"/>
    </row>
    <row r="56" spans="1:7">
      <c r="B56" s="317" t="s">
        <v>1513</v>
      </c>
      <c r="C56" s="319">
        <f ca="1">1-C57</f>
        <v>0.11799999999999999</v>
      </c>
    </row>
    <row r="57" spans="1:7">
      <c r="B57" s="317" t="s">
        <v>1514</v>
      </c>
      <c r="C57" s="318">
        <f ca="1">ROUND(C51/C52,3)</f>
        <v>0.88200000000000001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9" t="s">
        <v>2463</v>
      </c>
      <c r="D5" s="2559" t="s">
        <v>2464</v>
      </c>
      <c r="E5" s="2559" t="s">
        <v>2465</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1333</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2479</v>
      </c>
      <c r="C12" s="24">
        <f ca="1">ROUND(C11*F12,0)</f>
        <v>0</v>
      </c>
      <c r="D12" s="976"/>
      <c r="E12" s="375"/>
      <c r="F12" s="979">
        <f>'数据-取费表'!B33</f>
        <v>0.05</v>
      </c>
      <c r="G12" s="8" t="s">
        <v>2480</v>
      </c>
      <c r="H12" s="971"/>
      <c r="I12" s="971"/>
      <c r="J12" s="971"/>
      <c r="K12" s="972"/>
    </row>
    <row r="13" spans="1:33" s="978" customFormat="1" ht="13.5" customHeight="1">
      <c r="A13" s="974" t="s">
        <v>1335</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1336</v>
      </c>
      <c r="B14" s="975" t="s">
        <v>2483</v>
      </c>
      <c r="C14" s="24">
        <f ca="1">ROUND(D14*E14*F11/10000,0)</f>
        <v>0</v>
      </c>
      <c r="D14" s="1036">
        <f ca="1">IF(C1="",'数据-汇总表'!E3,INDIRECT("'数据-取费表'!K"&amp;$K$1)+INDIRECT("'数据-取费表'!S"&amp;$K$1))</f>
        <v>70181.87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2488</v>
      </c>
      <c r="C17" s="24">
        <f ca="1">ROUND(D17*E17/10000,0)</f>
        <v>0</v>
      </c>
      <c r="D17" s="1036">
        <f ca="1">D14</f>
        <v>70181.87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2490</v>
      </c>
      <c r="C18" s="24">
        <f ca="1">C19+C20-IF(C1="",'数据-取费表'!B29,IF(G18="已全部缴纳",C19+C20,H18))</f>
        <v>0</v>
      </c>
      <c r="D18" s="1036"/>
      <c r="E18" s="24"/>
      <c r="F18" s="979"/>
      <c r="G18" s="2561"/>
      <c r="H18" s="1580"/>
      <c r="I18" s="2562" t="s">
        <v>2491</v>
      </c>
      <c r="J18" s="982"/>
      <c r="K18" s="983"/>
    </row>
    <row r="19" spans="1:33" s="978" customFormat="1" ht="13.5" customHeight="1">
      <c r="A19" s="974" t="s">
        <v>804</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2493</v>
      </c>
      <c r="C20" s="24">
        <f ca="1">ROUND(D20*E20/10000,0)</f>
        <v>1404</v>
      </c>
      <c r="D20" s="1036">
        <f ca="1">IF(C1="",'数据-汇总表'!E6,IF(INDIRECT("'数据-取费表'!c"&amp;$K$1)="住宅",INDIRECT("'数据-取费表'!s"&amp;$K$1),INDIRECT("'数据-取费表'!k"&amp;$K$1)+INDIRECT("'数据-取费表'!s"&amp;$K$1)))</f>
        <v>70181.87</v>
      </c>
      <c r="E20" s="24">
        <f>'数据-取费表'!B28</f>
        <v>200</v>
      </c>
      <c r="F20" s="979"/>
      <c r="G20" s="15"/>
      <c r="H20" s="984"/>
      <c r="I20" s="984"/>
      <c r="J20" s="984"/>
      <c r="K20" s="985"/>
    </row>
    <row r="21" spans="1:33" s="978" customFormat="1" ht="13.5" customHeight="1">
      <c r="A21" s="964" t="s">
        <v>801</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2505</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2506</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802</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803</v>
      </c>
      <c r="B30" s="997" t="s">
        <v>2511</v>
      </c>
      <c r="C30" s="336">
        <f ca="1">ROUND((C21+C22+C23)*F28,0)</f>
        <v>0</v>
      </c>
      <c r="D30" s="328"/>
      <c r="E30" s="329"/>
      <c r="F30" s="334"/>
      <c r="G30" s="140"/>
      <c r="H30" s="982"/>
      <c r="I30" s="982"/>
      <c r="J30" s="982"/>
      <c r="K30" s="983"/>
    </row>
    <row r="31" spans="1:33" s="978" customFormat="1" ht="13.5" customHeight="1" thickBot="1">
      <c r="A31" s="2565"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1" sqref="J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1376</v>
      </c>
      <c r="D1" s="1823" t="s">
        <v>70</v>
      </c>
      <c r="E1" s="1824" t="s">
        <v>1386</v>
      </c>
      <c r="F1" s="1286">
        <f ca="1">J53</f>
        <v>29.48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286144</v>
      </c>
      <c r="C2" s="1848" t="s">
        <v>1516</v>
      </c>
      <c r="D2" s="1848"/>
      <c r="E2" s="1849"/>
      <c r="F2" s="1850"/>
      <c r="G2" s="1851"/>
      <c r="H2" s="1843"/>
      <c r="I2" s="1843"/>
      <c r="J2" s="1843"/>
      <c r="K2" s="1844"/>
      <c r="L2" s="1843"/>
      <c r="M2" s="1843"/>
    </row>
    <row r="3" spans="1:37" ht="18" customHeight="1" thickBot="1">
      <c r="A3" s="1852" t="s">
        <v>1517</v>
      </c>
      <c r="B3" s="1853">
        <f ca="1">IF(ISERROR(B2*10000/F43),0,ROUND(B2*10000/F43,0))</f>
        <v>40772</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17315</v>
      </c>
      <c r="D5" s="1825" t="s">
        <v>1401</v>
      </c>
      <c r="E5" s="1296"/>
      <c r="F5" s="1297"/>
      <c r="G5" s="1854"/>
      <c r="H5" s="344">
        <v>1</v>
      </c>
      <c r="I5" s="345" t="s">
        <v>1400</v>
      </c>
      <c r="J5" s="1295">
        <f ca="1">J6+J10+J12</f>
        <v>0</v>
      </c>
      <c r="K5" s="1825" t="s">
        <v>1401</v>
      </c>
      <c r="L5" s="1296"/>
      <c r="M5" s="1297"/>
    </row>
    <row r="6" spans="1:37" ht="18" customHeight="1">
      <c r="A6" s="1294" t="s">
        <v>1034</v>
      </c>
      <c r="B6" s="3143" t="s">
        <v>1402</v>
      </c>
      <c r="C6" s="1299">
        <f ca="1">ROUND(F6*F8*F7*(1-F9)/10000,0)</f>
        <v>17291</v>
      </c>
      <c r="D6" s="164" t="s">
        <v>3033</v>
      </c>
      <c r="E6" s="347" t="s">
        <v>1404</v>
      </c>
      <c r="F6" s="348">
        <f ca="1">INDIRECT("'数据-取费表'!u"&amp;$G$1)</f>
        <v>7.5</v>
      </c>
      <c r="G6" s="1854"/>
      <c r="H6" s="1294" t="s">
        <v>1034</v>
      </c>
      <c r="I6" s="3143" t="s">
        <v>1402</v>
      </c>
      <c r="J6" s="346">
        <f ca="1">ROUND(M6*M8*M7*(1-M9)/10000,0)</f>
        <v>0</v>
      </c>
      <c r="K6" s="164" t="s">
        <v>3032</v>
      </c>
      <c r="L6" s="347" t="s">
        <v>1404</v>
      </c>
      <c r="M6" s="348">
        <f ca="1">INDIRECT("'数据-取费表'!z"&amp;$G$1)</f>
        <v>0</v>
      </c>
    </row>
    <row r="7" spans="1:37" ht="18" customHeight="1">
      <c r="A7" s="1298"/>
      <c r="B7" s="3144"/>
      <c r="C7" s="1300"/>
      <c r="D7" s="352"/>
      <c r="E7" s="1301" t="s">
        <v>1405</v>
      </c>
      <c r="F7" s="348">
        <f ca="1">IF(INDIRECT("'数据-取费表'!ah"&amp;$G$1)="",INDIRECT("'数据-取费表'!k"&amp;$G$1),INDIRECT("'数据-取费表'!ah"&amp;$G$1))</f>
        <v>70181.87</v>
      </c>
      <c r="G7" s="1854"/>
      <c r="H7" s="349"/>
      <c r="I7" s="3144"/>
      <c r="J7" s="351"/>
      <c r="K7" s="352"/>
      <c r="L7" s="347" t="s">
        <v>1405</v>
      </c>
      <c r="M7" s="348">
        <f ca="1">F7</f>
        <v>70181.87</v>
      </c>
    </row>
    <row r="8" spans="1:37" ht="18" customHeight="1">
      <c r="A8" s="349"/>
      <c r="B8" s="3144"/>
      <c r="C8" s="351"/>
      <c r="D8" s="352"/>
      <c r="E8" s="347" t="s">
        <v>1406</v>
      </c>
      <c r="F8" s="348">
        <f ca="1">INDIRECT("'数据-取费表'!ai"&amp;$G$1)</f>
        <v>365</v>
      </c>
      <c r="G8" s="1854"/>
      <c r="H8" s="349"/>
      <c r="I8" s="3144"/>
      <c r="J8" s="351"/>
      <c r="K8" s="352"/>
      <c r="L8" s="347" t="s">
        <v>1406</v>
      </c>
      <c r="M8" s="348">
        <f ca="1">INDIRECT("'数据-取费表'!ai"&amp;$G$1)</f>
        <v>365</v>
      </c>
    </row>
    <row r="9" spans="1:37" ht="18" customHeight="1">
      <c r="A9" s="349"/>
      <c r="B9" s="3145"/>
      <c r="C9" s="351"/>
      <c r="D9" s="352"/>
      <c r="E9" s="347" t="s">
        <v>1407</v>
      </c>
      <c r="F9" s="357">
        <f ca="1">INDIRECT("'数据-取费表'!w"&amp;$G$1)</f>
        <v>0.1</v>
      </c>
      <c r="G9" s="1854"/>
      <c r="H9" s="349"/>
      <c r="I9" s="3145"/>
      <c r="J9" s="351"/>
      <c r="K9" s="352"/>
      <c r="L9" s="358" t="s">
        <v>1407</v>
      </c>
      <c r="M9" s="359">
        <f ca="1">INDIRECT("'数据-取费表'!ab"&amp;$G$1)</f>
        <v>0</v>
      </c>
    </row>
    <row r="10" spans="1:37" ht="18" customHeight="1">
      <c r="A10" s="1294" t="s">
        <v>1038</v>
      </c>
      <c r="B10" s="1826" t="s">
        <v>1408</v>
      </c>
      <c r="C10" s="361">
        <f ca="1">ROUND(IF(F10="押一",F6*F8*F7/12*F11,IF(F10="押二",F6*F8*F7/12*2*F11,IF(F10="押三",F6*F8*F7/12*3*F11,C11*F11)))/10000,0)</f>
        <v>24</v>
      </c>
      <c r="D10" s="1827" t="s">
        <v>3034</v>
      </c>
      <c r="E10" s="358" t="s">
        <v>1410</v>
      </c>
      <c r="F10" s="1369" t="s">
        <v>5242</v>
      </c>
      <c r="G10" s="1854"/>
      <c r="H10" s="1294" t="s">
        <v>1038</v>
      </c>
      <c r="I10" s="1826" t="s">
        <v>1408</v>
      </c>
      <c r="J10" s="346">
        <f ca="1">ROUND(IF(M10="押一",M6*M8*M7/12*M11,IF(M10="押二",M6*M8*M7/12*2*M11,IF(M10="押三",M6*M8*M7/12*3*M11,J11*M11)))/10000,0)</f>
        <v>0</v>
      </c>
      <c r="K10" s="1827" t="s">
        <v>3035</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1074</v>
      </c>
      <c r="B12" s="1830" t="s">
        <v>1413</v>
      </c>
      <c r="C12" s="1337"/>
      <c r="D12" s="1338"/>
      <c r="E12" s="1343"/>
      <c r="F12" s="1339"/>
      <c r="G12" s="1854"/>
      <c r="H12" s="1336" t="s">
        <v>1074</v>
      </c>
      <c r="I12" s="1830" t="s">
        <v>1413</v>
      </c>
      <c r="J12" s="1337"/>
      <c r="K12" s="1351"/>
      <c r="L12" s="1343"/>
      <c r="M12" s="1352"/>
    </row>
    <row r="13" spans="1:37" ht="18" customHeight="1" thickTop="1">
      <c r="A13" s="1332">
        <v>2</v>
      </c>
      <c r="B13" s="1333" t="s">
        <v>1414</v>
      </c>
      <c r="C13" s="355">
        <f ca="1">ROUND(C29*F13,0)</f>
        <v>31301</v>
      </c>
      <c r="D13" s="1334" t="s">
        <v>1415</v>
      </c>
      <c r="E13" s="1334" t="s">
        <v>1416</v>
      </c>
      <c r="F13" s="1335">
        <f ca="1">INDIRECT("'数据-取费表'!y"&amp;$G$1)</f>
        <v>0.79</v>
      </c>
      <c r="G13" s="1854"/>
      <c r="H13" s="1332">
        <v>2</v>
      </c>
      <c r="I13" s="1333" t="s">
        <v>1414</v>
      </c>
      <c r="J13" s="1293">
        <f ca="1">ROUND(J14*J15,0)</f>
        <v>0</v>
      </c>
      <c r="K13" s="1340" t="s">
        <v>1415</v>
      </c>
      <c r="L13" s="1855"/>
      <c r="M13" s="1856"/>
    </row>
    <row r="14" spans="1:37" ht="18" customHeight="1">
      <c r="A14" s="1204" t="s">
        <v>1033</v>
      </c>
      <c r="B14" s="347" t="s">
        <v>1417</v>
      </c>
      <c r="C14" s="363">
        <f ca="1">INDIRECT("'数据-取费表'!m"&amp;$G$1)+INDIRECT("'数据-取费表'!t"&amp;$G$1)</f>
        <v>24564</v>
      </c>
      <c r="D14" s="1803" t="s">
        <v>1418</v>
      </c>
      <c r="E14" s="1797"/>
      <c r="F14" s="364"/>
      <c r="G14" s="1854"/>
      <c r="H14" s="1204" t="s">
        <v>1034</v>
      </c>
      <c r="I14" s="347" t="s">
        <v>1419</v>
      </c>
      <c r="J14" s="24">
        <f ca="1">C29</f>
        <v>39621</v>
      </c>
      <c r="K14" s="15"/>
      <c r="L14" s="982"/>
      <c r="M14" s="983"/>
    </row>
    <row r="15" spans="1:37" s="1861" customFormat="1" ht="18" customHeight="1" thickBot="1">
      <c r="A15" s="1204" t="s">
        <v>1035</v>
      </c>
      <c r="B15" s="347" t="s">
        <v>1420</v>
      </c>
      <c r="C15" s="24">
        <f ca="1">ROUND(C14*F15,0)</f>
        <v>1228</v>
      </c>
      <c r="D15" s="365" t="s">
        <v>1421</v>
      </c>
      <c r="E15" s="365" t="s">
        <v>1422</v>
      </c>
      <c r="F15" s="366">
        <f>'数据-取费表'!B33</f>
        <v>0.05</v>
      </c>
      <c r="G15" s="1857"/>
      <c r="H15" s="1342" t="s">
        <v>1038</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1029</v>
      </c>
      <c r="I16" s="1333" t="s">
        <v>1424</v>
      </c>
      <c r="J16" s="355">
        <f ca="1">ROUND(J17+J22+J23+J24,0)</f>
        <v>965</v>
      </c>
      <c r="K16" s="1340" t="s">
        <v>1425</v>
      </c>
      <c r="L16" s="1341"/>
      <c r="M16" s="1297"/>
    </row>
    <row r="17" spans="1:37" s="1861" customFormat="1" ht="18" customHeight="1">
      <c r="A17" s="1204" t="s">
        <v>1389</v>
      </c>
      <c r="B17" s="347" t="s">
        <v>1426</v>
      </c>
      <c r="C17" s="24">
        <f ca="1">ROUND(F17*(F43+INDIRECT("'数据-取费表'!S"&amp;$G$1))/10000,0)</f>
        <v>1404</v>
      </c>
      <c r="D17" s="347" t="s">
        <v>1427</v>
      </c>
      <c r="E17" s="347" t="s">
        <v>1428</v>
      </c>
      <c r="F17" s="26">
        <f>'数据-取费表'!B35</f>
        <v>200</v>
      </c>
      <c r="G17" s="1857"/>
      <c r="H17" s="1204" t="s">
        <v>1034</v>
      </c>
      <c r="I17" s="347" t="s">
        <v>1429</v>
      </c>
      <c r="J17" s="24">
        <f ca="1">ROUND(IF(项目基本情况!B11="自然人",J5*M17,J18+J19+J20),1)</f>
        <v>370.6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368</v>
      </c>
      <c r="D18" s="347" t="s">
        <v>1421</v>
      </c>
      <c r="E18" s="347" t="s">
        <v>1422</v>
      </c>
      <c r="F18" s="367">
        <f>'数据-取费表'!B36</f>
        <v>1.4999999999999999E-2</v>
      </c>
      <c r="G18" s="1857"/>
      <c r="H18" s="1204" t="s">
        <v>1033</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1435</v>
      </c>
      <c r="C19" s="24">
        <f ca="1">SUM(C14:C18)</f>
        <v>27564</v>
      </c>
      <c r="D19" s="140" t="s">
        <v>1436</v>
      </c>
      <c r="E19" s="1821"/>
      <c r="F19" s="26"/>
      <c r="G19" s="1854"/>
      <c r="H19" s="1204" t="s">
        <v>1035</v>
      </c>
      <c r="I19" s="347" t="s">
        <v>1437</v>
      </c>
      <c r="J19" s="24">
        <f ca="1">IF(K19="按租金收入计税",ROUND(J5*M19,2),ROUND(C29*M19*0.7,2))</f>
        <v>332.82</v>
      </c>
      <c r="K19" s="1831" t="s">
        <v>1438</v>
      </c>
      <c r="L19" s="347" t="s">
        <v>1422</v>
      </c>
      <c r="M19" s="367">
        <f>IF(K19="按租金收入计税",'数据-取费表'!B51,'数据-取费表'!B50)</f>
        <v>1.2E-2</v>
      </c>
    </row>
    <row r="20" spans="1:37" s="1861" customFormat="1" ht="18" customHeight="1">
      <c r="A20" s="1204" t="s">
        <v>1038</v>
      </c>
      <c r="B20" s="347" t="s">
        <v>1439</v>
      </c>
      <c r="C20" s="24">
        <f ca="1">ROUND(C19*F20,0)</f>
        <v>551</v>
      </c>
      <c r="D20" s="369" t="s">
        <v>1440</v>
      </c>
      <c r="E20" s="347" t="s">
        <v>1422</v>
      </c>
      <c r="F20" s="367">
        <f>'数据-取费表'!B37</f>
        <v>0.02</v>
      </c>
      <c r="G20" s="1857"/>
      <c r="H20" s="1204" t="s">
        <v>1388</v>
      </c>
      <c r="I20" s="164" t="s">
        <v>1441</v>
      </c>
      <c r="J20" s="25">
        <f ca="1">ROUND(M20*M21/10000,2)</f>
        <v>37.81</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1444</v>
      </c>
      <c r="C21" s="24" t="s">
        <v>18</v>
      </c>
      <c r="D21" s="369" t="s">
        <v>1445</v>
      </c>
      <c r="E21" s="347" t="s">
        <v>1446</v>
      </c>
      <c r="F21" s="367">
        <f>'数据-取费表'!B38</f>
        <v>0.02</v>
      </c>
      <c r="G21" s="1857"/>
      <c r="H21" s="372"/>
      <c r="I21" s="356"/>
      <c r="J21" s="29"/>
      <c r="K21" s="373"/>
      <c r="L21" s="347" t="s">
        <v>1447</v>
      </c>
      <c r="M21" s="348">
        <f ca="1">INDIRECT("'数据-取费表'!r"&amp;$G$1)</f>
        <v>31510.77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1038</v>
      </c>
      <c r="I22" s="347" t="s">
        <v>1449</v>
      </c>
      <c r="J22" s="24">
        <f ca="1">ROUND(J14*M22,1)</f>
        <v>594.29999999999995</v>
      </c>
      <c r="K22" s="1801" t="s">
        <v>1450</v>
      </c>
      <c r="L22" s="347" t="s">
        <v>1422</v>
      </c>
      <c r="M22" s="374">
        <f ca="1">INDIRECT("'数据-取费表'!Ak"&amp;$G$1)</f>
        <v>1.4999999999999999E-2</v>
      </c>
    </row>
    <row r="23" spans="1:37" s="1861" customFormat="1" ht="18" customHeight="1">
      <c r="A23" s="1204" t="s">
        <v>1033</v>
      </c>
      <c r="B23" s="347" t="s">
        <v>1451</v>
      </c>
      <c r="C23" s="24">
        <f ca="1">IF('数据-取费表'!B22&lt;=1,ROUND(C19*F24*F23/2,0)+ROUND(C20*F24*F23/2,0),ROUND(C19*(POWER((1+F24),F23/2)-1),0)+ROUND(C20*(POWER((1+F24),F23/2)-1),0))</f>
        <v>1335</v>
      </c>
      <c r="D23" s="375" t="str">
        <f>IF(F23&lt;=1,"(建造成本+管理费用)×利率×(建设周期÷2)","(建造成本+管理费用)×((1+利率)^(建设周期÷2)-1)")</f>
        <v>(建造成本+管理费用)×((1+利率)^(建设周期÷2)-1)</v>
      </c>
      <c r="E23" s="347" t="s">
        <v>1452</v>
      </c>
      <c r="F23" s="371">
        <f>'数据-取费表'!B20</f>
        <v>2</v>
      </c>
      <c r="G23" s="1857"/>
      <c r="H23" s="1204" t="s">
        <v>1074</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1030</v>
      </c>
      <c r="I25" s="1347" t="s">
        <v>1463</v>
      </c>
      <c r="J25" s="355">
        <f ca="1">J5-J16</f>
        <v>-965</v>
      </c>
      <c r="K25" s="1348" t="s">
        <v>1464</v>
      </c>
      <c r="L25" s="1349"/>
      <c r="M25" s="1350"/>
    </row>
    <row r="26" spans="1:37">
      <c r="A26" s="1204" t="s">
        <v>1033</v>
      </c>
      <c r="B26" s="347" t="s">
        <v>1465</v>
      </c>
      <c r="C26" s="24">
        <f ca="1">ROUND((C19+C20)*F26,0)</f>
        <v>7029</v>
      </c>
      <c r="D26" s="369" t="s">
        <v>1466</v>
      </c>
      <c r="E26" s="358" t="s">
        <v>1467</v>
      </c>
      <c r="F26" s="357">
        <f ca="1">INDIRECT("'数据-取费表'!q"&amp;$G$1)</f>
        <v>0.25</v>
      </c>
      <c r="G26" s="1854"/>
      <c r="H26" s="344" t="s">
        <v>1031</v>
      </c>
      <c r="I26" s="345" t="s">
        <v>1468</v>
      </c>
      <c r="J26" s="346">
        <f ca="1">IF(J5&lt;&gt;0,ROUND(J25*(1-((1+M28)/(1+M26))^M27)/(M26-M28),0),0)</f>
        <v>0</v>
      </c>
      <c r="K26" s="370" t="s">
        <v>1469</v>
      </c>
      <c r="L26" s="347" t="s">
        <v>1470</v>
      </c>
      <c r="M26" s="357">
        <f ca="1">INDIRECT("'数据-取费表'!I"&amp;$G$1)</f>
        <v>0.06</v>
      </c>
    </row>
    <row r="27" spans="1:37" ht="18" customHeight="1">
      <c r="A27" s="1204" t="s">
        <v>1035</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1036</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1478</v>
      </c>
      <c r="C29" s="1344">
        <f ca="1">ROUND((C19+C20+C23+C26)/(1-F21-C24-C27-C28),0)</f>
        <v>39621</v>
      </c>
      <c r="D29" s="1345"/>
      <c r="E29" s="1343"/>
      <c r="F29" s="1346"/>
      <c r="G29" s="1857"/>
      <c r="H29" s="380" t="s">
        <v>1032</v>
      </c>
      <c r="I29" s="381" t="s">
        <v>1479</v>
      </c>
      <c r="J29" s="382">
        <f ca="1">ROUND(J26/(1+F40)^F41,0)</f>
        <v>0</v>
      </c>
      <c r="K29" s="383" t="s">
        <v>1480</v>
      </c>
      <c r="L29" s="384"/>
      <c r="M29" s="385">
        <f ca="1">INDIRECT("'数据-取费表'!k"&amp;$G$1)</f>
        <v>70181.87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1424</v>
      </c>
      <c r="C30" s="355">
        <f ca="1">ROUND(C31+C36+C37+C38,0)</f>
        <v>2282</v>
      </c>
      <c r="D30" s="1340" t="s">
        <v>1425</v>
      </c>
      <c r="E30" s="1341"/>
      <c r="F30" s="1297"/>
      <c r="G30" s="1854"/>
      <c r="H30" s="745"/>
      <c r="I30" s="746"/>
      <c r="J30" s="747"/>
      <c r="K30" s="748"/>
      <c r="L30" s="749"/>
      <c r="M30" s="750"/>
    </row>
    <row r="31" spans="1:37" ht="18" customHeight="1">
      <c r="A31" s="1204" t="s">
        <v>1034</v>
      </c>
      <c r="B31" s="347" t="s">
        <v>1429</v>
      </c>
      <c r="C31" s="24">
        <f ca="1">ROUND(IF(项目基本情况!B11="自然人",C5*F31,C32+C33+C34),1)</f>
        <v>1294.0999999999999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1433</v>
      </c>
      <c r="C32" s="24">
        <f ca="1">IF(项目基本情况!B11="自然人","——",ROUND(C5*F32/(1+'数据-取费表'!C42),2))</f>
        <v>923.47</v>
      </c>
      <c r="D32" s="1801" t="s">
        <v>1434</v>
      </c>
      <c r="E32" s="347" t="s">
        <v>1422</v>
      </c>
      <c r="F32" s="377">
        <f>'数据-取费表'!B41</f>
        <v>5.6000000000000001E-2</v>
      </c>
      <c r="G32" s="1854"/>
      <c r="H32" s="745"/>
      <c r="I32" s="746"/>
      <c r="J32" s="747"/>
      <c r="K32" s="748"/>
      <c r="L32" s="749"/>
      <c r="M32" s="750"/>
    </row>
    <row r="33" spans="1:18" ht="18" customHeight="1">
      <c r="A33" s="1204" t="s">
        <v>1035</v>
      </c>
      <c r="B33" s="347" t="s">
        <v>1437</v>
      </c>
      <c r="C33" s="24">
        <f ca="1">IF(项目基本情况!B11="自然人","——",IF(D33="按租金收入计税",ROUND(C5*F33,2),IF(D33="按房产原值计税",ROUND(C29*F33*0.7,2),INDIRECT("'数据-取费表'!Aj"&amp;$G$1))))</f>
        <v>332.82</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37.81</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31510.77</v>
      </c>
      <c r="G35" s="1854"/>
      <c r="H35" s="745"/>
      <c r="I35" s="1863"/>
      <c r="J35" s="1864"/>
      <c r="K35" s="1865"/>
      <c r="L35" s="1862"/>
      <c r="M35" s="1862"/>
    </row>
    <row r="36" spans="1:18" ht="18" customHeight="1">
      <c r="A36" s="1355" t="s">
        <v>1038</v>
      </c>
      <c r="B36" s="347" t="s">
        <v>1449</v>
      </c>
      <c r="C36" s="24">
        <f ca="1">ROUND(C29*F36,1)</f>
        <v>594.29999999999995</v>
      </c>
      <c r="D36" s="1801" t="s">
        <v>1482</v>
      </c>
      <c r="E36" s="347" t="s">
        <v>1422</v>
      </c>
      <c r="F36" s="374">
        <f ca="1">INDIRECT("'数据-取费表'!Ak"&amp;$G$1)</f>
        <v>1.4999999999999999E-2</v>
      </c>
      <c r="G36" s="1854"/>
      <c r="H36" s="1862"/>
      <c r="I36" s="1863"/>
      <c r="J36" s="1864"/>
      <c r="K36" s="751"/>
      <c r="L36" s="1862"/>
      <c r="M36" s="1862"/>
    </row>
    <row r="37" spans="1:18" ht="18" customHeight="1">
      <c r="A37" s="1204" t="s">
        <v>1074</v>
      </c>
      <c r="B37" s="347" t="s">
        <v>1453</v>
      </c>
      <c r="C37" s="24">
        <f ca="1">ROUND(C13*F37,1)</f>
        <v>47</v>
      </c>
      <c r="D37" s="1801"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346.3</v>
      </c>
      <c r="D38" s="1345" t="s">
        <v>1459</v>
      </c>
      <c r="E38" s="1343" t="s">
        <v>1455</v>
      </c>
      <c r="F38" s="1339">
        <f ca="1">INDIRECT("'数据-取费表'!Am"&amp;$G$1)</f>
        <v>0.02</v>
      </c>
      <c r="G38" s="1854"/>
      <c r="H38" s="1862"/>
      <c r="I38" s="1863"/>
      <c r="J38" s="1864"/>
      <c r="K38" s="1868"/>
      <c r="L38" s="1862"/>
      <c r="M38" s="1862"/>
    </row>
    <row r="39" spans="1:18" ht="24.6" customHeight="1" thickTop="1">
      <c r="A39" s="1332" t="s">
        <v>1030</v>
      </c>
      <c r="B39" s="1347" t="s">
        <v>1483</v>
      </c>
      <c r="C39" s="355">
        <f ca="1">C5-C30</f>
        <v>15033</v>
      </c>
      <c r="D39" s="1348" t="s">
        <v>1484</v>
      </c>
      <c r="E39" s="1349"/>
      <c r="F39" s="1350"/>
      <c r="G39" s="1854"/>
      <c r="H39" s="1862"/>
      <c r="I39" s="1863"/>
      <c r="J39" s="1864"/>
      <c r="K39" s="1868"/>
      <c r="L39" s="1862"/>
      <c r="M39" s="1862"/>
    </row>
    <row r="40" spans="1:18" ht="18" customHeight="1">
      <c r="A40" s="344" t="s">
        <v>1031</v>
      </c>
      <c r="B40" s="345" t="s">
        <v>1485</v>
      </c>
      <c r="C40" s="346">
        <f ca="1">ROUND(C39*(1-((1+F42)/(1+F40))^F41)/(F40-F42),0)</f>
        <v>286144</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29.48</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1032</v>
      </c>
      <c r="B43" s="381" t="s">
        <v>1487</v>
      </c>
      <c r="C43" s="382">
        <f ca="1">ROUND(C40*10000/F43,0)</f>
        <v>40772</v>
      </c>
      <c r="D43" s="383" t="s">
        <v>1488</v>
      </c>
      <c r="E43" s="384" t="s">
        <v>1489</v>
      </c>
      <c r="F43" s="385">
        <f ca="1">INDIRECT("'数据-取费表'!k"&amp;$G$1)</f>
        <v>70181.87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-299984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5243</v>
      </c>
      <c r="K47" s="1885" t="s">
        <v>1527</v>
      </c>
      <c r="L47" s="1886">
        <f ca="1">INDIRECT("'数据-取费表'!d"&amp;$G$1)</f>
        <v>0</v>
      </c>
      <c r="M47" s="1841" t="str">
        <f>IF(ISNUMBER(FIND("住宅",C1)),"住宅","非住宅")</f>
        <v>非住宅</v>
      </c>
      <c r="O47" s="1887" t="s">
        <v>1039</v>
      </c>
      <c r="P47" s="1888" t="s">
        <v>1528</v>
      </c>
      <c r="Q47" s="1889">
        <f ca="1">C40+J29</f>
        <v>286144</v>
      </c>
      <c r="R47" s="1889" t="s">
        <v>1529</v>
      </c>
    </row>
    <row r="48" spans="1:18" s="1845" customFormat="1" ht="28.5" thickBot="1">
      <c r="A48" s="1363" t="s">
        <v>1134</v>
      </c>
      <c r="B48" s="345" t="s">
        <v>1400</v>
      </c>
      <c r="C48" s="1820">
        <f ca="1">C49+C53+C55</f>
        <v>0</v>
      </c>
      <c r="D48" s="1365"/>
      <c r="E48" s="1366"/>
      <c r="F48" s="1184"/>
      <c r="G48" s="792"/>
      <c r="H48" s="793"/>
      <c r="I48" s="1890" t="s">
        <v>1530</v>
      </c>
      <c r="J48" s="1891" t="s">
        <v>5244</v>
      </c>
      <c r="K48" s="1892" t="s">
        <v>1531</v>
      </c>
      <c r="L48" s="1893">
        <f ca="1">INDIRECT("'数据-取费表'!f"&amp;$G$1)</f>
        <v>29.48</v>
      </c>
      <c r="O48" s="1887" t="s">
        <v>1040</v>
      </c>
      <c r="P48" s="1888" t="s">
        <v>1532</v>
      </c>
      <c r="Q48" s="1889" t="str">
        <f ca="1">J60</f>
        <v>0</v>
      </c>
      <c r="R48" s="1889" t="s">
        <v>1533</v>
      </c>
    </row>
    <row r="49" spans="1:18" s="1845" customFormat="1" ht="13.5" thickBot="1">
      <c r="A49" s="1197" t="s">
        <v>1135</v>
      </c>
      <c r="B49" s="1832" t="s">
        <v>1490</v>
      </c>
      <c r="C49" s="1367">
        <f ca="1">ROUND(F49*F51*F50*(1-F52)/10000,0)</f>
        <v>0</v>
      </c>
      <c r="D49" s="1279" t="s">
        <v>3036</v>
      </c>
      <c r="E49" s="1833" t="s">
        <v>1491</v>
      </c>
      <c r="F49" s="1284"/>
      <c r="G49" s="1894"/>
      <c r="H49" s="793"/>
      <c r="I49" s="1890" t="s">
        <v>1534</v>
      </c>
      <c r="J49" s="1895">
        <v>2001</v>
      </c>
      <c r="K49" s="1892" t="s">
        <v>1535</v>
      </c>
      <c r="L49" s="1896"/>
      <c r="O49" s="1897" t="s">
        <v>1041</v>
      </c>
      <c r="P49" s="1888" t="s">
        <v>1536</v>
      </c>
      <c r="Q49" s="1889">
        <f ca="1">C29</f>
        <v>39621</v>
      </c>
      <c r="R49" s="1889" t="s">
        <v>1529</v>
      </c>
    </row>
    <row r="50" spans="1:18" s="1845" customFormat="1" ht="13.5" thickBot="1">
      <c r="A50" s="1198"/>
      <c r="B50" s="1201"/>
      <c r="C50" s="1371"/>
      <c r="D50" s="1175"/>
      <c r="E50" s="1280" t="s">
        <v>1405</v>
      </c>
      <c r="F50" s="1281">
        <f ca="1">F7</f>
        <v>70181.87</v>
      </c>
      <c r="H50" s="793"/>
      <c r="I50" s="1890" t="s">
        <v>1537</v>
      </c>
      <c r="J50" s="1898">
        <f>SUMPRODUCT((I63:I65=J47)*(J62:L62=J48)*(J63:L65))</f>
        <v>60</v>
      </c>
      <c r="K50" s="1892" t="s">
        <v>1538</v>
      </c>
      <c r="L50" s="1896"/>
      <c r="M50" s="1899"/>
      <c r="O50" s="1897" t="s">
        <v>1042</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43</v>
      </c>
      <c r="K51" s="1903" t="s">
        <v>1541</v>
      </c>
      <c r="L51" s="1904">
        <f ca="1">ROUND(-PV(INDIRECT("'数据-取费表'!h"&amp;$G$1),L48,(C39-C13*C76),0),0)</f>
        <v>191110</v>
      </c>
      <c r="M51" s="1905"/>
      <c r="O51" s="1897" t="s">
        <v>1043</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1044</v>
      </c>
      <c r="P52" s="1888" t="s">
        <v>1545</v>
      </c>
      <c r="Q52" s="1889">
        <f ca="1">J53</f>
        <v>29.48</v>
      </c>
      <c r="R52" s="1889" t="s">
        <v>1546</v>
      </c>
    </row>
    <row r="53" spans="1:18" s="1845" customFormat="1" ht="24.75" thickBot="1">
      <c r="A53" s="1408" t="s">
        <v>1136</v>
      </c>
      <c r="B53" s="1834" t="s">
        <v>1408</v>
      </c>
      <c r="C53" s="361">
        <f ca="1">ROUND(IF(F53="押一",F49*F51*F50/12*F11,IF(F53="押二",F49*F51*F50/12*2*F11,IF(F53="押三",F49*F51*F50/12*3*F11,C54*F11)))/10000,0)</f>
        <v>0</v>
      </c>
      <c r="D53" s="1827" t="s">
        <v>3034</v>
      </c>
      <c r="E53" s="358" t="s">
        <v>1410</v>
      </c>
      <c r="F53" s="1369"/>
      <c r="I53" s="1908" t="s">
        <v>1547</v>
      </c>
      <c r="J53" s="1909">
        <f ca="1">IF(M47="住宅",J51,IF(D1="——",MIN(J51,L48),IF(D1="在建（套用方法）",MIN(J51,L48-'数据-取费表'!B24),IF(D1="土地（套用方法）",MIN(J51,L48-'数据-取费表'!B20)))))</f>
        <v>29.48</v>
      </c>
      <c r="K53" s="3141" t="s">
        <v>1548</v>
      </c>
      <c r="L53" s="3142"/>
      <c r="O53" s="1887" t="s">
        <v>1045</v>
      </c>
      <c r="P53" s="1888" t="s">
        <v>1549</v>
      </c>
      <c r="Q53" s="1889">
        <f ca="1">Q47+Q48</f>
        <v>286144</v>
      </c>
      <c r="R53" s="1889" t="s">
        <v>1046</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1074</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31301</v>
      </c>
      <c r="D56" s="1917"/>
      <c r="E56" s="1918"/>
      <c r="F56" s="1910"/>
      <c r="I56" s="1919" t="s">
        <v>1554</v>
      </c>
      <c r="J56" s="1920" t="s">
        <v>3059</v>
      </c>
      <c r="K56" s="1890" t="s">
        <v>1555</v>
      </c>
      <c r="L56" s="1893" t="str">
        <f ca="1">IF(L48&lt;J51,"——",L48-J53)</f>
        <v>——</v>
      </c>
      <c r="O56" s="1887" t="s">
        <v>1039</v>
      </c>
      <c r="P56" s="1888" t="s">
        <v>1528</v>
      </c>
      <c r="Q56" s="1889">
        <f ca="1">C40+J29</f>
        <v>286144</v>
      </c>
      <c r="R56" s="1889" t="s">
        <v>1529</v>
      </c>
    </row>
    <row r="57" spans="1:18" s="1845" customFormat="1" ht="24.75" thickBot="1">
      <c r="A57" s="1921"/>
      <c r="B57" s="1172" t="s">
        <v>1478</v>
      </c>
      <c r="C57" s="282">
        <f ca="1">C29</f>
        <v>39621</v>
      </c>
      <c r="D57" s="1922"/>
      <c r="E57" s="1923"/>
      <c r="F57" s="1924"/>
      <c r="I57" s="1925" t="s">
        <v>1556</v>
      </c>
      <c r="J57" s="1926" t="str">
        <f ca="1">IF(OR(M47="住宅",J51&lt;L48,J56="是"),"——",J51-L48)</f>
        <v>——</v>
      </c>
      <c r="K57" s="1890" t="s">
        <v>1557</v>
      </c>
      <c r="L57" s="1893" t="str">
        <f ca="1">IF(L48&lt;J51,"——",IF(L55="比较法",L49,IF(L55="基准地价",L50,L51)))</f>
        <v>——</v>
      </c>
      <c r="O57" s="1887" t="s">
        <v>1040</v>
      </c>
      <c r="P57" s="1888" t="s">
        <v>1558</v>
      </c>
      <c r="Q57" s="1889">
        <f ca="1">L60</f>
        <v>0</v>
      </c>
      <c r="R57" s="1889" t="s">
        <v>1559</v>
      </c>
    </row>
    <row r="58" spans="1:18" s="1845" customFormat="1" ht="24.75" thickBot="1">
      <c r="A58" s="360" t="s">
        <v>1029</v>
      </c>
      <c r="B58" s="1180" t="s">
        <v>1424</v>
      </c>
      <c r="C58" s="361">
        <f ca="1">ROUND(C59+C64+C65+C66,0)</f>
        <v>1012</v>
      </c>
      <c r="D58" s="1182" t="s">
        <v>1425</v>
      </c>
      <c r="E58" s="1183"/>
      <c r="F58" s="1184"/>
      <c r="I58" s="1925" t="s">
        <v>1560</v>
      </c>
      <c r="J58" s="1927" t="e">
        <f ca="1">IF(J55&lt;0.4,0.4,J55)</f>
        <v>#VALUE!</v>
      </c>
      <c r="K58" s="1903" t="s">
        <v>1561</v>
      </c>
      <c r="L58" s="1893" t="e">
        <f ca="1">ROUND(POWER(1+L52,L47-L48)*(POWER(1+L52,L48)-1)/(POWER(1+L52,L47)-1),4)</f>
        <v>#DIV/0!</v>
      </c>
      <c r="O58" s="1897" t="s">
        <v>1041</v>
      </c>
      <c r="P58" s="1888" t="s">
        <v>1562</v>
      </c>
      <c r="Q58" s="1889">
        <f>IF(L55="比较法",L49,IF(L55="基准地价",L50,0))</f>
        <v>0</v>
      </c>
      <c r="R58" s="1889" t="s">
        <v>1529</v>
      </c>
    </row>
    <row r="59" spans="1:18" s="1845" customFormat="1" ht="24.75" thickBot="1">
      <c r="A59" s="1204" t="s">
        <v>1034</v>
      </c>
      <c r="B59" s="1172" t="s">
        <v>1429</v>
      </c>
      <c r="C59" s="24">
        <f ca="1">ROUND(IF(项目基本情况!B11="自然人",C48*F59,C60+C61+C62),1)</f>
        <v>370.6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1564</v>
      </c>
      <c r="Q59" s="1900">
        <f>L52</f>
        <v>0</v>
      </c>
      <c r="R59" s="1889"/>
    </row>
    <row r="60" spans="1:18" s="1845" customFormat="1" ht="16.5" thickBot="1">
      <c r="A60" s="1204" t="s">
        <v>1033</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1043</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332.82</v>
      </c>
      <c r="D61" s="1831" t="s">
        <v>1438</v>
      </c>
      <c r="E61" s="1172" t="s">
        <v>1494</v>
      </c>
      <c r="F61" s="367">
        <f t="shared" si="0"/>
        <v>1.2E-2</v>
      </c>
      <c r="I61" s="1931"/>
      <c r="J61" s="1931"/>
      <c r="K61" s="1931"/>
      <c r="L61" s="1931"/>
      <c r="O61" s="1897" t="s">
        <v>1044</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37.81</v>
      </c>
      <c r="D62" s="1187" t="s">
        <v>1497</v>
      </c>
      <c r="E62" s="1172" t="s">
        <v>1498</v>
      </c>
      <c r="F62" s="371">
        <f t="shared" si="0"/>
        <v>12</v>
      </c>
      <c r="I62" s="1932" t="s">
        <v>1570</v>
      </c>
      <c r="J62" s="1933" t="s">
        <v>1571</v>
      </c>
      <c r="K62" s="1933" t="s">
        <v>1572</v>
      </c>
      <c r="L62" s="1933" t="s">
        <v>1573</v>
      </c>
      <c r="M62" s="1934" t="s">
        <v>1574</v>
      </c>
      <c r="O62" s="1887" t="s">
        <v>1045</v>
      </c>
      <c r="P62" s="1888" t="s">
        <v>1575</v>
      </c>
      <c r="Q62" s="1889">
        <f ca="1">Q56+Q57</f>
        <v>286144</v>
      </c>
      <c r="R62" s="1889" t="s">
        <v>1046</v>
      </c>
    </row>
    <row r="63" spans="1:18" s="1845" customFormat="1" ht="13.5" thickBot="1">
      <c r="A63" s="372"/>
      <c r="B63" s="1178"/>
      <c r="C63" s="29"/>
      <c r="D63" s="1188"/>
      <c r="E63" s="1172" t="s">
        <v>1499</v>
      </c>
      <c r="F63" s="348">
        <f t="shared" ca="1" si="0"/>
        <v>31510.77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594.29999999999995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47</v>
      </c>
      <c r="D65" s="1186" t="s">
        <v>1454</v>
      </c>
      <c r="E65" s="1172" t="s">
        <v>1455</v>
      </c>
      <c r="F65" s="376">
        <f t="shared" ca="1" si="0"/>
        <v>1.5E-3</v>
      </c>
      <c r="I65" s="1932" t="s">
        <v>1579</v>
      </c>
      <c r="J65" s="1933">
        <v>40</v>
      </c>
      <c r="K65" s="1933">
        <v>30</v>
      </c>
      <c r="L65" s="1933">
        <v>50</v>
      </c>
      <c r="M65" s="1935">
        <v>0.02</v>
      </c>
      <c r="O65" s="1887" t="s">
        <v>1039</v>
      </c>
      <c r="P65" s="1888" t="s">
        <v>1580</v>
      </c>
      <c r="Q65" s="1889">
        <f ca="1">C40+J29</f>
        <v>286144</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1040</v>
      </c>
      <c r="P66" s="1888" t="s">
        <v>1558</v>
      </c>
      <c r="Q66" s="1889">
        <f ca="1">L60</f>
        <v>0</v>
      </c>
      <c r="R66" s="1889" t="s">
        <v>1581</v>
      </c>
    </row>
    <row r="67" spans="1:18" s="1845" customFormat="1" ht="16.5" thickBot="1">
      <c r="A67" s="1179" t="s">
        <v>1030</v>
      </c>
      <c r="B67" s="1189" t="s">
        <v>1463</v>
      </c>
      <c r="C67" s="361">
        <f ca="1">C48-C58</f>
        <v>-1012</v>
      </c>
      <c r="D67" s="1185" t="s">
        <v>1464</v>
      </c>
      <c r="E67" s="1190"/>
      <c r="F67" s="1191"/>
      <c r="O67" s="1897" t="s">
        <v>1041</v>
      </c>
      <c r="P67" s="1888" t="s">
        <v>1562</v>
      </c>
      <c r="Q67" s="1936">
        <f ca="1">L51</f>
        <v>191110</v>
      </c>
      <c r="R67" s="1889" t="s">
        <v>1582</v>
      </c>
    </row>
    <row r="68" spans="1:18" s="1845" customFormat="1" ht="16.5" thickBot="1">
      <c r="A68" s="1169" t="s">
        <v>1031</v>
      </c>
      <c r="B68" s="1170" t="s">
        <v>1485</v>
      </c>
      <c r="C68" s="346">
        <f ca="1">ROUND(C67*(1-((1+F70)/(1+F68))^F69)/(F68-F70),0)</f>
        <v>-13840</v>
      </c>
      <c r="D68" s="1187" t="s">
        <v>1469</v>
      </c>
      <c r="E68" s="1172" t="s">
        <v>1470</v>
      </c>
      <c r="F68" s="357">
        <f ca="1">F40</f>
        <v>0.06</v>
      </c>
      <c r="O68" s="1897" t="s">
        <v>1042</v>
      </c>
      <c r="P68" s="1937" t="s">
        <v>1583</v>
      </c>
      <c r="Q68" s="1889">
        <f ca="1">ROUND(Q69-Q70*Q71,0)</f>
        <v>12529</v>
      </c>
      <c r="R68" s="1889" t="s">
        <v>1050</v>
      </c>
    </row>
    <row r="69" spans="1:18" s="1845" customFormat="1" ht="13.5" thickBot="1">
      <c r="A69" s="1173"/>
      <c r="B69" s="1174"/>
      <c r="C69" s="351"/>
      <c r="D69" s="1192" t="s">
        <v>1473</v>
      </c>
      <c r="E69" s="1172" t="s">
        <v>1474</v>
      </c>
      <c r="F69" s="379">
        <f ca="1">F41</f>
        <v>29.48</v>
      </c>
      <c r="O69" s="1897" t="s">
        <v>1047</v>
      </c>
      <c r="P69" s="1937" t="s">
        <v>1584</v>
      </c>
      <c r="Q69" s="1889">
        <f ca="1">C39</f>
        <v>15033</v>
      </c>
      <c r="R69" s="1889" t="s">
        <v>1529</v>
      </c>
    </row>
    <row r="70" spans="1:18" s="1845" customFormat="1" ht="13.5" thickBot="1">
      <c r="A70" s="1176"/>
      <c r="B70" s="1177"/>
      <c r="C70" s="355"/>
      <c r="D70" s="1188"/>
      <c r="E70" s="1172" t="s">
        <v>1477</v>
      </c>
      <c r="F70" s="1278"/>
      <c r="O70" s="1897" t="s">
        <v>1048</v>
      </c>
      <c r="P70" s="1937" t="s">
        <v>1585</v>
      </c>
      <c r="Q70" s="1889">
        <f ca="1">C13</f>
        <v>31301</v>
      </c>
      <c r="R70" s="1889" t="s">
        <v>1529</v>
      </c>
    </row>
    <row r="71" spans="1:18" s="1845" customFormat="1" ht="13.5" thickBot="1">
      <c r="A71" s="1193" t="s">
        <v>1032</v>
      </c>
      <c r="B71" s="1194" t="s">
        <v>1487</v>
      </c>
      <c r="C71" s="382">
        <f ca="1">ROUND(C68*10000/F71,0)</f>
        <v>-1972</v>
      </c>
      <c r="D71" s="1195" t="s">
        <v>1488</v>
      </c>
      <c r="E71" s="1196" t="s">
        <v>1489</v>
      </c>
      <c r="F71" s="385">
        <f ca="1">F43</f>
        <v>70181.87</v>
      </c>
      <c r="O71" s="1897" t="s">
        <v>1049</v>
      </c>
      <c r="P71" s="1937" t="s">
        <v>1586</v>
      </c>
      <c r="Q71" s="1900">
        <f ca="1">C76</f>
        <v>0.08</v>
      </c>
      <c r="R71" s="1889"/>
    </row>
    <row r="72" spans="1:18" s="1845" customFormat="1" ht="13.5" thickBot="1">
      <c r="B72" s="796"/>
      <c r="C72" s="796"/>
      <c r="O72" s="1897" t="s">
        <v>1043</v>
      </c>
      <c r="P72" s="1888" t="s">
        <v>1564</v>
      </c>
      <c r="Q72" s="1900">
        <f>L52</f>
        <v>0</v>
      </c>
      <c r="R72" s="1889"/>
    </row>
    <row r="73" spans="1:18" ht="16.5" thickBot="1">
      <c r="A73" s="1845"/>
      <c r="B73" s="796"/>
      <c r="C73" s="796"/>
      <c r="D73" s="1845"/>
      <c r="E73" s="1845"/>
      <c r="F73" s="1845"/>
      <c r="O73" s="1897" t="s">
        <v>1044</v>
      </c>
      <c r="P73" s="1888" t="s">
        <v>1567</v>
      </c>
      <c r="Q73" s="1889" t="e">
        <f ca="1">L58</f>
        <v>#DIV/0!</v>
      </c>
      <c r="R73" s="1889" t="s">
        <v>1568</v>
      </c>
    </row>
    <row r="74" spans="1:18" ht="13.5" thickBot="1">
      <c r="A74" s="1845"/>
      <c r="B74" s="317" t="s">
        <v>1587</v>
      </c>
      <c r="C74" s="1939"/>
      <c r="D74" s="1845"/>
      <c r="E74" s="1845"/>
      <c r="F74" s="1845"/>
      <c r="O74" s="1897" t="s">
        <v>1051</v>
      </c>
      <c r="P74" s="1888" t="str">
        <f>K59</f>
        <v>建筑物剩余耐用年限下的土地年期修正系数Kn</v>
      </c>
      <c r="Q74" s="1889" t="e">
        <f ca="1">L59</f>
        <v>#DIV/0!</v>
      </c>
      <c r="R74" s="1889" t="s">
        <v>1569</v>
      </c>
    </row>
    <row r="75" spans="1:18" ht="13.5" thickBot="1">
      <c r="A75" s="1845"/>
      <c r="B75" s="386" t="s">
        <v>1506</v>
      </c>
      <c r="C75" s="387">
        <f ca="1">ROUND(C13*C76,0)</f>
        <v>2504</v>
      </c>
      <c r="D75" s="1845"/>
      <c r="E75" s="1845"/>
      <c r="F75" s="1845"/>
      <c r="K75" s="1871"/>
      <c r="L75" s="1845"/>
      <c r="O75" s="1887" t="s">
        <v>1045</v>
      </c>
      <c r="P75" s="1888" t="s">
        <v>1549</v>
      </c>
      <c r="Q75" s="1889">
        <f ca="1">Q65+Q66</f>
        <v>286144</v>
      </c>
      <c r="R75" s="1889" t="s">
        <v>1046</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0.83299999999999996</v>
      </c>
    </row>
    <row r="80" spans="1:18">
      <c r="B80" s="386" t="s">
        <v>1511</v>
      </c>
      <c r="C80" s="318">
        <f ca="1">ROUND(C75/C39,3)</f>
        <v>0.16700000000000001</v>
      </c>
    </row>
    <row r="81" spans="2:3">
      <c r="B81" s="314" t="s">
        <v>1512</v>
      </c>
      <c r="C81" s="282"/>
    </row>
    <row r="82" spans="2:3">
      <c r="B82" s="317" t="s">
        <v>1513</v>
      </c>
      <c r="C82" s="319">
        <f ca="1">1-C83</f>
        <v>0.89100000000000001</v>
      </c>
    </row>
    <row r="83" spans="2:3">
      <c r="B83" s="317" t="s">
        <v>1514</v>
      </c>
      <c r="C83" s="318">
        <f ca="1">ROUND(C13/C40,3)</f>
        <v>0.109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北京红星美凯龙国际家具建材广场有限公司：</v>
      </c>
    </row>
    <row r="4" spans="1:1" ht="36">
      <c r="A4" s="1951" t="str">
        <f>"受贵公司委托，我公司对"&amp;项目基本情况!S1&amp;"进行了预评估。"</f>
        <v>受贵公司委托，我公司对北京市丰台区西四环中路113号房地产抵押价值进行了预评估。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四环中路113号房地产，为北京红星美凯龙国际家具建材广场有限公司所有。根据《国有土地使用证》[京丰国用（2010出）第00202号]，估价对象（分摊）出让国有建设用地使用权面积为31510.77平方米，建筑面积为70181.87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四环中路113号房地产,属北京红星美凯龙国际家具建材广场有限公司开发建设的商业项目，该项目尚在开发建设中。根据《国有土地使用证》[京丰国用（2010出）第00202号]，估价对象（分摊）出让国有建设用地使用权面积为31510.77平方米，规划建筑面积为70181.87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2018年2月26日（评估专业人员实地查勘之日）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商业、地下车库，土地取得方式为出让，出让国有建设用地使用权剩余土地使用年限为商业29.5、地下车库39.5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29.5、地下车库39.5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1034</v>
      </c>
      <c r="B6" s="3143" t="s">
        <v>1402</v>
      </c>
      <c r="C6" s="1299">
        <f ca="1">ROUND(F6*F8*F7*(1-F9),0)</f>
        <v>0</v>
      </c>
      <c r="D6" s="164" t="s">
        <v>3028</v>
      </c>
      <c r="E6" s="347" t="s">
        <v>1404</v>
      </c>
      <c r="F6" s="348">
        <f ca="1">INDIRECT("'数据-取费表'!u"&amp;$G$1)</f>
        <v>0</v>
      </c>
      <c r="G6" s="1854"/>
      <c r="H6" s="1294" t="s">
        <v>1034</v>
      </c>
      <c r="I6" s="3143" t="s">
        <v>1402</v>
      </c>
      <c r="J6" s="346">
        <f ca="1">ROUND(M6*M8*M7*(1-M9),0)</f>
        <v>0</v>
      </c>
      <c r="K6" s="1837" t="s">
        <v>3031</v>
      </c>
      <c r="L6" s="347" t="s">
        <v>1404</v>
      </c>
      <c r="M6" s="348">
        <f ca="1">INDIRECT("'数据-取费表'!z"&amp;$G$1)</f>
        <v>0</v>
      </c>
    </row>
    <row r="7" spans="1:37" ht="18" customHeight="1">
      <c r="A7" s="1298"/>
      <c r="B7" s="3144"/>
      <c r="C7" s="1300"/>
      <c r="D7" s="352"/>
      <c r="E7" s="1301" t="s">
        <v>1405</v>
      </c>
      <c r="F7" s="348">
        <f ca="1">IF(INDIRECT("'数据-取费表'!ah"&amp;$G$1)="",INDIRECT("'数据-取费表'!k"&amp;$G$1),INDIRECT("'数据-取费表'!ah"&amp;$G$1))</f>
        <v>0</v>
      </c>
      <c r="G7" s="1854"/>
      <c r="H7" s="349"/>
      <c r="I7" s="3144"/>
      <c r="J7" s="351"/>
      <c r="K7" s="352"/>
      <c r="L7" s="347" t="s">
        <v>1405</v>
      </c>
      <c r="M7" s="348">
        <f ca="1">F7</f>
        <v>0</v>
      </c>
    </row>
    <row r="8" spans="1:37" ht="18" customHeight="1">
      <c r="A8" s="349"/>
      <c r="B8" s="3144"/>
      <c r="C8" s="351"/>
      <c r="D8" s="352"/>
      <c r="E8" s="347" t="s">
        <v>1406</v>
      </c>
      <c r="F8" s="348">
        <f ca="1">INDIRECT("'数据-取费表'!ai"&amp;$G$1)</f>
        <v>0</v>
      </c>
      <c r="G8" s="1854"/>
      <c r="H8" s="349"/>
      <c r="I8" s="3144"/>
      <c r="J8" s="351"/>
      <c r="K8" s="352"/>
      <c r="L8" s="347" t="s">
        <v>1406</v>
      </c>
      <c r="M8" s="348">
        <f ca="1">INDIRECT("'数据-取费表'!ai"&amp;$G$1)</f>
        <v>0</v>
      </c>
    </row>
    <row r="9" spans="1:37" ht="18" customHeight="1">
      <c r="A9" s="349"/>
      <c r="B9" s="3145"/>
      <c r="C9" s="351"/>
      <c r="D9" s="352"/>
      <c r="E9" s="347" t="s">
        <v>1407</v>
      </c>
      <c r="F9" s="357">
        <f ca="1">INDIRECT("'数据-取费表'!w"&amp;$G$1)</f>
        <v>0</v>
      </c>
      <c r="G9" s="1854"/>
      <c r="H9" s="349"/>
      <c r="I9" s="3145"/>
      <c r="J9" s="351"/>
      <c r="K9" s="352"/>
      <c r="L9" s="358" t="s">
        <v>1407</v>
      </c>
      <c r="M9" s="359">
        <f ca="1">INDIRECT("'数据-取费表'!ab"&amp;$G$1)</f>
        <v>0</v>
      </c>
    </row>
    <row r="10" spans="1:37" ht="18" customHeight="1">
      <c r="A10" s="1294" t="s">
        <v>1038</v>
      </c>
      <c r="B10" s="1826" t="s">
        <v>1408</v>
      </c>
      <c r="C10" s="361">
        <f ca="1">ROUND(IF(F10="押一",F6*F8*F7/12*F11,IF(F10="押二",F6*F8*F7/12*2*F11,IF(F10="押三",F6*F8*F7/12*3*F11,C11*F11))),0)</f>
        <v>0</v>
      </c>
      <c r="D10" s="1827" t="s">
        <v>3029</v>
      </c>
      <c r="E10" s="358" t="s">
        <v>1410</v>
      </c>
      <c r="F10" s="1369"/>
      <c r="G10" s="1854"/>
      <c r="H10" s="1294" t="s">
        <v>1038</v>
      </c>
      <c r="I10" s="1826" t="s">
        <v>1408</v>
      </c>
      <c r="J10" s="346">
        <f ca="1">ROUND(IF(M10="押一",M6*M8*M7/12*M11,IF(M10="押二",M6*M8*M7/12*2*M11,IF(M10="押三",M6*M8*M7/12*3*M11,J11*M11))),0)</f>
        <v>0</v>
      </c>
      <c r="K10" s="1838" t="s">
        <v>3030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1074</v>
      </c>
      <c r="B12" s="1830" t="s">
        <v>1413</v>
      </c>
      <c r="C12" s="1337"/>
      <c r="D12" s="1338"/>
      <c r="E12" s="1343"/>
      <c r="F12" s="1339"/>
      <c r="G12" s="1854"/>
      <c r="H12" s="1336" t="s">
        <v>1074</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1033</v>
      </c>
      <c r="B14" s="347" t="s">
        <v>1417</v>
      </c>
      <c r="C14" s="363">
        <f ca="1">ROUND(INDIRECT("'数据-取费表'!l"&amp;$G$1)*F43+'数据-取费表'!L14*INDIRECT("'数据-取费表'!S"&amp;$G$1),0)</f>
        <v>0</v>
      </c>
      <c r="D14" s="1803" t="s">
        <v>1418</v>
      </c>
      <c r="E14" s="1797"/>
      <c r="F14" s="364"/>
      <c r="G14" s="1854"/>
      <c r="H14" s="1204" t="s">
        <v>1034</v>
      </c>
      <c r="I14" s="347" t="s">
        <v>1419</v>
      </c>
      <c r="J14" s="24">
        <f ca="1">C29</f>
        <v>0</v>
      </c>
      <c r="K14" s="15"/>
      <c r="L14" s="982"/>
      <c r="M14" s="983"/>
    </row>
    <row r="15" spans="1:37" s="1861" customFormat="1" ht="18" customHeight="1" thickBot="1">
      <c r="A15" s="1204" t="s">
        <v>1035</v>
      </c>
      <c r="B15" s="347" t="s">
        <v>1420</v>
      </c>
      <c r="C15" s="24">
        <f ca="1">ROUND(C14*F15,0)</f>
        <v>0</v>
      </c>
      <c r="D15" s="365" t="s">
        <v>1421</v>
      </c>
      <c r="E15" s="365" t="s">
        <v>1422</v>
      </c>
      <c r="F15" s="366">
        <f>'数据-取费表'!B33</f>
        <v>0.05</v>
      </c>
      <c r="G15" s="1857"/>
      <c r="H15" s="1342" t="s">
        <v>1038</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1029</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1034</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1033</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1435</v>
      </c>
      <c r="C19" s="24">
        <f ca="1">SUM(C14:C18)</f>
        <v>0</v>
      </c>
      <c r="D19" s="140" t="s">
        <v>1436</v>
      </c>
      <c r="E19" s="1821"/>
      <c r="F19" s="26"/>
      <c r="G19" s="1854"/>
      <c r="H19" s="1204" t="s">
        <v>1035</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1038</v>
      </c>
      <c r="B20" s="347" t="s">
        <v>1439</v>
      </c>
      <c r="C20" s="24">
        <f ca="1">ROUND(C19*F20,0)</f>
        <v>0</v>
      </c>
      <c r="D20" s="369" t="s">
        <v>1440</v>
      </c>
      <c r="E20" s="347" t="s">
        <v>1422</v>
      </c>
      <c r="F20" s="367">
        <f>'数据-取费表'!B37</f>
        <v>0.02</v>
      </c>
      <c r="G20" s="1857"/>
      <c r="H20" s="1204" t="s">
        <v>1388</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1038</v>
      </c>
      <c r="I22" s="347" t="s">
        <v>1449</v>
      </c>
      <c r="J22" s="24">
        <f ca="1">ROUND(J14*M22,0)</f>
        <v>0</v>
      </c>
      <c r="K22" s="1801" t="s">
        <v>1450</v>
      </c>
      <c r="L22" s="347" t="s">
        <v>1422</v>
      </c>
      <c r="M22" s="374">
        <f ca="1">INDIRECT("'数据-取费表'!Ak"&amp;$G$1)</f>
        <v>0</v>
      </c>
    </row>
    <row r="23" spans="1:37" s="1861" customFormat="1" ht="18" customHeight="1">
      <c r="A23" s="1204" t="s">
        <v>1033</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1074</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1030</v>
      </c>
      <c r="I25" s="1347" t="s">
        <v>1463</v>
      </c>
      <c r="J25" s="355">
        <f ca="1">J5-J16</f>
        <v>0</v>
      </c>
      <c r="K25" s="1348" t="s">
        <v>1464</v>
      </c>
      <c r="L25" s="1349"/>
      <c r="M25" s="1350"/>
    </row>
    <row r="26" spans="1:37" ht="18" customHeight="1">
      <c r="A26" s="1204" t="s">
        <v>1033</v>
      </c>
      <c r="B26" s="347" t="s">
        <v>1465</v>
      </c>
      <c r="C26" s="24">
        <f ca="1">ROUND((C19+C20)*F26,0)</f>
        <v>0</v>
      </c>
      <c r="D26" s="369" t="s">
        <v>1466</v>
      </c>
      <c r="E26" s="358" t="s">
        <v>1467</v>
      </c>
      <c r="F26" s="357">
        <f ca="1">INDIRECT("'数据-取费表'!q"&amp;$G$1)</f>
        <v>0</v>
      </c>
      <c r="G26" s="1854"/>
      <c r="H26" s="344" t="s">
        <v>1031</v>
      </c>
      <c r="I26" s="345" t="s">
        <v>1468</v>
      </c>
      <c r="J26" s="346">
        <f ca="1">IF(J5&lt;&gt;0,ROUND(J25*(1-((1+M28)/(1+M26))^M27)/(M26-M28),0),0)</f>
        <v>0</v>
      </c>
      <c r="K26" s="370" t="s">
        <v>1469</v>
      </c>
      <c r="L26" s="347" t="s">
        <v>1470</v>
      </c>
      <c r="M26" s="357">
        <f ca="1">INDIRECT("'数据-取费表'!I"&amp;$G$1)</f>
        <v>0</v>
      </c>
    </row>
    <row r="27" spans="1:37" ht="18" customHeight="1">
      <c r="A27" s="1204" t="s">
        <v>1035</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1036</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1478</v>
      </c>
      <c r="C29" s="1344">
        <f ca="1">ROUND((C19+C20+C23+C26)/(1-F21-C24-C27-C28),0)</f>
        <v>0</v>
      </c>
      <c r="D29" s="1345"/>
      <c r="E29" s="1343"/>
      <c r="F29" s="1346"/>
      <c r="G29" s="1857"/>
      <c r="H29" s="380" t="s">
        <v>1032</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1424</v>
      </c>
      <c r="C30" s="355">
        <f ca="1">ROUND(C31+C36+C37+C38,0)</f>
        <v>0</v>
      </c>
      <c r="D30" s="1340" t="s">
        <v>1425</v>
      </c>
      <c r="E30" s="1341"/>
      <c r="F30" s="1297"/>
      <c r="G30" s="1854"/>
      <c r="H30" s="745"/>
      <c r="I30" s="746"/>
      <c r="J30" s="747"/>
      <c r="K30" s="748"/>
      <c r="L30" s="749"/>
      <c r="M30" s="750"/>
    </row>
    <row r="31" spans="1:37" ht="18" customHeight="1">
      <c r="A31" s="1204" t="s">
        <v>1034</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1035</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1038</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1074</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1030</v>
      </c>
      <c r="B39" s="1347" t="s">
        <v>1483</v>
      </c>
      <c r="C39" s="355">
        <f ca="1">C5-C30</f>
        <v>0</v>
      </c>
      <c r="D39" s="1348" t="s">
        <v>1484</v>
      </c>
      <c r="E39" s="1349"/>
      <c r="F39" s="1350"/>
      <c r="G39" s="1854"/>
      <c r="H39" s="1862"/>
      <c r="I39" s="1863"/>
      <c r="J39" s="1864"/>
      <c r="K39" s="1868"/>
      <c r="L39" s="1862"/>
      <c r="M39" s="1862"/>
    </row>
    <row r="40" spans="1:18" ht="18" customHeight="1">
      <c r="A40" s="344" t="s">
        <v>1031</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1032</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1039</v>
      </c>
      <c r="P47" s="1888" t="s">
        <v>1528</v>
      </c>
      <c r="Q47" s="1889" t="e">
        <f ca="1">C40+J29</f>
        <v>#DIV/0!</v>
      </c>
      <c r="R47" s="1889" t="s">
        <v>1529</v>
      </c>
    </row>
    <row r="48" spans="1:18" s="1845" customFormat="1" ht="28.5" thickBot="1">
      <c r="A48" s="1363" t="s">
        <v>1134</v>
      </c>
      <c r="B48" s="345" t="s">
        <v>1400</v>
      </c>
      <c r="C48" s="1820">
        <f ca="1">C49+C53+C55</f>
        <v>0</v>
      </c>
      <c r="D48" s="1365"/>
      <c r="E48" s="1366"/>
      <c r="F48" s="1184"/>
      <c r="G48" s="792"/>
      <c r="H48" s="793"/>
      <c r="I48" s="1890" t="s">
        <v>1530</v>
      </c>
      <c r="J48" s="1891"/>
      <c r="K48" s="1892" t="s">
        <v>1531</v>
      </c>
      <c r="L48" s="1893">
        <f ca="1">INDIRECT("'数据-取费表'!f"&amp;$G$1)</f>
        <v>0</v>
      </c>
      <c r="O48" s="1887" t="s">
        <v>1040</v>
      </c>
      <c r="P48" s="1888" t="s">
        <v>1532</v>
      </c>
      <c r="Q48" s="1889" t="e">
        <f ca="1">J60</f>
        <v>#DIV/0!</v>
      </c>
      <c r="R48" s="1889" t="s">
        <v>1533</v>
      </c>
    </row>
    <row r="49" spans="1:18" s="1845" customFormat="1" ht="13.5" thickBot="1">
      <c r="A49" s="1197" t="s">
        <v>1135</v>
      </c>
      <c r="B49" s="1832" t="s">
        <v>1490</v>
      </c>
      <c r="C49" s="1367">
        <f ca="1">ROUND(F49*F51*F50*(1-F52),0)</f>
        <v>0</v>
      </c>
      <c r="D49" s="1279" t="s">
        <v>1403</v>
      </c>
      <c r="E49" s="1833" t="s">
        <v>1491</v>
      </c>
      <c r="F49" s="1284"/>
      <c r="G49" s="1894"/>
      <c r="H49" s="793"/>
      <c r="I49" s="1890" t="s">
        <v>1534</v>
      </c>
      <c r="J49" s="1895"/>
      <c r="K49" s="1892" t="s">
        <v>1535</v>
      </c>
      <c r="L49" s="1896"/>
      <c r="O49" s="1897" t="s">
        <v>1041</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1042</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1043</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1044</v>
      </c>
      <c r="P52" s="1888" t="s">
        <v>1545</v>
      </c>
      <c r="Q52" s="1889" t="b">
        <f>J53</f>
        <v>0</v>
      </c>
      <c r="R52" s="1889" t="s">
        <v>1546</v>
      </c>
    </row>
    <row r="53" spans="1:18" s="1845" customFormat="1" ht="30.75" customHeight="1" thickBot="1">
      <c r="A53" s="1364" t="s">
        <v>1136</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141" t="s">
        <v>1548</v>
      </c>
      <c r="L53" s="3142"/>
      <c r="O53" s="1887" t="s">
        <v>1045</v>
      </c>
      <c r="P53" s="1888" t="s">
        <v>1549</v>
      </c>
      <c r="Q53" s="1889" t="e">
        <f ca="1">Q47+Q48</f>
        <v>#DIV/0!</v>
      </c>
      <c r="R53" s="1889" t="s">
        <v>1046</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1074</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1039</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1040</v>
      </c>
      <c r="P57" s="1888" t="s">
        <v>1606</v>
      </c>
      <c r="Q57" s="1889" t="e">
        <f ca="1">L60</f>
        <v>#DIV/0!</v>
      </c>
      <c r="R57" s="1889" t="s">
        <v>1607</v>
      </c>
    </row>
    <row r="58" spans="1:18" s="1845" customFormat="1" ht="24.75" thickBot="1">
      <c r="A58" s="360" t="s">
        <v>1029</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1041</v>
      </c>
      <c r="P58" s="1888" t="s">
        <v>1562</v>
      </c>
      <c r="Q58" s="1889">
        <f>IF(L55="比较法",L49,IF(L55="基准地价",L50,0))</f>
        <v>0</v>
      </c>
      <c r="R58" s="1889" t="s">
        <v>1529</v>
      </c>
    </row>
    <row r="59" spans="1:18" s="1845" customFormat="1" ht="24.75" thickBot="1">
      <c r="A59" s="1204" t="s">
        <v>1034</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1564</v>
      </c>
      <c r="Q59" s="1900">
        <f>L52</f>
        <v>0</v>
      </c>
      <c r="R59" s="1889"/>
    </row>
    <row r="60" spans="1:18" s="1845" customFormat="1" ht="16.5" thickBot="1">
      <c r="A60" s="1204" t="s">
        <v>1033</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1043</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1044</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1045</v>
      </c>
      <c r="P62" s="1888" t="s">
        <v>1575</v>
      </c>
      <c r="Q62" s="1889" t="e">
        <f ca="1">Q56+Q57</f>
        <v>#DIV/0!</v>
      </c>
      <c r="R62" s="1889" t="s">
        <v>1046</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1039</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1040</v>
      </c>
      <c r="P66" s="1888" t="s">
        <v>1558</v>
      </c>
      <c r="Q66" s="1889" t="e">
        <f ca="1">L60</f>
        <v>#DIV/0!</v>
      </c>
      <c r="R66" s="1889" t="s">
        <v>1581</v>
      </c>
    </row>
    <row r="67" spans="1:18" s="1845" customFormat="1" ht="16.5" thickBot="1">
      <c r="A67" s="1179" t="s">
        <v>1030</v>
      </c>
      <c r="B67" s="1189" t="s">
        <v>1463</v>
      </c>
      <c r="C67" s="361">
        <f ca="1">C48-C58</f>
        <v>0</v>
      </c>
      <c r="D67" s="1185" t="s">
        <v>1464</v>
      </c>
      <c r="E67" s="1190"/>
      <c r="F67" s="1191"/>
      <c r="O67" s="1897" t="s">
        <v>1041</v>
      </c>
      <c r="P67" s="1888" t="s">
        <v>1562</v>
      </c>
      <c r="Q67" s="1936">
        <f ca="1">L51</f>
        <v>0</v>
      </c>
      <c r="R67" s="1889" t="s">
        <v>1582</v>
      </c>
    </row>
    <row r="68" spans="1:18" s="1845" customFormat="1" ht="16.5" thickBot="1">
      <c r="A68" s="1169" t="s">
        <v>1031</v>
      </c>
      <c r="B68" s="1170" t="s">
        <v>1485</v>
      </c>
      <c r="C68" s="346" t="e">
        <f ca="1">ROUND(C67*(1-((1+F70)/(1+F68))^F69)/(F68-F70),0)</f>
        <v>#DIV/0!</v>
      </c>
      <c r="D68" s="1187" t="s">
        <v>1469</v>
      </c>
      <c r="E68" s="1172" t="s">
        <v>1470</v>
      </c>
      <c r="F68" s="357">
        <f ca="1">F40</f>
        <v>0</v>
      </c>
      <c r="O68" s="1897" t="s">
        <v>1042</v>
      </c>
      <c r="P68" s="1937" t="s">
        <v>1583</v>
      </c>
      <c r="Q68" s="1889">
        <f ca="1">ROUND(Q69-Q70*Q71,0)</f>
        <v>0</v>
      </c>
      <c r="R68" s="1889" t="s">
        <v>1050</v>
      </c>
    </row>
    <row r="69" spans="1:18" s="1845" customFormat="1" ht="13.5" thickBot="1">
      <c r="A69" s="1173"/>
      <c r="B69" s="1174"/>
      <c r="C69" s="351"/>
      <c r="D69" s="1192" t="s">
        <v>1473</v>
      </c>
      <c r="E69" s="1172" t="s">
        <v>1474</v>
      </c>
      <c r="F69" s="379">
        <f ca="1">F41</f>
        <v>0</v>
      </c>
      <c r="O69" s="1897" t="s">
        <v>1047</v>
      </c>
      <c r="P69" s="1937" t="s">
        <v>1584</v>
      </c>
      <c r="Q69" s="1889">
        <f ca="1">C39</f>
        <v>0</v>
      </c>
      <c r="R69" s="1889" t="s">
        <v>1529</v>
      </c>
    </row>
    <row r="70" spans="1:18" s="1845" customFormat="1" ht="13.5" thickBot="1">
      <c r="A70" s="1176"/>
      <c r="B70" s="1177"/>
      <c r="C70" s="355"/>
      <c r="D70" s="1188"/>
      <c r="E70" s="1172" t="s">
        <v>1477</v>
      </c>
      <c r="F70" s="1278">
        <f ca="1">F42</f>
        <v>0</v>
      </c>
      <c r="O70" s="1897" t="s">
        <v>1048</v>
      </c>
      <c r="P70" s="1937" t="s">
        <v>1585</v>
      </c>
      <c r="Q70" s="1889">
        <f ca="1">C13</f>
        <v>0</v>
      </c>
      <c r="R70" s="1889" t="s">
        <v>1529</v>
      </c>
    </row>
    <row r="71" spans="1:18" s="1845" customFormat="1" ht="13.5" thickBot="1">
      <c r="A71" s="1193" t="s">
        <v>1032</v>
      </c>
      <c r="B71" s="1194" t="s">
        <v>1487</v>
      </c>
      <c r="C71" s="382" t="e">
        <f ca="1">ROUND(C68/F71,0)</f>
        <v>#DIV/0!</v>
      </c>
      <c r="D71" s="1195" t="s">
        <v>1488</v>
      </c>
      <c r="E71" s="1196" t="s">
        <v>1489</v>
      </c>
      <c r="F71" s="385">
        <f ca="1">F43</f>
        <v>0</v>
      </c>
      <c r="O71" s="1897" t="s">
        <v>1049</v>
      </c>
      <c r="P71" s="1937" t="s">
        <v>1586</v>
      </c>
      <c r="Q71" s="1900">
        <f ca="1">C76</f>
        <v>0</v>
      </c>
      <c r="R71" s="1889"/>
    </row>
    <row r="72" spans="1:18" s="1845" customFormat="1" ht="13.5" thickBot="1">
      <c r="B72" s="796"/>
      <c r="C72" s="796"/>
      <c r="O72" s="1897" t="s">
        <v>1043</v>
      </c>
      <c r="P72" s="1888" t="s">
        <v>1564</v>
      </c>
      <c r="Q72" s="1900">
        <f>L52</f>
        <v>0</v>
      </c>
      <c r="R72" s="1889"/>
    </row>
    <row r="73" spans="1:18" ht="16.5" thickBot="1">
      <c r="A73" s="1845"/>
      <c r="B73" s="796"/>
      <c r="C73" s="796"/>
      <c r="D73" s="1845"/>
      <c r="E73" s="1845"/>
      <c r="F73" s="1845"/>
      <c r="O73" s="1897" t="s">
        <v>1044</v>
      </c>
      <c r="P73" s="1888" t="s">
        <v>1567</v>
      </c>
      <c r="Q73" s="1889" t="e">
        <f ca="1">L58</f>
        <v>#DIV/0!</v>
      </c>
      <c r="R73" s="1889" t="s">
        <v>1568</v>
      </c>
    </row>
    <row r="74" spans="1:18" ht="13.5" thickBot="1">
      <c r="A74" s="1845"/>
      <c r="B74" s="317" t="s">
        <v>1587</v>
      </c>
      <c r="C74" s="1939"/>
      <c r="D74" s="1845"/>
      <c r="E74" s="1845"/>
      <c r="F74" s="1845"/>
      <c r="O74" s="1897" t="s">
        <v>1051</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1045</v>
      </c>
      <c r="P75" s="1888" t="s">
        <v>1549</v>
      </c>
      <c r="Q75" s="1889" t="e">
        <f ca="1">Q65+Q66</f>
        <v>#DIV/0!</v>
      </c>
      <c r="R75" s="1889" t="s">
        <v>1046</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2524</v>
      </c>
      <c r="B1" s="2567"/>
      <c r="C1" s="2567"/>
      <c r="D1" s="2567"/>
      <c r="E1" s="2568"/>
    </row>
    <row r="2" spans="1:6" ht="15.75">
      <c r="A2" s="2569" t="s">
        <v>2325</v>
      </c>
      <c r="B2" s="2570">
        <f ca="1">SUMIF(B6:B13,"&lt;&gt;#ref!",B6:B13)</f>
        <v>286144</v>
      </c>
      <c r="C2" s="2571" t="s">
        <v>2517</v>
      </c>
      <c r="D2" s="2572" t="s">
        <v>2518</v>
      </c>
      <c r="E2" s="2573">
        <f>SUM(E6:E13)</f>
        <v>70181.87</v>
      </c>
    </row>
    <row r="3" spans="1:6" ht="15.75">
      <c r="A3" s="2569" t="s">
        <v>1394</v>
      </c>
      <c r="B3" s="2570">
        <f ca="1">ROUND(B2*10000/E2,0)</f>
        <v>40772</v>
      </c>
      <c r="C3" s="2571" t="s">
        <v>2525</v>
      </c>
      <c r="D3" s="2574"/>
      <c r="E3" s="2575"/>
    </row>
    <row r="4" spans="1:6" ht="15.75">
      <c r="A4" s="2576"/>
      <c r="B4" s="2574"/>
      <c r="C4" s="2574"/>
      <c r="D4" s="2574"/>
      <c r="E4" s="2575"/>
    </row>
    <row r="5" spans="1:6" ht="15">
      <c r="A5" s="2577" t="s">
        <v>2519</v>
      </c>
      <c r="B5" s="3146" t="s">
        <v>2520</v>
      </c>
      <c r="C5" s="3146"/>
      <c r="D5" s="2578"/>
      <c r="E5" s="2579" t="s">
        <v>2521</v>
      </c>
      <c r="F5" s="2580" t="s">
        <v>2522</v>
      </c>
    </row>
    <row r="6" spans="1:6">
      <c r="A6" s="2581" t="str">
        <f>'数据-取费表'!AN6</f>
        <v>收益法</v>
      </c>
      <c r="B6" s="2580">
        <f ca="1">IF(F6="是",'数据-取费表'!AO6,0)</f>
        <v>286144</v>
      </c>
      <c r="C6" s="2571" t="s">
        <v>2517</v>
      </c>
      <c r="D6" s="2574"/>
      <c r="E6" s="2582">
        <f>IF(OR(A6=0,F6="否"),0,'数据-取费表'!K6+'数据-取费表'!S6)</f>
        <v>70181.87</v>
      </c>
      <c r="F6" s="2583" t="s">
        <v>2523</v>
      </c>
    </row>
    <row r="7" spans="1:6">
      <c r="A7" s="2581">
        <f>'数据-取费表'!AN7</f>
        <v>0</v>
      </c>
      <c r="B7" s="2580" t="e">
        <f ca="1">IF(F7="是",'数据-取费表'!AO7,0)</f>
        <v>#REF!</v>
      </c>
      <c r="C7" s="2571" t="s">
        <v>2517</v>
      </c>
      <c r="D7" s="2574"/>
      <c r="E7" s="2582">
        <f>IF(OR(A7=0,F7="否"),0,'数据-取费表'!K7+'数据-取费表'!S7)</f>
        <v>0</v>
      </c>
      <c r="F7" s="2583" t="s">
        <v>2523</v>
      </c>
    </row>
    <row r="8" spans="1:6">
      <c r="A8" s="2581">
        <f>'数据-取费表'!AN8</f>
        <v>0</v>
      </c>
      <c r="B8" s="2580" t="e">
        <f ca="1">IF(F8="是",'数据-取费表'!AO8,0)</f>
        <v>#REF!</v>
      </c>
      <c r="C8" s="2571" t="s">
        <v>2517</v>
      </c>
      <c r="D8" s="2574"/>
      <c r="E8" s="2582">
        <f>IF(OR(A8=0,F8="否"),0,'数据-取费表'!K8+'数据-取费表'!S8)</f>
        <v>0</v>
      </c>
      <c r="F8" s="2583" t="s">
        <v>2523</v>
      </c>
    </row>
    <row r="9" spans="1:6">
      <c r="A9" s="2581">
        <f>'数据-取费表'!AN9</f>
        <v>0</v>
      </c>
      <c r="B9" s="2580" t="e">
        <f ca="1">IF(F9="是",'数据-取费表'!AO9,0)</f>
        <v>#REF!</v>
      </c>
      <c r="C9" s="2571" t="s">
        <v>2517</v>
      </c>
      <c r="D9" s="2574"/>
      <c r="E9" s="2582">
        <f>IF(OR(A9=0,F9="否"),0,'数据-取费表'!K9+'数据-取费表'!S9)</f>
        <v>0</v>
      </c>
      <c r="F9" s="2583" t="s">
        <v>2523</v>
      </c>
    </row>
    <row r="10" spans="1:6">
      <c r="A10" s="2581">
        <f>'数据-取费表'!AN10</f>
        <v>0</v>
      </c>
      <c r="B10" s="2580" t="e">
        <f ca="1">IF(F10="是",'数据-取费表'!AO10,0)</f>
        <v>#REF!</v>
      </c>
      <c r="C10" s="2571" t="s">
        <v>2517</v>
      </c>
      <c r="D10" s="2574"/>
      <c r="E10" s="2582">
        <f>IF(OR(A10=0,F10="否"),0,'数据-取费表'!K10+'数据-取费表'!S10)</f>
        <v>0</v>
      </c>
      <c r="F10" s="2583" t="s">
        <v>2523</v>
      </c>
    </row>
    <row r="11" spans="1:6">
      <c r="A11" s="2581">
        <f>'数据-取费表'!AN11</f>
        <v>0</v>
      </c>
      <c r="B11" s="2580" t="e">
        <f ca="1">IF(F11="是",'数据-取费表'!AO11,0)</f>
        <v>#REF!</v>
      </c>
      <c r="C11" s="2571" t="s">
        <v>2517</v>
      </c>
      <c r="D11" s="2574"/>
      <c r="E11" s="2582">
        <f>IF(OR(A11=0,F11="否"),0,'数据-取费表'!K11+'数据-取费表'!S11)</f>
        <v>0</v>
      </c>
      <c r="F11" s="2583" t="s">
        <v>2523</v>
      </c>
    </row>
    <row r="12" spans="1:6">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3" t="s">
        <v>1075</v>
      </c>
      <c r="B1" s="3164"/>
      <c r="C1" s="3165"/>
      <c r="D1" s="3166">
        <f>SUM(I10,I15,I20,I21,I23)</f>
        <v>0</v>
      </c>
      <c r="E1" s="3166"/>
      <c r="F1" s="3166"/>
      <c r="G1" s="3166"/>
      <c r="H1" s="3166"/>
      <c r="I1" s="3167"/>
    </row>
    <row r="2" spans="1:9">
      <c r="A2" s="3153" t="s">
        <v>1076</v>
      </c>
      <c r="B2" s="3154" t="s">
        <v>1077</v>
      </c>
      <c r="C2" s="3154"/>
      <c r="D2" s="1304" t="s">
        <v>1078</v>
      </c>
      <c r="E2" s="1304" t="s">
        <v>1079</v>
      </c>
      <c r="F2" s="1304" t="s">
        <v>1080</v>
      </c>
      <c r="G2" s="1304" t="s">
        <v>1081</v>
      </c>
      <c r="H2" s="1304" t="s">
        <v>1082</v>
      </c>
      <c r="I2" s="1305" t="s">
        <v>1083</v>
      </c>
    </row>
    <row r="3" spans="1:9">
      <c r="A3" s="3153"/>
      <c r="B3" s="3154" t="s">
        <v>1084</v>
      </c>
      <c r="C3" s="3154"/>
      <c r="D3" s="1306"/>
      <c r="E3" s="1304"/>
      <c r="F3" s="1307"/>
      <c r="G3" s="1307"/>
      <c r="H3" s="1308"/>
      <c r="I3" s="1309">
        <f>ROUND(D3*E3*F3*G3*H3/10000,0)</f>
        <v>0</v>
      </c>
    </row>
    <row r="4" spans="1:9">
      <c r="A4" s="3153"/>
      <c r="B4" s="3154" t="s">
        <v>1085</v>
      </c>
      <c r="C4" s="3154"/>
      <c r="D4" s="1306"/>
      <c r="E4" s="1304"/>
      <c r="F4" s="1307"/>
      <c r="G4" s="1307"/>
      <c r="H4" s="1308"/>
      <c r="I4" s="1309">
        <f t="shared" ref="I4:I9" si="0">ROUND(D4*E4*F4*G4*H4/10000,0)</f>
        <v>0</v>
      </c>
    </row>
    <row r="5" spans="1:9">
      <c r="A5" s="3153"/>
      <c r="B5" s="3154" t="s">
        <v>1086</v>
      </c>
      <c r="C5" s="3154"/>
      <c r="D5" s="1306"/>
      <c r="E5" s="1304"/>
      <c r="F5" s="1307"/>
      <c r="G5" s="1307"/>
      <c r="H5" s="1308"/>
      <c r="I5" s="1309">
        <f t="shared" si="0"/>
        <v>0</v>
      </c>
    </row>
    <row r="6" spans="1:9">
      <c r="A6" s="3153"/>
      <c r="B6" s="3154" t="s">
        <v>1087</v>
      </c>
      <c r="C6" s="3154"/>
      <c r="D6" s="1306"/>
      <c r="E6" s="1304"/>
      <c r="F6" s="1307"/>
      <c r="G6" s="1307"/>
      <c r="H6" s="1308"/>
      <c r="I6" s="1309">
        <f t="shared" si="0"/>
        <v>0</v>
      </c>
    </row>
    <row r="7" spans="1:9">
      <c r="A7" s="3153"/>
      <c r="B7" s="3154" t="s">
        <v>1088</v>
      </c>
      <c r="C7" s="3154"/>
      <c r="D7" s="1306"/>
      <c r="E7" s="1304"/>
      <c r="F7" s="1307"/>
      <c r="G7" s="1307"/>
      <c r="H7" s="1308"/>
      <c r="I7" s="1309">
        <f t="shared" si="0"/>
        <v>0</v>
      </c>
    </row>
    <row r="8" spans="1:9">
      <c r="A8" s="3153"/>
      <c r="B8" s="3154" t="s">
        <v>1089</v>
      </c>
      <c r="C8" s="3154"/>
      <c r="D8" s="1306"/>
      <c r="E8" s="1304"/>
      <c r="F8" s="1307"/>
      <c r="G8" s="1307"/>
      <c r="H8" s="1308"/>
      <c r="I8" s="1309">
        <f t="shared" si="0"/>
        <v>0</v>
      </c>
    </row>
    <row r="9" spans="1:9">
      <c r="A9" s="3153"/>
      <c r="B9" s="3154" t="s">
        <v>1090</v>
      </c>
      <c r="C9" s="3154"/>
      <c r="D9" s="1306"/>
      <c r="E9" s="1304"/>
      <c r="F9" s="1307"/>
      <c r="G9" s="1307"/>
      <c r="H9" s="1308"/>
      <c r="I9" s="1309">
        <f t="shared" si="0"/>
        <v>0</v>
      </c>
    </row>
    <row r="10" spans="1:9">
      <c r="A10" s="3153"/>
      <c r="B10" s="3155" t="s">
        <v>1091</v>
      </c>
      <c r="C10" s="3155"/>
      <c r="D10" s="1310"/>
      <c r="E10" s="1310" t="e">
        <f>ROUND(D1*10000/D10/H9,0)</f>
        <v>#DIV/0!</v>
      </c>
      <c r="F10" s="1311"/>
      <c r="G10" s="1311"/>
      <c r="H10" s="1312"/>
      <c r="I10" s="1313">
        <f>SUM(I3:I9)</f>
        <v>0</v>
      </c>
    </row>
    <row r="11" spans="1:9" ht="14.25">
      <c r="A11" s="3153" t="s">
        <v>1092</v>
      </c>
      <c r="B11" s="3154" t="s">
        <v>1093</v>
      </c>
      <c r="C11" s="3154"/>
      <c r="D11" s="1306" t="s">
        <v>1094</v>
      </c>
      <c r="E11" s="1306" t="s">
        <v>1095</v>
      </c>
      <c r="F11" s="1307" t="s">
        <v>1096</v>
      </c>
      <c r="G11" s="1307" t="s">
        <v>1082</v>
      </c>
      <c r="H11" s="1314" t="s">
        <v>1097</v>
      </c>
      <c r="I11" s="1305" t="s">
        <v>1083</v>
      </c>
    </row>
    <row r="12" spans="1:9">
      <c r="A12" s="3153"/>
      <c r="B12" s="3154" t="s">
        <v>1098</v>
      </c>
      <c r="C12" s="3154"/>
      <c r="D12" s="1306"/>
      <c r="E12" s="1306"/>
      <c r="F12" s="1307"/>
      <c r="G12" s="1308"/>
      <c r="H12" s="1315"/>
      <c r="I12" s="1305">
        <f>ROUND(D12*E12*F12*G12/10000,0)</f>
        <v>0</v>
      </c>
    </row>
    <row r="13" spans="1:9">
      <c r="A13" s="3153"/>
      <c r="B13" s="3154" t="s">
        <v>1099</v>
      </c>
      <c r="C13" s="3154"/>
      <c r="D13" s="1306"/>
      <c r="E13" s="1306"/>
      <c r="F13" s="1307"/>
      <c r="G13" s="1308"/>
      <c r="H13" s="1315"/>
      <c r="I13" s="1305">
        <f>ROUND(D13*E13*F13*G13/10000,0)</f>
        <v>0</v>
      </c>
    </row>
    <row r="14" spans="1:9">
      <c r="A14" s="3153"/>
      <c r="B14" s="3154" t="s">
        <v>1100</v>
      </c>
      <c r="C14" s="3154"/>
      <c r="D14" s="1306"/>
      <c r="E14" s="1306"/>
      <c r="F14" s="1307"/>
      <c r="G14" s="1308"/>
      <c r="H14" s="1315"/>
      <c r="I14" s="1305">
        <f>ROUND(D14*E14*F14*G14/10000,0)</f>
        <v>0</v>
      </c>
    </row>
    <row r="15" spans="1:9">
      <c r="A15" s="3153"/>
      <c r="B15" s="3155" t="s">
        <v>1091</v>
      </c>
      <c r="C15" s="3155"/>
      <c r="D15" s="1310"/>
      <c r="E15" s="1310">
        <f>SUM(E12:E14)</f>
        <v>0</v>
      </c>
      <c r="F15" s="1311"/>
      <c r="G15" s="1308"/>
      <c r="H15" s="1315"/>
      <c r="I15" s="1316">
        <f>SUM(I12:I14)</f>
        <v>0</v>
      </c>
    </row>
    <row r="16" spans="1:9" ht="24">
      <c r="A16" s="3153" t="s">
        <v>1101</v>
      </c>
      <c r="B16" s="3154" t="s">
        <v>1102</v>
      </c>
      <c r="C16" s="3154"/>
      <c r="D16" s="1306" t="s">
        <v>1078</v>
      </c>
      <c r="E16" s="1317" t="s">
        <v>1103</v>
      </c>
      <c r="F16" s="1307" t="s">
        <v>1104</v>
      </c>
      <c r="G16" s="1308" t="s">
        <v>1082</v>
      </c>
      <c r="H16" s="1314" t="s">
        <v>1097</v>
      </c>
      <c r="I16" s="1305" t="s">
        <v>1083</v>
      </c>
    </row>
    <row r="17" spans="1:9" ht="14.25">
      <c r="A17" s="3153"/>
      <c r="B17" s="3154" t="s">
        <v>1105</v>
      </c>
      <c r="C17" s="3154"/>
      <c r="D17" s="1306"/>
      <c r="E17" s="1306"/>
      <c r="F17" s="1307"/>
      <c r="G17" s="1308"/>
      <c r="H17" s="1318"/>
      <c r="I17" s="1319">
        <f>ROUND(D17*E17*F17*G17/10000,0)</f>
        <v>0</v>
      </c>
    </row>
    <row r="18" spans="1:9" ht="14.25">
      <c r="A18" s="3153"/>
      <c r="B18" s="3154" t="s">
        <v>1106</v>
      </c>
      <c r="C18" s="3154"/>
      <c r="D18" s="1306"/>
      <c r="E18" s="1306"/>
      <c r="F18" s="1307"/>
      <c r="G18" s="1308"/>
      <c r="H18" s="1318"/>
      <c r="I18" s="1319">
        <f>ROUND(D18*E18*F18*G18/10000,0)</f>
        <v>0</v>
      </c>
    </row>
    <row r="19" spans="1:9" ht="14.25">
      <c r="A19" s="3153"/>
      <c r="B19" s="3154" t="s">
        <v>1107</v>
      </c>
      <c r="C19" s="3154"/>
      <c r="D19" s="1306"/>
      <c r="E19" s="1306"/>
      <c r="F19" s="1307"/>
      <c r="G19" s="1308"/>
      <c r="H19" s="1318"/>
      <c r="I19" s="1319">
        <f>ROUND(D19*E19*F19*G19/10000,0)</f>
        <v>0</v>
      </c>
    </row>
    <row r="20" spans="1:9">
      <c r="A20" s="3153"/>
      <c r="B20" s="3155" t="s">
        <v>1091</v>
      </c>
      <c r="C20" s="3155"/>
      <c r="D20" s="1310">
        <f>SUM(D17:D19)</f>
        <v>0</v>
      </c>
      <c r="E20" s="1310"/>
      <c r="F20" s="1311"/>
      <c r="G20" s="1308"/>
      <c r="H20" s="1315"/>
      <c r="I20" s="1316">
        <f>SUM(I17:I19)</f>
        <v>0</v>
      </c>
    </row>
    <row r="21" spans="1:9">
      <c r="A21" s="3153" t="s">
        <v>1108</v>
      </c>
      <c r="B21" s="3156"/>
      <c r="C21" s="3156"/>
      <c r="D21" s="3156"/>
      <c r="E21" s="3156"/>
      <c r="F21" s="3156"/>
      <c r="G21" s="3156"/>
      <c r="H21" s="1768">
        <v>0.1</v>
      </c>
      <c r="I21" s="1313">
        <f>ROUND(I10*H21,0)</f>
        <v>0</v>
      </c>
    </row>
    <row r="22" spans="1:9" ht="14.25">
      <c r="A22" s="3157" t="s">
        <v>1109</v>
      </c>
      <c r="B22" s="3158"/>
      <c r="C22" s="3159"/>
      <c r="D22" s="1320" t="s">
        <v>1110</v>
      </c>
      <c r="E22" s="1320" t="s">
        <v>1111</v>
      </c>
      <c r="F22" s="1321" t="s">
        <v>1112</v>
      </c>
      <c r="G22" s="1321" t="s">
        <v>1113</v>
      </c>
      <c r="H22" s="1314" t="s">
        <v>1114</v>
      </c>
      <c r="I22" s="1305" t="s">
        <v>1115</v>
      </c>
    </row>
    <row r="23" spans="1:9" ht="14.25" thickBot="1">
      <c r="A23" s="3160"/>
      <c r="B23" s="3161"/>
      <c r="C23" s="3162"/>
      <c r="D23" s="1322"/>
      <c r="E23" s="1322"/>
      <c r="F23" s="1322"/>
      <c r="G23" s="1323"/>
      <c r="H23" s="1324"/>
      <c r="I23" s="1325">
        <f>ROUND(E23*D23*F23*(1-G23)/10000,0)</f>
        <v>0</v>
      </c>
    </row>
    <row r="26" spans="1:9">
      <c r="A26" s="1326" t="s">
        <v>1116</v>
      </c>
      <c r="B26" s="1326"/>
      <c r="C26" s="1326"/>
      <c r="D26" s="1326"/>
      <c r="E26" s="3150">
        <f>C27-C30-C31-C32</f>
        <v>0</v>
      </c>
      <c r="F26" s="3150"/>
      <c r="G26" s="3150"/>
      <c r="H26" s="1740" t="s">
        <v>1339</v>
      </c>
    </row>
    <row r="27" spans="1:9">
      <c r="A27" s="1327">
        <v>1</v>
      </c>
      <c r="B27" s="1328" t="s">
        <v>1117</v>
      </c>
      <c r="C27" s="1328">
        <f>C28+C29</f>
        <v>0</v>
      </c>
      <c r="D27" s="1328"/>
      <c r="E27" s="3151"/>
      <c r="F27" s="3151"/>
      <c r="G27" s="3151"/>
    </row>
    <row r="28" spans="1:9">
      <c r="A28" s="1329" t="s">
        <v>1118</v>
      </c>
      <c r="B28" s="1328" t="s">
        <v>1119</v>
      </c>
      <c r="C28" s="1328"/>
      <c r="D28" s="1328"/>
      <c r="E28" s="3151"/>
      <c r="F28" s="3151"/>
      <c r="G28" s="3151"/>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52"/>
      <c r="F32" s="3152"/>
      <c r="G32" s="3152"/>
    </row>
    <row r="33" spans="1:7" hidden="1">
      <c r="A33" s="3147" t="s">
        <v>1128</v>
      </c>
      <c r="B33" s="3148"/>
      <c r="C33" s="3148"/>
      <c r="D33" s="3149"/>
      <c r="E33" s="3150"/>
      <c r="F33" s="3150"/>
      <c r="G33" s="3150"/>
    </row>
    <row r="34" spans="1:7" hidden="1">
      <c r="A34" s="1331">
        <v>1</v>
      </c>
      <c r="B34" s="1328" t="s">
        <v>1129</v>
      </c>
      <c r="C34" s="1328"/>
      <c r="D34" s="1328"/>
      <c r="E34" s="3151"/>
      <c r="F34" s="3151"/>
      <c r="G34" s="3151"/>
    </row>
    <row r="35" spans="1:7" hidden="1">
      <c r="A35" s="1331">
        <v>2</v>
      </c>
      <c r="B35" s="1328" t="s">
        <v>1130</v>
      </c>
      <c r="C35" s="1328"/>
      <c r="D35" s="1328"/>
      <c r="E35" s="3151"/>
      <c r="F35" s="3151"/>
      <c r="G35" s="3151"/>
    </row>
    <row r="36" spans="1:7" hidden="1">
      <c r="A36" s="1331">
        <v>3</v>
      </c>
      <c r="B36" s="1328" t="s">
        <v>1131</v>
      </c>
      <c r="C36" s="1328"/>
      <c r="D36" s="1328"/>
      <c r="E36" s="3151"/>
      <c r="F36" s="3151"/>
      <c r="G36" s="3151"/>
    </row>
    <row r="37" spans="1:7" hidden="1">
      <c r="A37" s="1331">
        <v>4</v>
      </c>
      <c r="B37" s="1328" t="s">
        <v>1132</v>
      </c>
      <c r="C37" s="1328"/>
      <c r="D37" s="1328"/>
      <c r="E37" s="3151"/>
      <c r="F37" s="3151"/>
      <c r="G37" s="3151"/>
    </row>
    <row r="38" spans="1:7" hidden="1">
      <c r="A38" s="3147" t="s">
        <v>1133</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2527</v>
      </c>
      <c r="C1" s="1637" t="s">
        <v>2528</v>
      </c>
      <c r="D1" s="1624"/>
      <c r="E1" s="2588"/>
      <c r="F1" s="2589" t="s">
        <v>2529</v>
      </c>
      <c r="G1" s="1634" t="s">
        <v>2530</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1394</v>
      </c>
      <c r="B3" s="399" t="e">
        <f ca="1">IF(C2="——",C49,ROUND(B2*10000/D3,0))</f>
        <v>#DIV/0!</v>
      </c>
      <c r="C3" s="400" t="s">
        <v>2532</v>
      </c>
      <c r="D3" s="399">
        <f>IF(D1="",'数据-汇总表'!E3,SUMIF('数据-汇总表'!$C19:$C33,D1,'数据-汇总表'!$E19:$E33))</f>
        <v>70181.87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2533</v>
      </c>
      <c r="B4" s="402"/>
      <c r="C4" s="3186" t="s">
        <v>2534</v>
      </c>
      <c r="D4" s="3187"/>
      <c r="E4" s="3188" t="s">
        <v>2535</v>
      </c>
      <c r="F4" s="3189"/>
      <c r="G4" s="3186" t="s">
        <v>2536</v>
      </c>
      <c r="H4" s="3187"/>
      <c r="I4" s="3186" t="s">
        <v>2537</v>
      </c>
      <c r="J4" s="3187"/>
      <c r="K4" s="2601" t="s">
        <v>2538</v>
      </c>
      <c r="L4" s="1133"/>
      <c r="M4" s="1134"/>
      <c r="N4" s="1134"/>
      <c r="O4" s="1134"/>
      <c r="P4" s="3190" t="s">
        <v>2539</v>
      </c>
      <c r="Q4" s="3191"/>
      <c r="R4" s="3196" t="s">
        <v>2535</v>
      </c>
      <c r="S4" s="3197"/>
      <c r="T4" s="3196" t="s">
        <v>2536</v>
      </c>
      <c r="U4" s="3197"/>
      <c r="V4" s="3202" t="s">
        <v>2537</v>
      </c>
      <c r="W4" s="3202"/>
      <c r="X4" s="1816"/>
      <c r="Y4" s="3196" t="s">
        <v>2539</v>
      </c>
      <c r="Z4" s="3197"/>
      <c r="AA4" s="3183" t="s">
        <v>2535</v>
      </c>
      <c r="AB4" s="3183" t="s">
        <v>2536</v>
      </c>
      <c r="AC4" s="3183" t="s">
        <v>2537</v>
      </c>
    </row>
    <row r="5" spans="1:29" ht="15">
      <c r="A5" s="404"/>
      <c r="B5" s="405"/>
      <c r="C5" s="3205" t="s">
        <v>2540</v>
      </c>
      <c r="D5" s="3206"/>
      <c r="E5" s="3212" t="s">
        <v>2541</v>
      </c>
      <c r="F5" s="3213"/>
      <c r="G5" s="3205" t="s">
        <v>2542</v>
      </c>
      <c r="H5" s="3206"/>
      <c r="I5" s="3205" t="s">
        <v>2543</v>
      </c>
      <c r="J5" s="3206"/>
      <c r="K5" s="2602"/>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2544</v>
      </c>
      <c r="D6" s="3204"/>
      <c r="E6" s="3210" t="s">
        <v>2544</v>
      </c>
      <c r="F6" s="3211"/>
      <c r="G6" s="3203" t="s">
        <v>2544</v>
      </c>
      <c r="H6" s="3204"/>
      <c r="I6" s="3203" t="s">
        <v>2544</v>
      </c>
      <c r="J6" s="3204"/>
      <c r="K6" s="2602" t="s">
        <v>2545</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2546</v>
      </c>
      <c r="B7" s="409"/>
      <c r="C7" s="410">
        <f>'数据-取费表'!B2</f>
        <v>43157</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7" t="s">
        <v>2547</v>
      </c>
      <c r="Q7" s="3209"/>
      <c r="R7" s="770" t="s">
        <v>23</v>
      </c>
      <c r="S7" s="771">
        <f t="shared" ref="S7:S15" si="0">F7</f>
        <v>0</v>
      </c>
      <c r="T7" s="770" t="s">
        <v>23</v>
      </c>
      <c r="U7" s="771">
        <f t="shared" ref="U7:U15" si="1">H7</f>
        <v>0</v>
      </c>
      <c r="V7" s="770" t="s">
        <v>23</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7" t="s">
        <v>2550</v>
      </c>
      <c r="Q8" s="3208"/>
      <c r="R8" s="770" t="s">
        <v>23</v>
      </c>
      <c r="S8" s="771">
        <f t="shared" si="0"/>
        <v>0</v>
      </c>
      <c r="T8" s="770" t="s">
        <v>23</v>
      </c>
      <c r="U8" s="771">
        <f t="shared" si="1"/>
        <v>0</v>
      </c>
      <c r="V8" s="770" t="s">
        <v>23</v>
      </c>
      <c r="W8" s="771">
        <f t="shared" si="2"/>
        <v>0</v>
      </c>
      <c r="X8" s="772"/>
      <c r="Y8" s="3207" t="s">
        <v>2550</v>
      </c>
      <c r="Z8" s="320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2"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2557</v>
      </c>
      <c r="B15" s="69" t="s">
        <v>2086</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2558</v>
      </c>
      <c r="Q15" s="1813" t="str">
        <f t="shared" si="6"/>
        <v>居住社区成熟度</v>
      </c>
      <c r="R15" s="774" t="s">
        <v>21</v>
      </c>
      <c r="S15" s="775">
        <f t="shared" si="0"/>
        <v>100</v>
      </c>
      <c r="T15" s="774" t="s">
        <v>21</v>
      </c>
      <c r="U15" s="775">
        <f t="shared" si="1"/>
        <v>100</v>
      </c>
      <c r="V15" s="774" t="s">
        <v>21</v>
      </c>
      <c r="W15" s="775">
        <f t="shared" si="2"/>
        <v>100</v>
      </c>
      <c r="X15" s="1816"/>
      <c r="Y15" s="3173" t="s">
        <v>2558</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2093</v>
      </c>
      <c r="C19" s="2612"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2096</v>
      </c>
      <c r="C21" s="2612"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2100</v>
      </c>
      <c r="C23" s="2612" t="str">
        <f>估价对象房地状况!C9</f>
        <v>区域自然环境：天元公园；人文环境；综合评价环境状况一般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5" t="s">
        <v>2563</v>
      </c>
      <c r="Q32" s="1813" t="str">
        <f t="shared" si="11"/>
        <v>建筑类型</v>
      </c>
      <c r="R32" s="774" t="s">
        <v>21</v>
      </c>
      <c r="S32" s="775">
        <f t="shared" si="12"/>
        <v>100</v>
      </c>
      <c r="T32" s="774" t="s">
        <v>21</v>
      </c>
      <c r="U32" s="775">
        <f t="shared" si="13"/>
        <v>100</v>
      </c>
      <c r="V32" s="774" t="s">
        <v>21</v>
      </c>
      <c r="W32" s="775">
        <f t="shared" si="14"/>
        <v>100</v>
      </c>
      <c r="X32" s="1816"/>
      <c r="Y32" s="3178"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6" t="s">
        <v>2563</v>
      </c>
      <c r="Q38" s="1813" t="str">
        <f t="shared" si="11"/>
        <v>物业管理</v>
      </c>
      <c r="R38" s="774" t="s">
        <v>21</v>
      </c>
      <c r="S38" s="775">
        <f t="shared" si="12"/>
        <v>100</v>
      </c>
      <c r="T38" s="774" t="s">
        <v>21</v>
      </c>
      <c r="U38" s="775">
        <f t="shared" si="13"/>
        <v>100</v>
      </c>
      <c r="V38" s="774" t="s">
        <v>21</v>
      </c>
      <c r="W38" s="775">
        <f t="shared" si="14"/>
        <v>100</v>
      </c>
      <c r="X38" s="1816"/>
      <c r="Y38" s="3178" t="s">
        <v>2563</v>
      </c>
      <c r="Z38" s="1817" t="str">
        <f t="shared" si="18"/>
        <v>物业管理</v>
      </c>
      <c r="AA38" s="1814">
        <f t="shared" si="15"/>
        <v>1</v>
      </c>
      <c r="AB38" s="1814">
        <f t="shared" si="16"/>
        <v>1</v>
      </c>
      <c r="AC38" s="1814">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6"/>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7"/>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8"/>
      <c r="L49" s="1146"/>
      <c r="M49" s="1147"/>
      <c r="N49" s="1147"/>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1"/>
      <c r="Q57" s="504"/>
    </row>
    <row r="58" spans="1:29" s="508" customFormat="1" ht="15">
      <c r="A58" s="505" t="s">
        <v>2582</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2584</v>
      </c>
      <c r="B61" s="510"/>
      <c r="C61" s="522" t="s">
        <v>2585</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2609</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2561</v>
      </c>
      <c r="B100" s="528" t="s">
        <v>2610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5.75"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c r="B147" s="2642" t="s">
        <v>2638</v>
      </c>
    </row>
    <row r="148" spans="2:11">
      <c r="B148" s="264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2640</v>
      </c>
      <c r="C1" s="1637" t="s">
        <v>2528</v>
      </c>
      <c r="D1" s="1624"/>
      <c r="E1" s="2662"/>
      <c r="F1" s="2589"/>
      <c r="G1" s="1634" t="s">
        <v>2641</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2325</v>
      </c>
      <c r="B2" s="1421" t="e">
        <f ca="1">IF(C2="——",ROUND(C49*D3/10000,0),ROUND(C49*D3/10000,0)-D2)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2327</v>
      </c>
      <c r="B3" s="609" t="e">
        <f ca="1">IF(C2="——",C49,ROUND(B2*10000/D3,0))</f>
        <v>#DIV/0!</v>
      </c>
      <c r="C3" s="400" t="s">
        <v>2642</v>
      </c>
      <c r="D3" s="399">
        <f>IF(D1="",'数据-汇总表'!E3,SUMIF('数据-汇总表'!$C19:$C33,D1,'数据-汇总表'!$E19:$E33))</f>
        <v>70181.87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202" t="s">
        <v>2646</v>
      </c>
      <c r="AC4" s="3183" t="s">
        <v>2647</v>
      </c>
    </row>
    <row r="5" spans="1:29"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202"/>
      <c r="AC5" s="3184"/>
    </row>
    <row r="6" spans="1:29" ht="15.75" thickBot="1">
      <c r="A6" s="406"/>
      <c r="B6" s="407"/>
      <c r="C6" s="3203" t="s">
        <v>2544</v>
      </c>
      <c r="D6" s="3204"/>
      <c r="E6" s="3210" t="s">
        <v>2544</v>
      </c>
      <c r="F6" s="3211"/>
      <c r="G6" s="3203" t="s">
        <v>2544</v>
      </c>
      <c r="H6" s="3204"/>
      <c r="I6" s="3203" t="s">
        <v>2544</v>
      </c>
      <c r="J6" s="3204"/>
      <c r="K6" s="610" t="s">
        <v>2545</v>
      </c>
      <c r="L6" s="1133"/>
      <c r="M6" s="1134"/>
      <c r="N6" s="1134"/>
      <c r="O6" s="1134"/>
      <c r="P6" s="3194"/>
      <c r="Q6" s="3195"/>
      <c r="R6" s="3198"/>
      <c r="S6" s="3199"/>
      <c r="T6" s="3200"/>
      <c r="U6" s="3201"/>
      <c r="V6" s="3202"/>
      <c r="W6" s="3202"/>
      <c r="X6" s="1816"/>
      <c r="Y6" s="3200"/>
      <c r="Z6" s="3201"/>
      <c r="AA6" s="3185"/>
      <c r="AB6" s="3202"/>
      <c r="AC6" s="3185"/>
    </row>
    <row r="7" spans="1:29" s="117" customFormat="1" ht="15.75" thickBot="1">
      <c r="A7" s="408" t="s">
        <v>2546</v>
      </c>
      <c r="B7" s="409"/>
      <c r="C7" s="410">
        <f>'数据-取费表'!B2</f>
        <v>43157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2547</v>
      </c>
      <c r="Q7" s="3209"/>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2557</v>
      </c>
      <c r="B15" s="69" t="s">
        <v>2651</v>
      </c>
      <c r="C15" s="2608" t="str">
        <f>估价对象房地状况!C4</f>
        <v>估价对象位于XX商圈，周边商业氛围成熟，人流量大，商业繁华度一般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2558</v>
      </c>
      <c r="Q15" s="1813" t="str">
        <f t="shared" si="6"/>
        <v>商业繁华度</v>
      </c>
      <c r="R15" s="774" t="s">
        <v>17</v>
      </c>
      <c r="S15" s="775">
        <f t="shared" si="0"/>
        <v>100</v>
      </c>
      <c r="T15" s="774" t="s">
        <v>17</v>
      </c>
      <c r="U15" s="775">
        <f t="shared" si="1"/>
        <v>100</v>
      </c>
      <c r="V15" s="774" t="s">
        <v>17</v>
      </c>
      <c r="W15" s="775">
        <f t="shared" si="2"/>
        <v>100</v>
      </c>
      <c r="X15" s="1816"/>
      <c r="Y15" s="3173"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2652</v>
      </c>
      <c r="C19" s="2612"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2653</v>
      </c>
      <c r="C21" s="2612"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2100</v>
      </c>
      <c r="C23" s="2669" t="str">
        <f>估价对象房地状况!C9</f>
        <v>区域自然环境：天元公园；人文环境；综合评价环境状况一般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5" t="s">
        <v>2563</v>
      </c>
      <c r="Q32" s="1813" t="str">
        <f t="shared" si="11"/>
        <v>商业类型</v>
      </c>
      <c r="R32" s="774" t="s">
        <v>17</v>
      </c>
      <c r="S32" s="775">
        <f t="shared" si="12"/>
        <v>100</v>
      </c>
      <c r="T32" s="774" t="s">
        <v>17</v>
      </c>
      <c r="U32" s="775">
        <f t="shared" si="13"/>
        <v>100</v>
      </c>
      <c r="V32" s="774" t="s">
        <v>17</v>
      </c>
      <c r="W32" s="775">
        <f t="shared" si="14"/>
        <v>100</v>
      </c>
      <c r="X32" s="1816"/>
      <c r="Y32" s="3178"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6" t="s">
        <v>2563</v>
      </c>
      <c r="Q38" s="1813" t="str">
        <f t="shared" si="11"/>
        <v>业态</v>
      </c>
      <c r="R38" s="774" t="s">
        <v>17</v>
      </c>
      <c r="S38" s="775">
        <f t="shared" si="12"/>
        <v>100</v>
      </c>
      <c r="T38" s="774" t="s">
        <v>17</v>
      </c>
      <c r="U38" s="775">
        <f t="shared" si="13"/>
        <v>100</v>
      </c>
      <c r="V38" s="774" t="s">
        <v>17</v>
      </c>
      <c r="W38" s="775">
        <f t="shared" si="14"/>
        <v>100</v>
      </c>
      <c r="X38" s="1816"/>
      <c r="Y38" s="3178" t="s">
        <v>2563</v>
      </c>
      <c r="Z38" s="1817" t="str">
        <f t="shared" si="15"/>
        <v>业态</v>
      </c>
      <c r="AA38" s="1814">
        <f t="shared" si="3"/>
        <v>1</v>
      </c>
      <c r="AB38" s="1814">
        <f t="shared" si="4"/>
        <v>1</v>
      </c>
      <c r="AC38" s="1814">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2546</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2548</v>
      </c>
      <c r="B61" s="510"/>
      <c r="C61" s="522" t="s">
        <v>2650</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2561</v>
      </c>
      <c r="B100" s="528" t="s">
        <v>2679</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2684</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70181.87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220" t="s">
        <v>2649</v>
      </c>
      <c r="Q4" s="3221"/>
      <c r="R4" s="3224" t="s">
        <v>2645</v>
      </c>
      <c r="S4" s="3225"/>
      <c r="T4" s="3224" t="s">
        <v>2646</v>
      </c>
      <c r="U4" s="3225"/>
      <c r="V4" s="3226" t="s">
        <v>2647</v>
      </c>
      <c r="W4" s="3226"/>
      <c r="X4" s="2675"/>
      <c r="Y4" s="3224" t="s">
        <v>2649</v>
      </c>
      <c r="Z4" s="3225"/>
      <c r="AA4" s="3228" t="s">
        <v>2645</v>
      </c>
      <c r="AB4" s="3228" t="s">
        <v>2646</v>
      </c>
      <c r="AC4" s="3217" t="s">
        <v>2647</v>
      </c>
    </row>
    <row r="5" spans="1:29" ht="15">
      <c r="A5" s="404"/>
      <c r="B5" s="405"/>
      <c r="C5" s="3205" t="s">
        <v>2540</v>
      </c>
      <c r="D5" s="3206"/>
      <c r="E5" s="3212" t="s">
        <v>2541</v>
      </c>
      <c r="F5" s="3213"/>
      <c r="G5" s="3205" t="s">
        <v>2542</v>
      </c>
      <c r="H5" s="3206"/>
      <c r="I5" s="3205" t="s">
        <v>2543</v>
      </c>
      <c r="J5" s="3206"/>
      <c r="K5" s="610"/>
      <c r="L5" s="1133"/>
      <c r="M5" s="1134"/>
      <c r="N5" s="1134"/>
      <c r="O5" s="1134"/>
      <c r="P5" s="3222"/>
      <c r="Q5" s="3193"/>
      <c r="R5" s="3198"/>
      <c r="S5" s="3199"/>
      <c r="T5" s="3198"/>
      <c r="U5" s="3199"/>
      <c r="V5" s="3202"/>
      <c r="W5" s="3202"/>
      <c r="X5" s="1816"/>
      <c r="Y5" s="3198"/>
      <c r="Z5" s="3199"/>
      <c r="AA5" s="3184"/>
      <c r="AB5" s="3184"/>
      <c r="AC5" s="3218"/>
    </row>
    <row r="6" spans="1:29" ht="15.75" thickBot="1">
      <c r="A6" s="406"/>
      <c r="B6" s="407"/>
      <c r="C6" s="3203" t="s">
        <v>2544</v>
      </c>
      <c r="D6" s="3204"/>
      <c r="E6" s="3210" t="s">
        <v>2544</v>
      </c>
      <c r="F6" s="3211"/>
      <c r="G6" s="3203" t="s">
        <v>2544</v>
      </c>
      <c r="H6" s="3204"/>
      <c r="I6" s="3203" t="s">
        <v>2544</v>
      </c>
      <c r="J6" s="3204"/>
      <c r="K6" s="610" t="s">
        <v>2545</v>
      </c>
      <c r="L6" s="1133"/>
      <c r="M6" s="1134"/>
      <c r="N6" s="1134"/>
      <c r="O6" s="1134"/>
      <c r="P6" s="3223"/>
      <c r="Q6" s="3195"/>
      <c r="R6" s="3198"/>
      <c r="S6" s="3199"/>
      <c r="T6" s="3200"/>
      <c r="U6" s="3201"/>
      <c r="V6" s="3202"/>
      <c r="W6" s="3202"/>
      <c r="X6" s="1816"/>
      <c r="Y6" s="3200"/>
      <c r="Z6" s="3201"/>
      <c r="AA6" s="3185"/>
      <c r="AB6" s="3185"/>
      <c r="AC6" s="3219"/>
    </row>
    <row r="7" spans="1:29" s="117" customFormat="1" ht="15.75" thickBot="1">
      <c r="A7" s="408" t="s">
        <v>2546</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2547</v>
      </c>
      <c r="Q7" s="3209"/>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2676"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2550</v>
      </c>
      <c r="Q8" s="3208"/>
      <c r="R8" s="770" t="s">
        <v>17</v>
      </c>
      <c r="S8" s="771">
        <f t="shared" si="0"/>
        <v>0</v>
      </c>
      <c r="T8" s="770" t="s">
        <v>17</v>
      </c>
      <c r="U8" s="771">
        <f t="shared" si="1"/>
        <v>0</v>
      </c>
      <c r="V8" s="770" t="s">
        <v>17</v>
      </c>
      <c r="W8" s="771">
        <f t="shared" si="2"/>
        <v>0</v>
      </c>
      <c r="X8" s="772"/>
      <c r="Y8" s="3207" t="s">
        <v>2550</v>
      </c>
      <c r="Z8" s="3208"/>
      <c r="AA8" s="773" t="e">
        <f t="shared" ref="AA8:AA47" si="3">D8/F8</f>
        <v>#DIV/0!</v>
      </c>
      <c r="AB8" s="773" t="e">
        <f t="shared" ref="AB8:AB47" si="4">D8/H8</f>
        <v>#DIV/0!</v>
      </c>
      <c r="AC8" s="2676"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2676">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6">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6">
        <f t="shared" si="5"/>
        <v>1</v>
      </c>
    </row>
    <row r="15" spans="1:29" ht="71.25">
      <c r="A15" s="440" t="s">
        <v>2557</v>
      </c>
      <c r="B15" s="629" t="s">
        <v>2685</v>
      </c>
      <c r="C15" s="267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2558</v>
      </c>
      <c r="Q15" s="1813" t="str">
        <f t="shared" si="6"/>
        <v>办公集聚程度</v>
      </c>
      <c r="R15" s="774" t="s">
        <v>17</v>
      </c>
      <c r="S15" s="775">
        <f t="shared" si="0"/>
        <v>100</v>
      </c>
      <c r="T15" s="774" t="s">
        <v>17</v>
      </c>
      <c r="U15" s="775">
        <f t="shared" si="1"/>
        <v>100</v>
      </c>
      <c r="V15" s="774" t="s">
        <v>17</v>
      </c>
      <c r="W15" s="775">
        <f t="shared" si="2"/>
        <v>100</v>
      </c>
      <c r="X15" s="1816"/>
      <c r="Y15" s="3173" t="s">
        <v>2558</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2679">
        <v>1</v>
      </c>
    </row>
    <row r="17" spans="1:29" ht="71.25">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81"/>
      <c r="Q18" s="1813"/>
      <c r="R18" s="774"/>
      <c r="S18" s="775"/>
      <c r="T18" s="774"/>
      <c r="U18" s="775"/>
      <c r="V18" s="774"/>
      <c r="W18" s="775"/>
      <c r="X18" s="1816"/>
      <c r="Y18" s="3174"/>
      <c r="Z18" s="1817"/>
      <c r="AA18" s="1814">
        <v>1</v>
      </c>
      <c r="AB18" s="1814">
        <v>1</v>
      </c>
      <c r="AC18" s="2679">
        <v>1</v>
      </c>
    </row>
    <row r="19" spans="1:29" ht="42.75">
      <c r="A19" s="428"/>
      <c r="B19" s="631" t="s">
        <v>2686</v>
      </c>
      <c r="C19" s="2680"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81"/>
      <c r="Q20" s="1813"/>
      <c r="R20" s="774"/>
      <c r="S20" s="775"/>
      <c r="T20" s="774"/>
      <c r="U20" s="775"/>
      <c r="V20" s="774"/>
      <c r="W20" s="775"/>
      <c r="X20" s="1816"/>
      <c r="Y20" s="3174"/>
      <c r="Z20" s="1817"/>
      <c r="AA20" s="1814">
        <v>1</v>
      </c>
      <c r="AB20" s="1814">
        <v>1</v>
      </c>
      <c r="AC20" s="2679">
        <v>1</v>
      </c>
    </row>
    <row r="21" spans="1:29" ht="28.5">
      <c r="A21" s="428"/>
      <c r="B21" s="633" t="s">
        <v>2687</v>
      </c>
      <c r="C21" s="268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81"/>
      <c r="Q22" s="1813"/>
      <c r="R22" s="774"/>
      <c r="S22" s="775"/>
      <c r="T22" s="774"/>
      <c r="U22" s="775"/>
      <c r="V22" s="774"/>
      <c r="W22" s="775"/>
      <c r="X22" s="1816"/>
      <c r="Y22" s="3174"/>
      <c r="Z22" s="1817"/>
      <c r="AA22" s="1814">
        <v>1</v>
      </c>
      <c r="AB22" s="1814">
        <v>1</v>
      </c>
      <c r="AC22" s="2679">
        <v>1</v>
      </c>
    </row>
    <row r="23" spans="1:29" ht="42.75">
      <c r="A23" s="428"/>
      <c r="B23" s="631" t="s">
        <v>2688</v>
      </c>
      <c r="C23" s="2680" t="str">
        <f>估价对象房地状况!C9</f>
        <v>区域自然环境：天元公园；人文环境；综合评价环境状况一般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81"/>
      <c r="Q24" s="1813"/>
      <c r="R24" s="774"/>
      <c r="S24" s="775"/>
      <c r="T24" s="774"/>
      <c r="U24" s="775"/>
      <c r="V24" s="774"/>
      <c r="W24" s="775"/>
      <c r="X24" s="1816"/>
      <c r="Y24" s="3174"/>
      <c r="Z24" s="1817"/>
      <c r="AA24" s="1814">
        <v>1</v>
      </c>
      <c r="AB24" s="1814">
        <v>1</v>
      </c>
      <c r="AC24" s="2679">
        <v>1</v>
      </c>
    </row>
    <row r="25" spans="1:29" ht="27">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81"/>
      <c r="Q26" s="1813"/>
      <c r="R26" s="774"/>
      <c r="S26" s="775"/>
      <c r="T26" s="774"/>
      <c r="U26" s="775"/>
      <c r="V26" s="774"/>
      <c r="W26" s="775"/>
      <c r="X26" s="1816"/>
      <c r="Y26" s="3174"/>
      <c r="Z26" s="1817"/>
      <c r="AA26" s="1814">
        <v>1</v>
      </c>
      <c r="AB26" s="1814">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5" t="s">
        <v>2563</v>
      </c>
      <c r="Q33" s="1813" t="str">
        <f t="shared" si="11"/>
        <v>建筑类型</v>
      </c>
      <c r="R33" s="774" t="s">
        <v>17</v>
      </c>
      <c r="S33" s="775">
        <f t="shared" si="12"/>
        <v>100</v>
      </c>
      <c r="T33" s="774" t="s">
        <v>17</v>
      </c>
      <c r="U33" s="775">
        <f t="shared" si="13"/>
        <v>100</v>
      </c>
      <c r="V33" s="774" t="s">
        <v>17</v>
      </c>
      <c r="W33" s="775">
        <f t="shared" si="14"/>
        <v>100</v>
      </c>
      <c r="X33" s="1816"/>
      <c r="Y33" s="3178" t="s">
        <v>2563</v>
      </c>
      <c r="Z33" s="1817" t="str">
        <f t="shared" si="15"/>
        <v>建筑类型</v>
      </c>
      <c r="AA33" s="1814">
        <f t="shared" si="3"/>
        <v>1</v>
      </c>
      <c r="AB33" s="1814">
        <f t="shared" si="4"/>
        <v>1</v>
      </c>
      <c r="AC33" s="2679">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79"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9">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79"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2563</v>
      </c>
      <c r="Q39" s="1813" t="str">
        <f t="shared" si="11"/>
        <v>物业管理</v>
      </c>
      <c r="R39" s="774" t="s">
        <v>17</v>
      </c>
      <c r="S39" s="775">
        <f t="shared" si="12"/>
        <v>100</v>
      </c>
      <c r="T39" s="774" t="s">
        <v>17</v>
      </c>
      <c r="U39" s="775">
        <f t="shared" si="13"/>
        <v>100</v>
      </c>
      <c r="V39" s="774" t="s">
        <v>17</v>
      </c>
      <c r="W39" s="775">
        <f t="shared" si="14"/>
        <v>100</v>
      </c>
      <c r="X39" s="1816"/>
      <c r="Y39" s="3178" t="s">
        <v>2563</v>
      </c>
      <c r="Z39" s="1817" t="str">
        <f t="shared" si="15"/>
        <v>物业管理</v>
      </c>
      <c r="AA39" s="1814">
        <f t="shared" si="3"/>
        <v>1</v>
      </c>
      <c r="AB39" s="1814">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9">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9">
        <f t="shared" si="5"/>
        <v>1</v>
      </c>
    </row>
    <row r="44" spans="1:29" ht="15">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79">
        <f t="shared" si="5"/>
        <v>1</v>
      </c>
    </row>
    <row r="48" spans="1:29" ht="15">
      <c r="A48" s="479" t="s">
        <v>2575</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6"/>
      <c r="Q58" s="504"/>
    </row>
    <row r="59" spans="1:29" s="508" customFormat="1" ht="15">
      <c r="A59" s="505" t="s">
        <v>2546</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2583</v>
      </c>
      <c r="B61" s="516"/>
      <c r="C61" s="517"/>
      <c r="D61" s="518"/>
      <c r="E61" s="518"/>
      <c r="F61" s="518"/>
      <c r="G61" s="518"/>
      <c r="H61" s="518"/>
      <c r="I61" s="518"/>
      <c r="J61" s="518"/>
      <c r="K61" s="518"/>
      <c r="L61" s="518"/>
      <c r="M61" s="519"/>
      <c r="N61" s="518"/>
      <c r="O61" s="519"/>
      <c r="P61" s="2687"/>
      <c r="Q61" s="504"/>
    </row>
    <row r="62" spans="1:29" s="117" customFormat="1" ht="15">
      <c r="A62" s="521" t="s">
        <v>2548</v>
      </c>
      <c r="B62" s="510"/>
      <c r="C62" s="522" t="s">
        <v>2650</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2586</v>
      </c>
      <c r="B64" s="528" t="s">
        <v>2552</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2697</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2561</v>
      </c>
      <c r="B101" s="528" t="s">
        <v>2610</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2700</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91"/>
      <c r="D2" s="1127"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70181.87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184" t="s">
        <v>2646</v>
      </c>
      <c r="AC4" s="3183" t="s">
        <v>2647</v>
      </c>
    </row>
    <row r="5" spans="1:29"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2544</v>
      </c>
      <c r="D6" s="3204"/>
      <c r="E6" s="3210" t="s">
        <v>2544</v>
      </c>
      <c r="F6" s="3211"/>
      <c r="G6" s="3203" t="s">
        <v>2544</v>
      </c>
      <c r="H6" s="3204"/>
      <c r="I6" s="3203" t="s">
        <v>2544</v>
      </c>
      <c r="J6" s="3204"/>
      <c r="K6" s="610" t="s">
        <v>2545</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2546</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2547</v>
      </c>
      <c r="Q7" s="3209"/>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2558</v>
      </c>
      <c r="Q15" s="1813" t="str">
        <f t="shared" si="6"/>
        <v>产业集聚程度</v>
      </c>
      <c r="R15" s="774" t="s">
        <v>17</v>
      </c>
      <c r="S15" s="775">
        <f t="shared" si="0"/>
        <v>100</v>
      </c>
      <c r="T15" s="774" t="s">
        <v>17</v>
      </c>
      <c r="U15" s="775">
        <f t="shared" si="1"/>
        <v>100</v>
      </c>
      <c r="V15" s="774" t="s">
        <v>17</v>
      </c>
      <c r="W15" s="775">
        <f t="shared" si="2"/>
        <v>100</v>
      </c>
      <c r="X15" s="1816"/>
      <c r="Y15" s="3173"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42.75">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28.5">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71.25">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9" t="s">
        <v>2563</v>
      </c>
      <c r="Q29" s="1813" t="str">
        <f t="shared" si="11"/>
        <v>建筑类型</v>
      </c>
      <c r="R29" s="774" t="s">
        <v>17</v>
      </c>
      <c r="S29" s="775">
        <f t="shared" si="12"/>
        <v>100</v>
      </c>
      <c r="T29" s="774" t="s">
        <v>17</v>
      </c>
      <c r="U29" s="775">
        <f t="shared" si="13"/>
        <v>100</v>
      </c>
      <c r="V29" s="774" t="s">
        <v>17</v>
      </c>
      <c r="W29" s="775">
        <f t="shared" si="14"/>
        <v>100</v>
      </c>
      <c r="X29" s="1816"/>
      <c r="Y29" s="3178"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2563</v>
      </c>
      <c r="Q35" s="1813" t="str">
        <f t="shared" si="11"/>
        <v>市政基础设施</v>
      </c>
      <c r="R35" s="774" t="s">
        <v>17</v>
      </c>
      <c r="S35" s="775">
        <f t="shared" si="12"/>
        <v>100</v>
      </c>
      <c r="T35" s="774" t="s">
        <v>17</v>
      </c>
      <c r="U35" s="775">
        <f t="shared" si="13"/>
        <v>100</v>
      </c>
      <c r="V35" s="774" t="s">
        <v>17</v>
      </c>
      <c r="W35" s="775">
        <f t="shared" si="14"/>
        <v>100</v>
      </c>
      <c r="X35" s="1816"/>
      <c r="Y35" s="3178"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9"/>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184" t="s">
        <v>2646</v>
      </c>
      <c r="AC4" s="3183" t="s">
        <v>2647</v>
      </c>
    </row>
    <row r="5" spans="1:29"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2544</v>
      </c>
      <c r="D6" s="3204"/>
      <c r="E6" s="3210" t="s">
        <v>2544</v>
      </c>
      <c r="F6" s="3211"/>
      <c r="G6" s="3203" t="s">
        <v>2544</v>
      </c>
      <c r="H6" s="3204"/>
      <c r="I6" s="3203" t="s">
        <v>2544</v>
      </c>
      <c r="J6" s="3204"/>
      <c r="K6" s="610" t="s">
        <v>2545</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2546</v>
      </c>
      <c r="B7" s="409"/>
      <c r="C7" s="410">
        <f>'数据-取费表'!B2</f>
        <v>43157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2547</v>
      </c>
      <c r="Q7" s="3209"/>
      <c r="R7" s="770" t="s">
        <v>17</v>
      </c>
      <c r="S7" s="771">
        <f t="shared" ref="S7:S14" si="0">F7</f>
        <v>0</v>
      </c>
      <c r="T7" s="770" t="s">
        <v>17</v>
      </c>
      <c r="U7" s="771">
        <f t="shared" ref="U7:U14" si="1">H7</f>
        <v>0</v>
      </c>
      <c r="V7" s="770" t="s">
        <v>17</v>
      </c>
      <c r="W7" s="771">
        <f t="shared" ref="W7:W14" si="2">J7</f>
        <v>0</v>
      </c>
      <c r="X7" s="772"/>
      <c r="Y7" s="3207" t="s">
        <v>2547</v>
      </c>
      <c r="Z7" s="320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2553</v>
      </c>
      <c r="Q9" s="1798" t="str">
        <f t="shared" ref="Q9:Q14" si="6">B9</f>
        <v>用途</v>
      </c>
      <c r="R9" s="770" t="s">
        <v>17</v>
      </c>
      <c r="S9" s="771">
        <f t="shared" si="0"/>
        <v>100</v>
      </c>
      <c r="T9" s="770" t="s">
        <v>17</v>
      </c>
      <c r="U9" s="771">
        <f t="shared" si="1"/>
        <v>100</v>
      </c>
      <c r="V9" s="770" t="s">
        <v>17</v>
      </c>
      <c r="W9" s="771">
        <f t="shared" si="2"/>
        <v>100</v>
      </c>
      <c r="X9" s="772"/>
      <c r="Y9" s="299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2558</v>
      </c>
      <c r="Q14" s="1813" t="str">
        <f t="shared" si="6"/>
        <v>交通便捷度</v>
      </c>
      <c r="R14" s="774" t="s">
        <v>17</v>
      </c>
      <c r="S14" s="775">
        <f t="shared" si="0"/>
        <v>100</v>
      </c>
      <c r="T14" s="774" t="s">
        <v>17</v>
      </c>
      <c r="U14" s="775">
        <f t="shared" si="1"/>
        <v>100</v>
      </c>
      <c r="V14" s="774" t="s">
        <v>17</v>
      </c>
      <c r="W14" s="775">
        <f t="shared" si="2"/>
        <v>100</v>
      </c>
      <c r="X14" s="1816"/>
      <c r="Y14" s="3173"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2686</v>
      </c>
      <c r="C16" s="2612"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2687</v>
      </c>
      <c r="C18" s="2612"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2708</v>
      </c>
      <c r="C20" s="2612" t="str">
        <f>IF(B1="工业",估价对象房地状况!G7,估价对象房地状况!C9)</f>
        <v>区域自然环境：天元公园；人文环境；综合评价环境状况一般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2563</v>
      </c>
      <c r="Q32" s="1813" t="str">
        <f t="shared" si="11"/>
        <v>车位类型</v>
      </c>
      <c r="R32" s="774" t="s">
        <v>17</v>
      </c>
      <c r="S32" s="775">
        <f t="shared" si="12"/>
        <v>100</v>
      </c>
      <c r="T32" s="774" t="s">
        <v>17</v>
      </c>
      <c r="U32" s="775">
        <f t="shared" si="13"/>
        <v>100</v>
      </c>
      <c r="V32" s="774" t="s">
        <v>17</v>
      </c>
      <c r="W32" s="775">
        <f t="shared" si="14"/>
        <v>100</v>
      </c>
      <c r="X32" s="1816"/>
      <c r="Y32" s="3178"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2718</v>
      </c>
      <c r="B37" s="2700" t="s">
        <v>2719</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184" t="s">
        <v>2646</v>
      </c>
      <c r="AC4" s="3183" t="s">
        <v>2647</v>
      </c>
    </row>
    <row r="5" spans="1:29"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2544</v>
      </c>
      <c r="D6" s="3204"/>
      <c r="E6" s="3210" t="s">
        <v>2544</v>
      </c>
      <c r="F6" s="3211"/>
      <c r="G6" s="3203" t="s">
        <v>2544</v>
      </c>
      <c r="H6" s="3204"/>
      <c r="I6" s="3203" t="s">
        <v>2544</v>
      </c>
      <c r="J6" s="3204"/>
      <c r="K6" s="610" t="s">
        <v>2545</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2546</v>
      </c>
      <c r="B7" s="409"/>
      <c r="C7" s="410">
        <f>'数据-取费表'!B2</f>
        <v>43157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7" t="s">
        <v>2547</v>
      </c>
      <c r="Q7" s="3209"/>
      <c r="R7" s="770" t="s">
        <v>17</v>
      </c>
      <c r="S7" s="771">
        <f t="shared" ref="S7:S14" si="0">F7</f>
        <v>0</v>
      </c>
      <c r="T7" s="770" t="s">
        <v>17</v>
      </c>
      <c r="U7" s="771">
        <f t="shared" ref="U7:U14" si="1">H7</f>
        <v>0</v>
      </c>
      <c r="V7" s="770" t="s">
        <v>17</v>
      </c>
      <c r="W7" s="771">
        <f t="shared" ref="W7:W14" si="2">J7</f>
        <v>0</v>
      </c>
      <c r="X7" s="772"/>
      <c r="Y7" s="3207" t="s">
        <v>2547</v>
      </c>
      <c r="Z7" s="320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2553</v>
      </c>
      <c r="Q9" s="1798" t="str">
        <f t="shared" ref="Q9:Q14" si="6">B9</f>
        <v>用途</v>
      </c>
      <c r="R9" s="770" t="s">
        <v>17</v>
      </c>
      <c r="S9" s="771">
        <f t="shared" si="0"/>
        <v>100</v>
      </c>
      <c r="T9" s="770" t="s">
        <v>17</v>
      </c>
      <c r="U9" s="771">
        <f t="shared" si="1"/>
        <v>100</v>
      </c>
      <c r="V9" s="770" t="s">
        <v>17</v>
      </c>
      <c r="W9" s="771">
        <f t="shared" si="2"/>
        <v>100</v>
      </c>
      <c r="X9" s="772"/>
      <c r="Y9" s="299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2558</v>
      </c>
      <c r="Q14" s="1813" t="str">
        <f t="shared" si="6"/>
        <v>交通便捷度</v>
      </c>
      <c r="R14" s="774" t="s">
        <v>17</v>
      </c>
      <c r="S14" s="775">
        <f t="shared" si="0"/>
        <v>100</v>
      </c>
      <c r="T14" s="774" t="s">
        <v>17</v>
      </c>
      <c r="U14" s="775">
        <f t="shared" si="1"/>
        <v>100</v>
      </c>
      <c r="V14" s="774" t="s">
        <v>17</v>
      </c>
      <c r="W14" s="775">
        <f t="shared" si="2"/>
        <v>100</v>
      </c>
      <c r="X14" s="1816"/>
      <c r="Y14" s="3173"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2686</v>
      </c>
      <c r="C16" s="2612"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2687</v>
      </c>
      <c r="C18" s="2612"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2708</v>
      </c>
      <c r="C20" s="2612" t="str">
        <f>IF(B1="工业",估价对象房地状况!G7,估价对象房地状况!C9)</f>
        <v>区域自然环境：天元公园；人文环境；综合评价环境状况一般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9"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2563</v>
      </c>
      <c r="Q32" s="1813">
        <f t="shared" si="11"/>
        <v>111</v>
      </c>
      <c r="R32" s="774" t="s">
        <v>17</v>
      </c>
      <c r="S32" s="775">
        <f t="shared" si="12"/>
        <v>100</v>
      </c>
      <c r="T32" s="774" t="s">
        <v>17</v>
      </c>
      <c r="U32" s="775">
        <f t="shared" si="13"/>
        <v>100</v>
      </c>
      <c r="V32" s="774" t="s">
        <v>17</v>
      </c>
      <c r="W32" s="775">
        <f t="shared" si="14"/>
        <v>100</v>
      </c>
      <c r="X32" s="1816"/>
      <c r="Y32" s="3178" t="s">
        <v>2563</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184" t="s">
        <v>2646</v>
      </c>
      <c r="AC4" s="3183" t="s">
        <v>2647</v>
      </c>
    </row>
    <row r="5" spans="1:30"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184"/>
      <c r="AC5" s="3184"/>
    </row>
    <row r="6" spans="1:30" ht="15.75" thickBot="1">
      <c r="A6" s="406"/>
      <c r="B6" s="407"/>
      <c r="C6" s="3203" t="s">
        <v>2544</v>
      </c>
      <c r="D6" s="3204"/>
      <c r="E6" s="3210" t="s">
        <v>2544</v>
      </c>
      <c r="F6" s="3211"/>
      <c r="G6" s="3203" t="s">
        <v>2544</v>
      </c>
      <c r="H6" s="3204"/>
      <c r="I6" s="3203" t="s">
        <v>2544</v>
      </c>
      <c r="J6" s="3204"/>
      <c r="K6" s="610" t="s">
        <v>2545</v>
      </c>
      <c r="L6" s="1133"/>
      <c r="M6" s="1134"/>
      <c r="N6" s="1134"/>
      <c r="O6" s="1134"/>
      <c r="P6" s="3194"/>
      <c r="Q6" s="3195"/>
      <c r="R6" s="3198"/>
      <c r="S6" s="3199"/>
      <c r="T6" s="3200"/>
      <c r="U6" s="3201"/>
      <c r="V6" s="3202"/>
      <c r="W6" s="3202"/>
      <c r="X6" s="1816"/>
      <c r="Y6" s="3200"/>
      <c r="Z6" s="3201"/>
      <c r="AA6" s="3185"/>
      <c r="AB6" s="3185"/>
      <c r="AC6" s="3185"/>
    </row>
    <row r="7" spans="1:30" s="117" customFormat="1" ht="15.75" thickBot="1">
      <c r="A7" s="408" t="s">
        <v>2546</v>
      </c>
      <c r="B7" s="409"/>
      <c r="C7" s="410">
        <f>'数据-取费表'!B2</f>
        <v>43157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7" t="s">
        <v>2547</v>
      </c>
      <c r="Q7" s="3209"/>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45" si="3">D8/F8</f>
        <v>#DIV/0!</v>
      </c>
      <c r="AB8" s="773" t="e">
        <f t="shared" ref="AB8:AB45" si="4">D8/H8</f>
        <v>#DIV/0!</v>
      </c>
      <c r="AC8" s="773" t="e">
        <f t="shared" ref="AC8:AC45" si="5">D8/J8</f>
        <v>#DIV/0!</v>
      </c>
    </row>
    <row r="9" spans="1:30" s="117" customFormat="1">
      <c r="A9" s="415" t="s">
        <v>2551</v>
      </c>
      <c r="B9" s="71" t="s">
        <v>2552</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71"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171"/>
      <c r="Q10" s="1798" t="str">
        <f t="shared" si="6"/>
        <v>土地使用年限（年）</v>
      </c>
      <c r="R10" s="770" t="s">
        <v>17</v>
      </c>
      <c r="S10" s="771" t="e">
        <f t="shared" si="0"/>
        <v>#DIV/0!</v>
      </c>
      <c r="T10" s="770" t="s">
        <v>17</v>
      </c>
      <c r="U10" s="771" t="e">
        <f t="shared" si="1"/>
        <v>#DIV/0!</v>
      </c>
      <c r="V10" s="770" t="s">
        <v>17</v>
      </c>
      <c r="W10" s="771" t="e">
        <f t="shared" si="2"/>
        <v>#DIV/0!</v>
      </c>
      <c r="X10" s="772"/>
      <c r="Y10" s="2997"/>
      <c r="Z10" s="55" t="str">
        <f t="shared" si="7"/>
        <v>土地使用年限（年）</v>
      </c>
      <c r="AA10" s="773" t="e">
        <f t="shared" si="3"/>
        <v>#DIV/0!</v>
      </c>
      <c r="AB10" s="773" t="e">
        <f t="shared" si="4"/>
        <v>#DIV/0!</v>
      </c>
      <c r="AC10" s="773" t="e">
        <f t="shared" si="5"/>
        <v>#DIV/0!</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2557</v>
      </c>
      <c r="B15" s="69" t="s">
        <v>2086</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2558</v>
      </c>
      <c r="Q15" s="1813" t="str">
        <f t="shared" si="6"/>
        <v>居住社区成熟度</v>
      </c>
      <c r="R15" s="774" t="s">
        <v>17</v>
      </c>
      <c r="S15" s="775">
        <f t="shared" si="0"/>
        <v>100</v>
      </c>
      <c r="T15" s="774" t="s">
        <v>17</v>
      </c>
      <c r="U15" s="775">
        <f t="shared" si="1"/>
        <v>100</v>
      </c>
      <c r="V15" s="774" t="s">
        <v>17</v>
      </c>
      <c r="W15" s="775">
        <f t="shared" si="2"/>
        <v>100</v>
      </c>
      <c r="X15" s="1816"/>
      <c r="Y15" s="3173" t="s">
        <v>2558</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2651</v>
      </c>
      <c r="C17" s="2669" t="str">
        <f>估价对象房地状况!C16</f>
        <v>估价对象位于XX商圈，周边商业氛围成熟，人流量大，商业繁华度一般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2685</v>
      </c>
      <c r="C19" s="266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2747</v>
      </c>
      <c r="C25" s="2669" t="str">
        <f>估价对象房地状况!C20</f>
        <v>区域自然环境：天元公园；人文环境；综合评价环境状况一般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2652</v>
      </c>
      <c r="C27" s="2612"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2653</v>
      </c>
      <c r="C29" s="2612"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2563</v>
      </c>
      <c r="Q36" s="1813">
        <f t="shared" si="8"/>
        <v>111</v>
      </c>
      <c r="R36" s="774" t="s">
        <v>17</v>
      </c>
      <c r="S36" s="775">
        <f t="shared" si="10"/>
        <v>100</v>
      </c>
      <c r="T36" s="774" t="s">
        <v>17</v>
      </c>
      <c r="U36" s="775">
        <f t="shared" si="11"/>
        <v>100</v>
      </c>
      <c r="V36" s="774" t="s">
        <v>17</v>
      </c>
      <c r="W36" s="775">
        <f t="shared" si="12"/>
        <v>100</v>
      </c>
      <c r="X36" s="1816"/>
      <c r="Y36" s="3178"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2750</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2751</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2752</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2753</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8" t="s">
        <v>2563</v>
      </c>
      <c r="Q42" s="1813" t="str">
        <f t="shared" si="14"/>
        <v>工程地质条件</v>
      </c>
      <c r="R42" s="774" t="s">
        <v>17</v>
      </c>
      <c r="S42" s="775">
        <f t="shared" si="10"/>
        <v>100</v>
      </c>
      <c r="T42" s="774" t="s">
        <v>17</v>
      </c>
      <c r="U42" s="775">
        <f t="shared" si="11"/>
        <v>100</v>
      </c>
      <c r="V42" s="774" t="s">
        <v>17</v>
      </c>
      <c r="W42" s="775">
        <f t="shared" si="12"/>
        <v>100</v>
      </c>
      <c r="X42" s="1816"/>
      <c r="Y42" s="3178"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2718</v>
      </c>
      <c r="B46" s="2709" t="s">
        <v>2754</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186" t="s">
        <v>2762</v>
      </c>
      <c r="H55" s="3232"/>
      <c r="I55" s="144" t="s">
        <v>2763</v>
      </c>
      <c r="J55" s="2712">
        <f>项目基本情况!F35</f>
        <v>0</v>
      </c>
      <c r="K55" s="2713" t="s">
        <v>2764</v>
      </c>
      <c r="L55" s="1109"/>
      <c r="M55" s="1147"/>
      <c r="N55" s="1147"/>
      <c r="O55" s="1147"/>
    </row>
    <row r="56" spans="1:15" s="692" customFormat="1">
      <c r="A56" s="688" t="s">
        <v>2765</v>
      </c>
      <c r="B56" s="689" t="e">
        <f>C48</f>
        <v>#DIV/0!</v>
      </c>
      <c r="C56" s="690">
        <v>1</v>
      </c>
      <c r="D56" s="1166">
        <v>1</v>
      </c>
      <c r="E56" s="690">
        <f>'数据-汇总表'!E8+'数据-汇总表'!E9</f>
        <v>57877.039999999994</v>
      </c>
      <c r="F56" s="1106" t="e">
        <f t="shared" ref="F56:F65" si="15">ROUND(B56*E56/10000,0)</f>
        <v>#DIV/0!</v>
      </c>
      <c r="G56" s="3182"/>
      <c r="H56" s="3171"/>
      <c r="I56" s="1111">
        <v>1</v>
      </c>
      <c r="J56" s="1114">
        <v>1</v>
      </c>
      <c r="K56" s="1148"/>
      <c r="L56" s="944"/>
      <c r="M56" s="944"/>
      <c r="N56" s="944"/>
      <c r="O56" s="944"/>
    </row>
    <row r="57" spans="1:15" s="692" customFormat="1">
      <c r="A57" s="693" t="s">
        <v>2766</v>
      </c>
      <c r="B57" s="262" t="e">
        <f>ROUND($C$48*C57*D57,0)</f>
        <v>#DIV/0!</v>
      </c>
      <c r="C57" s="200">
        <f t="shared" ref="C57:C65" si="16">IF($C$55="北京市系数",I57,J57)</f>
        <v>0.7</v>
      </c>
      <c r="D57" s="1167">
        <v>0.25</v>
      </c>
      <c r="E57" s="694"/>
      <c r="F57" s="1106" t="e">
        <f t="shared" si="15"/>
        <v>#DIV/0!</v>
      </c>
      <c r="G57" s="3233" t="s">
        <v>2767</v>
      </c>
      <c r="H57" s="1107" t="str">
        <f>项目基本情况!B37</f>
        <v>五级</v>
      </c>
      <c r="I57" s="1111">
        <f>SUMIF(修正!A45:A56,H57,修正!B45:B56)</f>
        <v>0.7</v>
      </c>
      <c r="J57" s="1115"/>
      <c r="K57" s="1147"/>
      <c r="L57" s="944"/>
      <c r="M57" s="944"/>
      <c r="N57" s="944"/>
      <c r="O57" s="944"/>
    </row>
    <row r="58" spans="1:15" s="692" customFormat="1">
      <c r="A58" s="693" t="s">
        <v>2768</v>
      </c>
      <c r="B58" s="262" t="e">
        <f t="shared" ref="B58:B65" si="17">ROUND($C$48*C58*D58,0)</f>
        <v>#DIV/0!</v>
      </c>
      <c r="C58" s="200">
        <f t="shared" si="16"/>
        <v>0.4</v>
      </c>
      <c r="D58" s="1167">
        <v>0.25</v>
      </c>
      <c r="E58" s="694"/>
      <c r="F58" s="1106" t="e">
        <f t="shared" si="15"/>
        <v>#DIV/0!</v>
      </c>
      <c r="G58" s="3233"/>
      <c r="H58" s="1107" t="str">
        <f>项目基本情况!B37</f>
        <v>五级</v>
      </c>
      <c r="I58" s="1111">
        <f>SUMIF(修正!A45:A56,H58,修正!C45:C56)</f>
        <v>0.4</v>
      </c>
      <c r="J58" s="1115"/>
      <c r="K58" s="1148"/>
      <c r="L58" s="944"/>
      <c r="M58" s="944"/>
      <c r="N58" s="944"/>
      <c r="O58" s="944"/>
    </row>
    <row r="59" spans="1:15" s="692" customFormat="1">
      <c r="A59" s="693" t="s">
        <v>2769</v>
      </c>
      <c r="B59" s="262" t="e">
        <f t="shared" si="17"/>
        <v>#DIV/0!</v>
      </c>
      <c r="C59" s="200">
        <f t="shared" si="16"/>
        <v>0.28000000000000003</v>
      </c>
      <c r="D59" s="1167">
        <v>0.25</v>
      </c>
      <c r="E59" s="694"/>
      <c r="F59" s="1106" t="e">
        <f t="shared" si="15"/>
        <v>#DIV/0!</v>
      </c>
      <c r="G59" s="3233"/>
      <c r="H59" s="1107" t="str">
        <f>项目基本情况!B37</f>
        <v>五级</v>
      </c>
      <c r="I59" s="1111">
        <f>SUMIF(修正!A45:A56,H59,修正!D45:D56)</f>
        <v>0.28000000000000003</v>
      </c>
      <c r="J59" s="1115"/>
      <c r="K59" s="1147"/>
      <c r="L59" s="944"/>
      <c r="M59" s="944"/>
      <c r="N59" s="944"/>
      <c r="O59" s="944"/>
    </row>
    <row r="60" spans="1:15" s="692" customFormat="1">
      <c r="A60" s="693" t="s">
        <v>2770</v>
      </c>
      <c r="B60" s="262" t="e">
        <f t="shared" si="17"/>
        <v>#DIV/0!</v>
      </c>
      <c r="C60" s="200">
        <f t="shared" si="16"/>
        <v>0.25</v>
      </c>
      <c r="D60" s="1167">
        <v>0.25</v>
      </c>
      <c r="E60" s="694"/>
      <c r="F60" s="1106" t="e">
        <f t="shared" si="15"/>
        <v>#DIV/0!</v>
      </c>
      <c r="G60" s="3233"/>
      <c r="H60" s="1107" t="str">
        <f>项目基本情况!B37</f>
        <v>五级</v>
      </c>
      <c r="I60" s="1111">
        <f>SUMIF(修正!A45:A56,H60,修正!E45:E56)</f>
        <v>0.25</v>
      </c>
      <c r="J60" s="1115"/>
      <c r="K60" s="1148"/>
      <c r="L60" s="944"/>
      <c r="M60" s="944"/>
      <c r="N60" s="944"/>
      <c r="O60" s="944"/>
    </row>
    <row r="61" spans="1:15" s="692" customFormat="1">
      <c r="A61" s="693" t="s">
        <v>2771</v>
      </c>
      <c r="B61" s="262" t="e">
        <f t="shared" si="17"/>
        <v>#DIV/0!</v>
      </c>
      <c r="C61" s="200">
        <f t="shared" si="16"/>
        <v>0.25</v>
      </c>
      <c r="D61" s="1167">
        <v>0.25</v>
      </c>
      <c r="E61" s="261">
        <f>'数据-汇总表'!E11</f>
        <v>0</v>
      </c>
      <c r="F61" s="1106" t="e">
        <f t="shared" si="15"/>
        <v>#DIV/0!</v>
      </c>
      <c r="G61" s="2714" t="s">
        <v>2772</v>
      </c>
      <c r="H61" s="1107" t="str">
        <f>项目基本情况!C37</f>
        <v>五级</v>
      </c>
      <c r="I61" s="1111">
        <f>SUMIF(修正!A45:A56,H61,修正!F45:F56)</f>
        <v>0.25</v>
      </c>
      <c r="J61" s="1115"/>
      <c r="K61" s="1147"/>
      <c r="L61" s="944"/>
      <c r="M61" s="944"/>
      <c r="N61" s="944"/>
      <c r="O61" s="944"/>
    </row>
    <row r="62" spans="1:15" s="692" customFormat="1">
      <c r="A62" s="693" t="s">
        <v>2773</v>
      </c>
      <c r="B62" s="262" t="e">
        <f t="shared" si="17"/>
        <v>#DIV/0!</v>
      </c>
      <c r="C62" s="200">
        <f t="shared" si="16"/>
        <v>0.25</v>
      </c>
      <c r="D62" s="1167">
        <v>0.25</v>
      </c>
      <c r="E62" s="261">
        <f>'数据-汇总表'!E12</f>
        <v>0</v>
      </c>
      <c r="F62" s="1106" t="e">
        <f t="shared" si="15"/>
        <v>#DIV/0!</v>
      </c>
      <c r="G62" s="1112" t="s">
        <v>2774</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2775</v>
      </c>
      <c r="B63" s="262" t="e">
        <f t="shared" si="17"/>
        <v>#DIV/0!</v>
      </c>
      <c r="C63" s="200">
        <f t="shared" si="16"/>
        <v>0.2</v>
      </c>
      <c r="D63" s="1167">
        <v>0.25</v>
      </c>
      <c r="E63" s="261">
        <f>'数据-汇总表'!E13</f>
        <v>12304.83</v>
      </c>
      <c r="F63" s="1106" t="e">
        <f t="shared" si="15"/>
        <v>#DIV/0!</v>
      </c>
      <c r="G63" s="1112" t="s">
        <v>2776</v>
      </c>
      <c r="H63" s="1107" t="str">
        <f>IF(G63="商业",项目基本情况!B37,IF(G63="办公",项目基本情况!C37,IF(G63="住宅",项目基本情况!D37,项目基本情况!E37)))</f>
        <v>五级</v>
      </c>
      <c r="I63" s="1111">
        <f>SUMIF(修正!A45:A56,H63,修正!H45:H56)</f>
        <v>0.2</v>
      </c>
      <c r="J63" s="1115"/>
      <c r="K63" s="1147"/>
      <c r="L63" s="944"/>
      <c r="M63" s="944"/>
      <c r="N63" s="944"/>
      <c r="O63" s="944"/>
    </row>
    <row r="64" spans="1:15" s="692" customFormat="1">
      <c r="A64" s="693" t="s">
        <v>2777</v>
      </c>
      <c r="B64" s="262" t="e">
        <f t="shared" si="17"/>
        <v>#DIV/0!</v>
      </c>
      <c r="C64" s="200">
        <f t="shared" si="16"/>
        <v>0.2</v>
      </c>
      <c r="D64" s="1167">
        <v>0.25</v>
      </c>
      <c r="E64" s="261">
        <f>'数据-汇总表'!E14</f>
        <v>0</v>
      </c>
      <c r="F64" s="1106" t="e">
        <f t="shared" si="15"/>
        <v>#DIV/0!</v>
      </c>
      <c r="G64" s="2714" t="s">
        <v>2767</v>
      </c>
      <c r="H64" s="1107" t="str">
        <f>项目基本情况!B37</f>
        <v>五级</v>
      </c>
      <c r="I64" s="1111">
        <f>SUMIF(修正!A45:A56,H64,修正!H45:H56)</f>
        <v>0.2</v>
      </c>
      <c r="J64" s="1115"/>
      <c r="K64" s="1148"/>
      <c r="L64" s="944"/>
      <c r="M64" s="944"/>
      <c r="N64" s="944"/>
      <c r="O64" s="944"/>
    </row>
    <row r="65" spans="1:17" s="692" customFormat="1" ht="15" thickBot="1">
      <c r="A65" s="693" t="s">
        <v>2778</v>
      </c>
      <c r="B65" s="262" t="e">
        <f t="shared" si="17"/>
        <v>#DIV/0!</v>
      </c>
      <c r="C65" s="200">
        <f t="shared" si="16"/>
        <v>0.2</v>
      </c>
      <c r="D65" s="1167">
        <v>0.25</v>
      </c>
      <c r="E65" s="261">
        <f>'数据-汇总表'!E15</f>
        <v>0</v>
      </c>
      <c r="F65" s="1106" t="e">
        <f t="shared" si="15"/>
        <v>#DIV/0!</v>
      </c>
      <c r="G65" s="2715" t="s">
        <v>2772</v>
      </c>
      <c r="H65" s="1117" t="str">
        <f>项目基本情况!C37</f>
        <v>五级</v>
      </c>
      <c r="I65" s="1113">
        <f>SUMIF(修正!A45:A56,H65,修正!H45:H56)</f>
        <v>0.2</v>
      </c>
      <c r="J65" s="1116"/>
      <c r="K65" s="1147"/>
      <c r="L65" s="944"/>
      <c r="M65" s="944"/>
      <c r="N65" s="944"/>
      <c r="O65" s="944"/>
    </row>
    <row r="66" spans="1:17" s="692" customFormat="1" ht="13.5" thickBot="1">
      <c r="A66" s="695" t="s">
        <v>2779</v>
      </c>
      <c r="B66" s="696" t="s">
        <v>28</v>
      </c>
      <c r="C66" s="696" t="s">
        <v>29</v>
      </c>
      <c r="D66" s="696" t="s">
        <v>1028</v>
      </c>
      <c r="E66" s="696">
        <f>IF(B46="楼面地价",SUM(E56:E65),'数据-汇总表'!D3)</f>
        <v>70181.87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7" t="s">
        <v>2781</v>
      </c>
      <c r="B71" s="332" t="str">
        <f>"北京市平均增长率"&amp;TEXT(SUMIF(基准地价修正1!N21:N25,A71,基准地价修正1!P21:P25),"0.00%")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4"/>
      <c r="B4" s="2957" t="s">
        <v>1630</v>
      </c>
      <c r="C4" s="2957"/>
      <c r="D4" s="2957"/>
      <c r="E4" s="1964"/>
    </row>
    <row r="5" spans="1:5" ht="16.5" thickTop="1">
      <c r="A5" s="1962"/>
      <c r="B5" s="2955" t="s">
        <v>1622</v>
      </c>
      <c r="C5" s="1965" t="s">
        <v>1623</v>
      </c>
      <c r="D5" s="1043">
        <f ca="1">结果表!H101</f>
        <v>248612</v>
      </c>
      <c r="E5" s="1962"/>
    </row>
    <row r="6" spans="1:5" ht="15.75">
      <c r="A6" s="1962"/>
      <c r="B6" s="2955"/>
      <c r="C6" s="1965" t="s">
        <v>1624</v>
      </c>
      <c r="D6" s="1043" t="str">
        <f ca="1">NUMBERSTRING(INT(D5*10000),2)&amp;"元整"</f>
        <v>贰拾肆亿捌仟陆佰壹拾贰万元整</v>
      </c>
      <c r="E6" s="1962"/>
    </row>
    <row r="7" spans="1:5" ht="15.75">
      <c r="A7" s="1962"/>
      <c r="B7" s="2960"/>
      <c r="C7" s="1966" t="s">
        <v>1625</v>
      </c>
      <c r="D7" s="1044">
        <f ca="1">结果表!H102</f>
        <v>35424</v>
      </c>
      <c r="E7" s="1962"/>
    </row>
    <row r="8" spans="1:5" ht="15.75">
      <c r="A8" s="1962"/>
      <c r="B8" s="2961" t="str">
        <f>结果表!E103</f>
        <v>2.估价师知悉的法定优先受偿款</v>
      </c>
      <c r="C8" s="1967" t="s">
        <v>1626</v>
      </c>
      <c r="D8" s="1044">
        <f>结果表!H103</f>
        <v>0</v>
      </c>
      <c r="E8" s="1962"/>
    </row>
    <row r="9" spans="1:5" ht="15.75">
      <c r="A9" s="1962"/>
      <c r="B9" s="296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4" t="str">
        <f>结果表!E107</f>
        <v>——</v>
      </c>
      <c r="C13" s="1970" t="s">
        <v>1623</v>
      </c>
      <c r="D13" s="1046" t="str">
        <f>结果表!H107</f>
        <v>——</v>
      </c>
      <c r="E13" s="1962"/>
    </row>
    <row r="14" spans="1:5" ht="15.75">
      <c r="A14" s="1962"/>
      <c r="B14" s="2955"/>
      <c r="C14" s="1965" t="s">
        <v>1624</v>
      </c>
      <c r="D14" s="1043" t="e">
        <f>NUMBERSTRING(INT(D13*10000),2)&amp;"元整"</f>
        <v>#VALUE!</v>
      </c>
      <c r="E14" s="1962"/>
    </row>
    <row r="15" spans="1:5" ht="15">
      <c r="A15" s="1962"/>
      <c r="B15" s="2960"/>
      <c r="C15" s="1966" t="s">
        <v>1634</v>
      </c>
      <c r="D15" s="1055" t="e">
        <f>结果表!H108</f>
        <v>#VALUE!</v>
      </c>
      <c r="E15" s="1962"/>
    </row>
    <row r="16" spans="1:5" ht="15">
      <c r="A16" s="1962"/>
      <c r="B16" s="2961" t="str">
        <f>结果表!E109</f>
        <v>3.抵押担保权已注销时的房地产抵押价值</v>
      </c>
      <c r="C16" s="1970" t="s">
        <v>1635</v>
      </c>
      <c r="D16" s="1971">
        <f ca="1">结果表!H109</f>
        <v>248612</v>
      </c>
      <c r="E16" s="1962"/>
    </row>
    <row r="17" spans="1:5" ht="15.75">
      <c r="A17" s="1962"/>
      <c r="B17" s="2962"/>
      <c r="C17" s="1965" t="s">
        <v>1636</v>
      </c>
      <c r="D17" s="1043" t="str">
        <f ca="1">NUMBERSTRING(INT(D16*10000),2)&amp;"元整"</f>
        <v>贰拾肆亿捌仟陆佰壹拾贰万元整</v>
      </c>
      <c r="E17" s="1962"/>
    </row>
    <row r="18" spans="1:5" ht="15">
      <c r="A18" s="1962"/>
      <c r="B18" s="2963"/>
      <c r="C18" s="1966" t="s">
        <v>1625</v>
      </c>
      <c r="D18" s="1055">
        <f ca="1">结果表!H110</f>
        <v>35424</v>
      </c>
      <c r="E18" s="1962"/>
    </row>
    <row r="19" spans="1:5" ht="15.75">
      <c r="A19" s="1962"/>
      <c r="B19" s="2954" t="str">
        <f>结果表!E111</f>
        <v>——</v>
      </c>
      <c r="C19" s="1970" t="s">
        <v>1623</v>
      </c>
      <c r="D19" s="1044" t="str">
        <f>结果表!H111</f>
        <v>——</v>
      </c>
      <c r="E19" s="1962"/>
    </row>
    <row r="20" spans="1:5" ht="15.75">
      <c r="A20" s="1962"/>
      <c r="B20" s="2955"/>
      <c r="C20" s="1965" t="s">
        <v>1636</v>
      </c>
      <c r="D20" s="1043" t="e">
        <f>NUMBERSTRING(INT(D19*10000),2)&amp;"元整"</f>
        <v>#VALUE!</v>
      </c>
      <c r="E20" s="1962"/>
    </row>
    <row r="21" spans="1:5" ht="15.75" thickBot="1">
      <c r="A21" s="1962"/>
      <c r="B21" s="295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87"/>
      <c r="E4" s="3188" t="s">
        <v>2645</v>
      </c>
      <c r="F4" s="3189"/>
      <c r="G4" s="3186" t="s">
        <v>2646</v>
      </c>
      <c r="H4" s="3187"/>
      <c r="I4" s="3186" t="s">
        <v>2647</v>
      </c>
      <c r="J4" s="3187"/>
      <c r="K4" s="610" t="s">
        <v>2648</v>
      </c>
      <c r="L4" s="1133"/>
      <c r="M4" s="1134"/>
      <c r="N4" s="1134"/>
      <c r="O4" s="1134"/>
      <c r="P4" s="3190" t="s">
        <v>2649</v>
      </c>
      <c r="Q4" s="3191"/>
      <c r="R4" s="3196" t="s">
        <v>2645</v>
      </c>
      <c r="S4" s="3197"/>
      <c r="T4" s="3196" t="s">
        <v>2646</v>
      </c>
      <c r="U4" s="3197"/>
      <c r="V4" s="3202" t="s">
        <v>2647</v>
      </c>
      <c r="W4" s="3202"/>
      <c r="X4" s="1816"/>
      <c r="Y4" s="3196" t="s">
        <v>2649</v>
      </c>
      <c r="Z4" s="3197"/>
      <c r="AA4" s="3183" t="s">
        <v>2645</v>
      </c>
      <c r="AB4" s="3184" t="s">
        <v>2646</v>
      </c>
      <c r="AC4" s="3183" t="s">
        <v>2647</v>
      </c>
    </row>
    <row r="5" spans="1:29" ht="15">
      <c r="A5" s="404"/>
      <c r="B5" s="405"/>
      <c r="C5" s="3205" t="s">
        <v>2540</v>
      </c>
      <c r="D5" s="3206"/>
      <c r="E5" s="3212" t="s">
        <v>2541</v>
      </c>
      <c r="F5" s="3213"/>
      <c r="G5" s="3205" t="s">
        <v>2542</v>
      </c>
      <c r="H5" s="3206"/>
      <c r="I5" s="3205" t="s">
        <v>2543</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34" t="s">
        <v>2795</v>
      </c>
      <c r="D6" s="3235"/>
      <c r="E6" s="3236" t="s">
        <v>2795</v>
      </c>
      <c r="F6" s="3237"/>
      <c r="G6" s="3234" t="s">
        <v>2795</v>
      </c>
      <c r="H6" s="3235"/>
      <c r="I6" s="3234" t="s">
        <v>2795</v>
      </c>
      <c r="J6" s="3235"/>
      <c r="K6" s="610" t="s">
        <v>2545</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2546</v>
      </c>
      <c r="B7" s="409"/>
      <c r="C7" s="410">
        <f>'数据-取费表'!B2</f>
        <v>43157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7" t="s">
        <v>2547</v>
      </c>
      <c r="Q7" s="3209"/>
      <c r="R7" s="770" t="s">
        <v>17</v>
      </c>
      <c r="S7" s="771">
        <f t="shared" ref="S7:S15" si="0">F7</f>
        <v>0</v>
      </c>
      <c r="T7" s="770" t="s">
        <v>17</v>
      </c>
      <c r="U7" s="771">
        <f t="shared" ref="U7:U15" si="1">H7</f>
        <v>0</v>
      </c>
      <c r="V7" s="770" t="s">
        <v>17</v>
      </c>
      <c r="W7" s="771">
        <f t="shared" ref="W7:W15" si="2">J7</f>
        <v>0</v>
      </c>
      <c r="X7" s="772"/>
      <c r="Y7" s="3207" t="s">
        <v>2547</v>
      </c>
      <c r="Z7" s="320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2550</v>
      </c>
      <c r="Q8" s="3208"/>
      <c r="R8" s="770" t="s">
        <v>17</v>
      </c>
      <c r="S8" s="771">
        <f t="shared" si="0"/>
        <v>0</v>
      </c>
      <c r="T8" s="770" t="s">
        <v>17</v>
      </c>
      <c r="U8" s="771">
        <f t="shared" si="1"/>
        <v>0</v>
      </c>
      <c r="V8" s="770" t="s">
        <v>17</v>
      </c>
      <c r="W8" s="771">
        <f t="shared" si="2"/>
        <v>0</v>
      </c>
      <c r="X8" s="772"/>
      <c r="Y8" s="3207" t="s">
        <v>2550</v>
      </c>
      <c r="Z8" s="3208"/>
      <c r="AA8" s="773" t="e">
        <f t="shared" ref="AA8:AA40" si="3">D8/F8</f>
        <v>#DIV/0!</v>
      </c>
      <c r="AB8" s="773" t="e">
        <f t="shared" ref="AB8:AB40" si="4">D8/H8</f>
        <v>#DIV/0!</v>
      </c>
      <c r="AC8" s="773" t="e">
        <f t="shared" ref="AC8:AC40" si="5">D8/J8</f>
        <v>#DIV/0!</v>
      </c>
    </row>
    <row r="9" spans="1:29" s="117" customFormat="1">
      <c r="A9" s="415" t="s">
        <v>2551</v>
      </c>
      <c r="B9" s="71" t="s">
        <v>2552</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1" t="s">
        <v>2553</v>
      </c>
      <c r="Q9" s="1798"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171"/>
      <c r="Q10" s="1798" t="str">
        <f t="shared" si="6"/>
        <v>土地使用年限（年）</v>
      </c>
      <c r="R10" s="770" t="s">
        <v>17</v>
      </c>
      <c r="S10" s="771" t="e">
        <f t="shared" si="0"/>
        <v>#DIV/0!</v>
      </c>
      <c r="T10" s="770" t="s">
        <v>17</v>
      </c>
      <c r="U10" s="771" t="e">
        <f t="shared" si="1"/>
        <v>#DIV/0!</v>
      </c>
      <c r="V10" s="770" t="s">
        <v>17</v>
      </c>
      <c r="W10" s="771" t="e">
        <f t="shared" si="2"/>
        <v>#DIV/0!</v>
      </c>
      <c r="X10" s="772"/>
      <c r="Y10" s="2997"/>
      <c r="Z10" s="55" t="str">
        <f t="shared" si="7"/>
        <v>土地使用年限（年）</v>
      </c>
      <c r="AA10" s="773" t="e">
        <f t="shared" si="3"/>
        <v>#DIV/0!</v>
      </c>
      <c r="AB10" s="773" t="e">
        <f t="shared" si="4"/>
        <v>#DIV/0!</v>
      </c>
      <c r="AC10" s="773" t="e">
        <f t="shared" si="5"/>
        <v>#DIV/0!</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2557</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2558</v>
      </c>
      <c r="Q15" s="1813" t="str">
        <f t="shared" si="6"/>
        <v>产业集聚程度</v>
      </c>
      <c r="R15" s="774" t="s">
        <v>17</v>
      </c>
      <c r="S15" s="775">
        <f t="shared" si="0"/>
        <v>100</v>
      </c>
      <c r="T15" s="774" t="s">
        <v>17</v>
      </c>
      <c r="U15" s="775">
        <f t="shared" si="1"/>
        <v>100</v>
      </c>
      <c r="V15" s="774" t="s">
        <v>17</v>
      </c>
      <c r="W15" s="775">
        <f t="shared" si="2"/>
        <v>100</v>
      </c>
      <c r="X15" s="1816"/>
      <c r="Y15" s="3173" t="s">
        <v>2558</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74"/>
      <c r="Q20" s="1813"/>
      <c r="R20" s="774"/>
      <c r="S20" s="775"/>
      <c r="T20" s="774"/>
      <c r="U20" s="775"/>
      <c r="V20" s="774"/>
      <c r="W20" s="775"/>
      <c r="X20" s="1816"/>
      <c r="Y20" s="3174"/>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42.75">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28.5">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2563</v>
      </c>
      <c r="Q32" s="1813">
        <f t="shared" si="8"/>
        <v>111</v>
      </c>
      <c r="R32" s="774" t="s">
        <v>17</v>
      </c>
      <c r="S32" s="775">
        <f t="shared" si="10"/>
        <v>100</v>
      </c>
      <c r="T32" s="774" t="s">
        <v>17</v>
      </c>
      <c r="U32" s="775">
        <f t="shared" si="11"/>
        <v>100</v>
      </c>
      <c r="V32" s="774" t="s">
        <v>17</v>
      </c>
      <c r="W32" s="775">
        <f t="shared" si="12"/>
        <v>100</v>
      </c>
      <c r="X32" s="1816"/>
      <c r="Y32" s="3178" t="s">
        <v>2563</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2750</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2752</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2753</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8" t="s">
        <v>2563</v>
      </c>
      <c r="Q37" s="1813" t="str">
        <f t="shared" si="14"/>
        <v>工程地质条件</v>
      </c>
      <c r="R37" s="774" t="s">
        <v>17</v>
      </c>
      <c r="S37" s="775">
        <f t="shared" si="10"/>
        <v>100</v>
      </c>
      <c r="T37" s="774" t="s">
        <v>17</v>
      </c>
      <c r="U37" s="775">
        <f t="shared" si="11"/>
        <v>100</v>
      </c>
      <c r="V37" s="774" t="s">
        <v>17</v>
      </c>
      <c r="W37" s="775">
        <f t="shared" si="12"/>
        <v>100</v>
      </c>
      <c r="X37" s="1816"/>
      <c r="Y37" s="3178"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2718</v>
      </c>
      <c r="B41" s="2709" t="s">
        <v>2798</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186" t="s">
        <v>2762</v>
      </c>
      <c r="H50" s="3232"/>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57877.039999999994</v>
      </c>
      <c r="F51" s="691" t="e">
        <f t="shared" ref="F51:F60" si="15">ROUND(B51*E51/10000,0)</f>
        <v>#DIV/0!</v>
      </c>
      <c r="G51" s="3182"/>
      <c r="H51" s="3171"/>
      <c r="I51" s="945">
        <v>1</v>
      </c>
      <c r="J51" s="945">
        <v>1</v>
      </c>
      <c r="K51" s="1148"/>
      <c r="L51" s="944"/>
      <c r="M51" s="944"/>
      <c r="N51" s="944"/>
      <c r="O51" s="944"/>
    </row>
    <row r="52" spans="1:17" s="692" customFormat="1">
      <c r="A52" s="693" t="s">
        <v>2766</v>
      </c>
      <c r="B52" s="262" t="e">
        <f>ROUND($C$43*C52*D52,0)</f>
        <v>#DIV/0!</v>
      </c>
      <c r="C52" s="200">
        <f t="shared" ref="C52:C60" si="16">IF($C$50="北京市系数",I52,J52)</f>
        <v>0.7</v>
      </c>
      <c r="D52" s="1167">
        <v>0.25</v>
      </c>
      <c r="E52" s="694"/>
      <c r="F52" s="691" t="e">
        <f t="shared" si="15"/>
        <v>#DIV/0!</v>
      </c>
      <c r="G52" s="3233" t="s">
        <v>2767</v>
      </c>
      <c r="H52" s="1107" t="str">
        <f>项目基本情况!B37</f>
        <v>五级</v>
      </c>
      <c r="I52" s="945">
        <f>SUMIF(修正!A45:A56,H52,修正!B45:B56)</f>
        <v>0.7</v>
      </c>
      <c r="J52" s="946"/>
      <c r="K52" s="1147"/>
      <c r="L52" s="944"/>
      <c r="M52" s="944"/>
      <c r="N52" s="944"/>
      <c r="O52" s="944"/>
    </row>
    <row r="53" spans="1:17" s="692" customFormat="1">
      <c r="A53" s="693" t="s">
        <v>2768</v>
      </c>
      <c r="B53" s="262" t="e">
        <f t="shared" ref="B53:B60" si="17">ROUND($C$43*C53*D53,0)</f>
        <v>#DIV/0!</v>
      </c>
      <c r="C53" s="200">
        <f t="shared" si="16"/>
        <v>0.4</v>
      </c>
      <c r="D53" s="1167">
        <v>0.25</v>
      </c>
      <c r="E53" s="694"/>
      <c r="F53" s="691" t="e">
        <f t="shared" si="15"/>
        <v>#DIV/0!</v>
      </c>
      <c r="G53" s="3233"/>
      <c r="H53" s="1107" t="str">
        <f>项目基本情况!B37</f>
        <v>五级</v>
      </c>
      <c r="I53" s="945">
        <f>SUMIF(修正!A45:A56,H53,修正!C45:C56)</f>
        <v>0.4</v>
      </c>
      <c r="J53" s="946"/>
      <c r="K53" s="1148"/>
      <c r="L53" s="944"/>
      <c r="M53" s="944"/>
      <c r="N53" s="944"/>
      <c r="O53" s="944"/>
    </row>
    <row r="54" spans="1:17" s="692" customFormat="1">
      <c r="A54" s="693" t="s">
        <v>2769</v>
      </c>
      <c r="B54" s="262" t="e">
        <f t="shared" si="17"/>
        <v>#DIV/0!</v>
      </c>
      <c r="C54" s="200">
        <f t="shared" si="16"/>
        <v>0.28000000000000003</v>
      </c>
      <c r="D54" s="1167">
        <v>0.25</v>
      </c>
      <c r="E54" s="694"/>
      <c r="F54" s="691" t="e">
        <f t="shared" si="15"/>
        <v>#DIV/0!</v>
      </c>
      <c r="G54" s="3233"/>
      <c r="H54" s="1107" t="str">
        <f>项目基本情况!B37</f>
        <v>五级</v>
      </c>
      <c r="I54" s="945">
        <f>SUMIF(修正!A45:A56,H54,修正!D45:D56)</f>
        <v>0.28000000000000003</v>
      </c>
      <c r="J54" s="946"/>
      <c r="K54" s="1147"/>
      <c r="L54" s="944"/>
      <c r="M54" s="944"/>
      <c r="N54" s="944"/>
      <c r="O54" s="944"/>
    </row>
    <row r="55" spans="1:17" s="692" customFormat="1">
      <c r="A55" s="693" t="s">
        <v>2770</v>
      </c>
      <c r="B55" s="262" t="e">
        <f t="shared" si="17"/>
        <v>#DIV/0!</v>
      </c>
      <c r="C55" s="200">
        <f t="shared" si="16"/>
        <v>0.25</v>
      </c>
      <c r="D55" s="1167">
        <v>0.25</v>
      </c>
      <c r="E55" s="694"/>
      <c r="F55" s="691" t="e">
        <f t="shared" si="15"/>
        <v>#DIV/0!</v>
      </c>
      <c r="G55" s="3233"/>
      <c r="H55" s="1107" t="str">
        <f>项目基本情况!B37</f>
        <v>五级</v>
      </c>
      <c r="I55" s="945">
        <f>SUMIF(修正!A45:A56,H55,修正!E45:E56)</f>
        <v>0.25</v>
      </c>
      <c r="J55" s="946"/>
      <c r="K55" s="1148"/>
      <c r="L55" s="944"/>
      <c r="M55" s="944"/>
      <c r="N55" s="944"/>
      <c r="O55" s="944"/>
    </row>
    <row r="56" spans="1:17" s="692" customFormat="1">
      <c r="A56" s="693" t="s">
        <v>2771</v>
      </c>
      <c r="B56" s="262" t="e">
        <f t="shared" si="17"/>
        <v>#DIV/0!</v>
      </c>
      <c r="C56" s="200">
        <f t="shared" si="16"/>
        <v>0.25</v>
      </c>
      <c r="D56" s="1167">
        <v>0.25</v>
      </c>
      <c r="E56" s="261">
        <f>'数据-汇总表'!E11</f>
        <v>0</v>
      </c>
      <c r="F56" s="691" t="e">
        <f t="shared" si="15"/>
        <v>#DIV/0!</v>
      </c>
      <c r="G56" s="2714" t="s">
        <v>2772</v>
      </c>
      <c r="H56" s="1107" t="str">
        <f>项目基本情况!C37</f>
        <v>五级</v>
      </c>
      <c r="I56" s="945">
        <f>SUMIF(修正!A45:A56,H56,修正!F45:F56)</f>
        <v>0.25</v>
      </c>
      <c r="J56" s="946"/>
      <c r="K56" s="1147"/>
      <c r="L56" s="944"/>
      <c r="M56" s="944"/>
      <c r="N56" s="944"/>
      <c r="O56" s="944"/>
    </row>
    <row r="57" spans="1:17" s="692" customFormat="1">
      <c r="A57" s="693" t="s">
        <v>2773</v>
      </c>
      <c r="B57" s="262" t="e">
        <f t="shared" si="17"/>
        <v>#DIV/0!</v>
      </c>
      <c r="C57" s="200">
        <f t="shared" si="16"/>
        <v>0.25</v>
      </c>
      <c r="D57" s="1167">
        <v>0.25</v>
      </c>
      <c r="E57" s="261">
        <f>'数据-汇总表'!E12</f>
        <v>0</v>
      </c>
      <c r="F57" s="691" t="e">
        <f t="shared" si="15"/>
        <v>#DIV/0!</v>
      </c>
      <c r="G57" s="1112" t="s">
        <v>2774</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2775</v>
      </c>
      <c r="B58" s="262" t="e">
        <f t="shared" si="17"/>
        <v>#DIV/0!</v>
      </c>
      <c r="C58" s="200">
        <f t="shared" si="16"/>
        <v>0.2</v>
      </c>
      <c r="D58" s="1167">
        <v>0.25</v>
      </c>
      <c r="E58" s="261">
        <f>'数据-汇总表'!E13</f>
        <v>12304.83</v>
      </c>
      <c r="F58" s="691" t="e">
        <f t="shared" si="15"/>
        <v>#DIV/0!</v>
      </c>
      <c r="G58" s="1112" t="s">
        <v>2776</v>
      </c>
      <c r="H58" s="1107" t="str">
        <f>IF(G58="商业",项目基本情况!B37,IF(G58="办公",项目基本情况!C37,IF(G58="住宅",项目基本情况!D37,项目基本情况!E37)))</f>
        <v>五级</v>
      </c>
      <c r="I58" s="945">
        <f>SUMIF(修正!A45:A56,H58,修正!H45:H56)</f>
        <v>0.2</v>
      </c>
      <c r="J58" s="946"/>
      <c r="K58" s="1147"/>
      <c r="L58" s="944"/>
      <c r="M58" s="944"/>
      <c r="N58" s="944"/>
      <c r="O58" s="944"/>
    </row>
    <row r="59" spans="1:17" s="692" customFormat="1">
      <c r="A59" s="693" t="s">
        <v>2777</v>
      </c>
      <c r="B59" s="262" t="e">
        <f t="shared" si="17"/>
        <v>#DIV/0!</v>
      </c>
      <c r="C59" s="200">
        <f t="shared" si="16"/>
        <v>0.2</v>
      </c>
      <c r="D59" s="1167">
        <v>0.25</v>
      </c>
      <c r="E59" s="261">
        <f>'数据-汇总表'!E14</f>
        <v>0</v>
      </c>
      <c r="F59" s="691" t="e">
        <f t="shared" si="15"/>
        <v>#DIV/0!</v>
      </c>
      <c r="G59" s="2714" t="s">
        <v>2767</v>
      </c>
      <c r="H59" s="1107" t="str">
        <f>项目基本情况!B37</f>
        <v>五级</v>
      </c>
      <c r="I59" s="945">
        <f>SUMIF(修正!A45:A56,H59,修正!H45:H56)</f>
        <v>0.2</v>
      </c>
      <c r="J59" s="946"/>
      <c r="K59" s="1148"/>
      <c r="L59" s="944"/>
      <c r="M59" s="944"/>
      <c r="N59" s="944"/>
      <c r="O59" s="944"/>
    </row>
    <row r="60" spans="1:17" s="692" customFormat="1" ht="15" thickBot="1">
      <c r="A60" s="693" t="s">
        <v>2778</v>
      </c>
      <c r="B60" s="262" t="e">
        <f t="shared" si="17"/>
        <v>#DIV/0!</v>
      </c>
      <c r="C60" s="200">
        <f t="shared" si="16"/>
        <v>0.2</v>
      </c>
      <c r="D60" s="1167">
        <v>0.25</v>
      </c>
      <c r="E60" s="261">
        <f>'数据-汇总表'!E15</f>
        <v>0</v>
      </c>
      <c r="F60" s="691" t="e">
        <f t="shared" si="15"/>
        <v>#DIV/0!</v>
      </c>
      <c r="G60" s="2715" t="s">
        <v>2772</v>
      </c>
      <c r="H60" s="1117" t="str">
        <f>项目基本情况!C37</f>
        <v>五级</v>
      </c>
      <c r="I60" s="945">
        <f>SUMIF(修正!A45:A56,H60,修正!H45:H56)</f>
        <v>0.2</v>
      </c>
      <c r="J60" s="946"/>
      <c r="K60" s="1147"/>
      <c r="L60" s="944"/>
      <c r="M60" s="944"/>
      <c r="N60" s="944"/>
      <c r="O60" s="944"/>
    </row>
    <row r="61" spans="1:17" s="692" customFormat="1" ht="15" thickBot="1">
      <c r="A61" s="695" t="s">
        <v>2779</v>
      </c>
      <c r="B61" s="696" t="s">
        <v>28</v>
      </c>
      <c r="C61" s="696" t="s">
        <v>29</v>
      </c>
      <c r="D61" s="696" t="s">
        <v>1028</v>
      </c>
      <c r="E61" s="696">
        <f>IF(B41="楼面地价",SUM(E51:E60),'数据-汇总表'!D3)</f>
        <v>31510.77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1" t="s">
        <v>2800</v>
      </c>
      <c r="B66" s="332" t="str">
        <f>"北京市平均增长率"&amp;TEXT(基准地价修正1!P24,"0.00%")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SUMPRODUCT((A105:A204=ROUNDDOWN(基准地价修正1!G3,1))*(B104:M104=基准地价修正1!G2)*(B105:M204))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64136</v>
      </c>
      <c r="C2" s="2" t="s">
        <v>133</v>
      </c>
      <c r="D2" s="243"/>
      <c r="E2" s="243"/>
      <c r="F2" s="243"/>
      <c r="G2" s="243"/>
    </row>
    <row r="3" spans="1:7" s="244" customFormat="1" ht="18" customHeight="1" thickBot="1">
      <c r="A3" s="247" t="s">
        <v>85</v>
      </c>
      <c r="B3" s="248">
        <f ca="1">ROUND(B2*10000/'数据-汇总表'!E3,0)</f>
        <v>9139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1147</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1404</v>
      </c>
      <c r="D10" s="1035">
        <f>'数据-汇总表'!E6</f>
        <v>70181.87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1404</v>
      </c>
      <c r="D19" s="1039">
        <f>'数据-汇总表'!E3</f>
        <v>70181.87</v>
      </c>
      <c r="E19" s="255">
        <f>'数据-取费表'!B31</f>
        <v>200</v>
      </c>
      <c r="F19" s="275"/>
      <c r="G19" s="1" t="s">
        <v>1073</v>
      </c>
    </row>
    <row r="20" spans="1:7" s="258" customFormat="1" ht="13.5" customHeight="1">
      <c r="A20" s="951" t="s">
        <v>1056</v>
      </c>
      <c r="B20" s="254" t="s">
        <v>104</v>
      </c>
      <c r="C20" s="276">
        <f>ROUND((C5+C19)*F20,0)</f>
        <v>440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2162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137</v>
      </c>
      <c r="D24" s="282"/>
      <c r="E24" s="282"/>
      <c r="F24" s="283"/>
      <c r="G24" s="284" t="s">
        <v>109</v>
      </c>
    </row>
    <row r="25" spans="1:7" s="258" customFormat="1" ht="24">
      <c r="A25" s="954" t="s">
        <v>792</v>
      </c>
      <c r="B25" s="259" t="s">
        <v>1057</v>
      </c>
      <c r="C25" s="1358">
        <f ca="1">ROUND(IF('数据-取费表'!B22&lt;=1,C20*F22*'数据-取费表'!B23/2,C20*(POWER((1+F22),'数据-取费表'!B23/2)-1)),0)</f>
        <v>21</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4.75">
      <c r="A27" s="951" t="s">
        <v>786</v>
      </c>
      <c r="B27" s="288" t="s">
        <v>112</v>
      </c>
      <c r="C27" s="289">
        <f>C28</f>
        <v>5614</v>
      </c>
      <c r="D27" s="279">
        <f>C29</f>
        <v>5.0000000000000001E-3</v>
      </c>
      <c r="E27" s="280" t="s">
        <v>126</v>
      </c>
      <c r="F27" s="290">
        <f>'数据-取费表'!Q16</f>
        <v>0.25</v>
      </c>
      <c r="G27" s="291" t="s">
        <v>1068</v>
      </c>
    </row>
    <row r="28" spans="1:7" s="258" customFormat="1" ht="13.5" customHeight="1">
      <c r="A28" s="954" t="s">
        <v>793</v>
      </c>
      <c r="B28" s="292" t="s">
        <v>1061</v>
      </c>
      <c r="C28" s="293">
        <f>ROUND((C5+C19+C20)*F27*'数据-取费表'!B21/'数据-取费表'!B20,0)</f>
        <v>5614</v>
      </c>
      <c r="D28" s="279"/>
      <c r="E28" s="280"/>
      <c r="F28" s="290"/>
      <c r="G28" s="291"/>
    </row>
    <row r="29" spans="1:7" s="258" customFormat="1" ht="13.5" customHeight="1">
      <c r="A29" s="954" t="s">
        <v>791</v>
      </c>
      <c r="B29" s="292" t="s">
        <v>1062</v>
      </c>
      <c r="C29" s="282">
        <f>ROUND(C21*F27*'数据-取费表'!B21/'数据-取费表'!B20,4)</f>
        <v>5.0000000000000001E-3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32835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27564</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24564</v>
      </c>
      <c r="D34" s="261"/>
      <c r="E34" s="264"/>
      <c r="F34" s="301">
        <f>IF('数据-取费表'!B24=0,1,'数据-取费表'!N16)</f>
        <v>1</v>
      </c>
      <c r="G34" s="263" t="s">
        <v>116</v>
      </c>
    </row>
    <row r="35" spans="1:7" ht="13.5" customHeight="1">
      <c r="A35" s="954" t="s">
        <v>795</v>
      </c>
      <c r="B35" s="259" t="s">
        <v>60</v>
      </c>
      <c r="C35" s="264">
        <f>ROUND(C34*F35,0)</f>
        <v>1228</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1404</v>
      </c>
      <c r="D37" s="261">
        <f>'数据-汇总表'!E3</f>
        <v>70181.87</v>
      </c>
      <c r="E37" s="293">
        <f>'数据-取费表'!B35</f>
        <v>200</v>
      </c>
      <c r="F37" s="303"/>
      <c r="G37" s="305" t="s">
        <v>119</v>
      </c>
    </row>
    <row r="38" spans="1:7" ht="13.5" customHeight="1">
      <c r="A38" s="954" t="s">
        <v>798</v>
      </c>
      <c r="B38" s="259" t="s">
        <v>63</v>
      </c>
      <c r="C38" s="264">
        <f>ROUND(C34*F38,0)</f>
        <v>368</v>
      </c>
      <c r="D38" s="264"/>
      <c r="E38" s="264"/>
      <c r="F38" s="303">
        <f>'数据-取费表'!B36</f>
        <v>1.4999999999999999E-2</v>
      </c>
      <c r="G38" s="263" t="s">
        <v>117</v>
      </c>
    </row>
    <row r="39" spans="1:7" s="258" customFormat="1" ht="13.5" customHeight="1">
      <c r="A39" s="951" t="s">
        <v>782</v>
      </c>
      <c r="B39" s="254" t="s">
        <v>104</v>
      </c>
      <c r="C39" s="276">
        <f>ROUND(C33*F20,0)</f>
        <v>551</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1335</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1309</v>
      </c>
      <c r="D42" s="282"/>
      <c r="E42" s="282"/>
      <c r="F42" s="283"/>
      <c r="G42" s="3138" t="s">
        <v>121</v>
      </c>
    </row>
    <row r="43" spans="1:7" ht="13.5" customHeight="1">
      <c r="A43" s="954" t="s">
        <v>791</v>
      </c>
      <c r="B43" s="259" t="s">
        <v>1063</v>
      </c>
      <c r="C43" s="282">
        <f ca="1">ROUND(IF('数据-取费表'!B22&lt;=1,C39*F22*'数据-取费表'!B21/2,C39*(POWER((1+F22),'数据-取费表'!B21/2)-1)),0)</f>
        <v>26</v>
      </c>
      <c r="D43" s="282"/>
      <c r="E43" s="282"/>
      <c r="F43" s="283"/>
      <c r="G43" s="3139"/>
    </row>
    <row r="44" spans="1:7" ht="13.5" customHeight="1">
      <c r="A44" s="954" t="s">
        <v>792</v>
      </c>
      <c r="B44" s="259" t="s">
        <v>1065</v>
      </c>
      <c r="C44" s="282">
        <f ca="1">ROUND(IF('数据-取费表'!B22&lt;=1,C40*F22*'数据-取费表'!B21/2,C40*(POWER((1+F22),'数据-取费表'!B21/2)-1)),4)</f>
        <v>1E-3</v>
      </c>
      <c r="D44" s="282"/>
      <c r="E44" s="282"/>
      <c r="F44" s="283"/>
      <c r="G44" s="3140"/>
    </row>
    <row r="45" spans="1:7" s="258" customFormat="1" ht="13.5" customHeight="1">
      <c r="A45" s="951" t="s">
        <v>785</v>
      </c>
      <c r="B45" s="288" t="s">
        <v>112</v>
      </c>
      <c r="C45" s="289">
        <f>C46</f>
        <v>7029</v>
      </c>
      <c r="D45" s="279">
        <f>C47</f>
        <v>5.0000000000000001E-3</v>
      </c>
      <c r="E45" s="280" t="s">
        <v>129</v>
      </c>
      <c r="F45" s="290"/>
      <c r="G45" s="291" t="s">
        <v>1071</v>
      </c>
    </row>
    <row r="46" spans="1:7" s="258" customFormat="1" ht="13.5" customHeight="1">
      <c r="A46" s="954" t="s">
        <v>793</v>
      </c>
      <c r="B46" s="292" t="s">
        <v>1064</v>
      </c>
      <c r="C46" s="293">
        <f>ROUND((C33+C39)*F27,0)</f>
        <v>7029</v>
      </c>
      <c r="D46" s="307"/>
      <c r="E46" s="280"/>
      <c r="F46" s="290"/>
      <c r="G46" s="291"/>
    </row>
    <row r="47" spans="1:7" s="258" customFormat="1" ht="13.5" customHeight="1">
      <c r="A47" s="954" t="s">
        <v>791</v>
      </c>
      <c r="B47" s="292" t="s">
        <v>1066</v>
      </c>
      <c r="C47" s="282">
        <f>ROUND(C40*F27,4)</f>
        <v>5.0000000000000001E-3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39622</v>
      </c>
      <c r="D49" s="276"/>
      <c r="E49" s="276"/>
      <c r="F49" s="308"/>
      <c r="G49" s="278" t="s">
        <v>1072</v>
      </c>
    </row>
    <row r="50" spans="1:7" s="302" customFormat="1" ht="24">
      <c r="A50" s="951" t="s">
        <v>788</v>
      </c>
      <c r="B50" s="254" t="s">
        <v>124</v>
      </c>
      <c r="C50" s="276"/>
      <c r="D50" s="276"/>
      <c r="E50" s="276"/>
      <c r="F50" s="308">
        <f>IF('数据-取费表'!B24=0,'数据-取费表'!N16,1)</f>
        <v>0.79</v>
      </c>
      <c r="G50" s="291" t="s">
        <v>125</v>
      </c>
    </row>
    <row r="51" spans="1:7" ht="16.5" customHeight="1">
      <c r="A51" s="951" t="s">
        <v>789</v>
      </c>
      <c r="B51" s="254" t="s">
        <v>132</v>
      </c>
      <c r="C51" s="276">
        <f ca="1">ROUND(C49*F50,0)</f>
        <v>31301</v>
      </c>
      <c r="D51" s="276"/>
      <c r="E51" s="276"/>
      <c r="F51" s="308"/>
      <c r="G51" s="278" t="s">
        <v>64</v>
      </c>
    </row>
    <row r="52" spans="1:7" s="252" customFormat="1" ht="16.5" thickBot="1">
      <c r="A52" s="309" t="s">
        <v>65</v>
      </c>
      <c r="B52" s="310"/>
      <c r="C52" s="311">
        <f ca="1">C31+C51</f>
        <v>64136</v>
      </c>
      <c r="D52" s="310"/>
      <c r="E52" s="310"/>
      <c r="F52" s="310"/>
      <c r="G52" s="312"/>
    </row>
    <row r="55" spans="1:7" ht="15">
      <c r="B55" s="314" t="s">
        <v>66</v>
      </c>
      <c r="C55" s="315"/>
    </row>
    <row r="56" spans="1:7">
      <c r="B56" s="317" t="s">
        <v>67</v>
      </c>
      <c r="C56" s="318">
        <f ca="1">ROUND(C51/C52,3)</f>
        <v>0.48799999999999999</v>
      </c>
    </row>
    <row r="57" spans="1:7">
      <c r="B57" s="317" t="s">
        <v>68</v>
      </c>
      <c r="C57" s="319">
        <f ca="1">1-C56</f>
        <v>0.51200000000000001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870</v>
      </c>
      <c r="B1" s="3273"/>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43157</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S3158"/>
  <sheetViews>
    <sheetView showZeros="0" zoomScaleNormal="100" workbookViewId="0">
      <pane xSplit="10" ySplit="6" topLeftCell="N7" activePane="bottomRight" state="frozen"/>
      <selection pane="topRight"/>
      <selection pane="bottomLeft"/>
      <selection pane="bottomRight" activeCell="S14" sqref="S14"/>
    </sheetView>
  </sheetViews>
  <sheetFormatPr defaultColWidth="8.5" defaultRowHeight="13.5" customHeight="1" outlineLevelRow="2"/>
  <cols>
    <col min="1" max="1" width="6.125" style="3431" customWidth="1"/>
    <col min="2" max="2" width="7.5" style="3365" customWidth="1"/>
    <col min="3" max="3" width="11.875" style="3365" customWidth="1"/>
    <col min="4" max="4" width="12.375" style="3365" customWidth="1"/>
    <col min="5" max="5" width="8.25" style="3365" customWidth="1"/>
    <col min="6" max="6" width="9.75" style="3432" customWidth="1"/>
    <col min="7" max="7" width="11.375" style="3433" customWidth="1"/>
    <col min="8" max="8" width="9.5" style="3433" customWidth="1"/>
    <col min="9" max="9" width="10.125" style="3433" customWidth="1"/>
    <col min="10" max="10" width="7.5" style="3365" customWidth="1"/>
    <col min="11" max="15" width="8.5" style="3365"/>
    <col min="16" max="19" width="11.875" style="3365" customWidth="1"/>
    <col min="20" max="16384" width="8.5" style="3365"/>
  </cols>
  <sheetData>
    <row r="1" spans="1:19" s="3302" customFormat="1" ht="13.5" customHeight="1">
      <c r="A1" s="3295" t="s">
        <v>3109</v>
      </c>
      <c r="B1" s="3296"/>
      <c r="C1" s="3296"/>
      <c r="D1" s="3297" t="s">
        <v>3110</v>
      </c>
      <c r="E1" s="3297"/>
      <c r="F1" s="3298"/>
      <c r="G1" s="3299"/>
      <c r="H1" s="3300"/>
      <c r="I1" s="3300" t="s">
        <v>3111</v>
      </c>
      <c r="J1" s="3301"/>
      <c r="O1" s="3303" t="s">
        <v>3112</v>
      </c>
      <c r="P1" s="3304" t="s">
        <v>3113</v>
      </c>
      <c r="Q1" s="3304" t="s">
        <v>5241</v>
      </c>
      <c r="R1" s="3304" t="s">
        <v>5240</v>
      </c>
      <c r="S1" s="3304"/>
    </row>
    <row r="2" spans="1:19" s="3302" customFormat="1" ht="13.5" customHeight="1">
      <c r="A2" s="3295" t="s">
        <v>3114</v>
      </c>
      <c r="B2" s="3296"/>
      <c r="C2" s="3305"/>
      <c r="D2" s="3306">
        <v>43130</v>
      </c>
      <c r="E2" s="3306"/>
      <c r="F2" s="3307"/>
      <c r="G2" s="3300"/>
      <c r="H2" s="3300"/>
      <c r="I2" s="3300"/>
      <c r="J2" s="3301"/>
      <c r="O2" s="3303"/>
      <c r="P2" s="3304"/>
      <c r="Q2" s="3304"/>
      <c r="R2" s="3304"/>
      <c r="S2" s="3304"/>
    </row>
    <row r="3" spans="1:19" s="3309" customFormat="1" ht="13.5" customHeight="1">
      <c r="A3" s="3308"/>
      <c r="B3" s="3308"/>
      <c r="C3" s="3308"/>
      <c r="D3" s="3308"/>
      <c r="E3" s="3308"/>
      <c r="F3" s="3308"/>
      <c r="G3" s="3308"/>
      <c r="H3" s="3308"/>
      <c r="I3" s="3308"/>
      <c r="J3" s="3308"/>
      <c r="O3" s="3303"/>
      <c r="P3" s="3304"/>
      <c r="Q3" s="3304"/>
      <c r="R3" s="3304"/>
      <c r="S3" s="3304"/>
    </row>
    <row r="4" spans="1:19" s="3313" customFormat="1" ht="13.5" customHeight="1">
      <c r="A4" s="3310" t="s">
        <v>3115</v>
      </c>
      <c r="B4" s="3311" t="s">
        <v>3112</v>
      </c>
      <c r="C4" s="3312" t="s">
        <v>3116</v>
      </c>
      <c r="D4" s="3312"/>
      <c r="E4" s="3312"/>
      <c r="F4" s="3312"/>
      <c r="G4" s="3312"/>
      <c r="H4" s="3312"/>
      <c r="I4" s="3312"/>
      <c r="J4" s="3312"/>
      <c r="O4" s="3314">
        <v>1</v>
      </c>
      <c r="P4" s="3314">
        <v>2</v>
      </c>
      <c r="Q4" s="3314"/>
      <c r="R4" s="3314"/>
      <c r="S4" s="3314"/>
    </row>
    <row r="5" spans="1:19" s="3313" customFormat="1" ht="13.5" customHeight="1">
      <c r="A5" s="3310"/>
      <c r="B5" s="3315"/>
      <c r="C5" s="3316" t="s">
        <v>3117</v>
      </c>
      <c r="D5" s="3311" t="s">
        <v>3118</v>
      </c>
      <c r="E5" s="3311" t="s">
        <v>3119</v>
      </c>
      <c r="F5" s="3315" t="s">
        <v>3120</v>
      </c>
      <c r="G5" s="3317" t="s">
        <v>3121</v>
      </c>
      <c r="H5" s="3317"/>
      <c r="I5" s="3317"/>
      <c r="J5" s="3318" t="s">
        <v>3122</v>
      </c>
      <c r="O5" s="3319" t="s">
        <v>3123</v>
      </c>
      <c r="P5" s="3320">
        <v>7705.130000000001</v>
      </c>
      <c r="Q5" s="3320">
        <f>N1013</f>
        <v>12.326776160591081</v>
      </c>
      <c r="R5" s="3320">
        <f>面积表!E3</f>
        <v>12304.83</v>
      </c>
      <c r="S5" s="3320">
        <f>P5/R5*Q5</f>
        <v>7.7188724101231116</v>
      </c>
    </row>
    <row r="6" spans="1:19" s="3313" customFormat="1" ht="13.5" customHeight="1">
      <c r="A6" s="3310"/>
      <c r="B6" s="3315"/>
      <c r="C6" s="3321"/>
      <c r="D6" s="3315"/>
      <c r="E6" s="3315"/>
      <c r="F6" s="3315"/>
      <c r="G6" s="3322" t="s">
        <v>3124</v>
      </c>
      <c r="H6" s="3322" t="s">
        <v>3125</v>
      </c>
      <c r="I6" s="3322" t="s">
        <v>3126</v>
      </c>
      <c r="J6" s="3318"/>
      <c r="O6" s="3319" t="s">
        <v>3127</v>
      </c>
      <c r="P6" s="3320">
        <v>8859.6</v>
      </c>
      <c r="Q6" s="3320">
        <f>N1691</f>
        <v>11.63307955150035</v>
      </c>
      <c r="R6" s="3320">
        <f>面积表!E4</f>
        <v>11669.09</v>
      </c>
      <c r="S6" s="3320">
        <f t="shared" ref="S6:S10" si="0">P6/R6*Q6</f>
        <v>8.8322595501853627</v>
      </c>
    </row>
    <row r="7" spans="1:19" s="3327" customFormat="1" ht="13.5" customHeight="1">
      <c r="A7" s="3323"/>
      <c r="B7" s="3324" t="s">
        <v>3128</v>
      </c>
      <c r="C7" s="3324" t="s">
        <v>3129</v>
      </c>
      <c r="D7" s="3324" t="s">
        <v>3130</v>
      </c>
      <c r="E7" s="3325">
        <v>125.2</v>
      </c>
      <c r="F7" s="3325">
        <v>240</v>
      </c>
      <c r="G7" s="3326">
        <v>41699</v>
      </c>
      <c r="H7" s="3326">
        <v>42093</v>
      </c>
      <c r="I7" s="3326">
        <v>42094</v>
      </c>
      <c r="J7" s="3324"/>
      <c r="O7" s="3319" t="s">
        <v>3131</v>
      </c>
      <c r="P7" s="3320">
        <v>9138.89</v>
      </c>
      <c r="Q7" s="3320">
        <f>N2042</f>
        <v>9.6320048313217281</v>
      </c>
      <c r="R7" s="3320">
        <f>面积表!E5</f>
        <v>11633.97</v>
      </c>
      <c r="S7" s="3320">
        <f t="shared" si="0"/>
        <v>7.5662763985911798</v>
      </c>
    </row>
    <row r="8" spans="1:19" s="3327" customFormat="1" ht="13.5" customHeight="1">
      <c r="A8" s="3323"/>
      <c r="B8" s="3324" t="s">
        <v>3128</v>
      </c>
      <c r="C8" s="3324" t="s">
        <v>3129</v>
      </c>
      <c r="D8" s="3324" t="s">
        <v>3130</v>
      </c>
      <c r="E8" s="3325">
        <v>125.2</v>
      </c>
      <c r="F8" s="3325">
        <v>240</v>
      </c>
      <c r="G8" s="3326">
        <v>42095</v>
      </c>
      <c r="H8" s="3326">
        <v>42154</v>
      </c>
      <c r="I8" s="3326">
        <v>42155</v>
      </c>
      <c r="J8" s="3324"/>
      <c r="O8" s="3319" t="s">
        <v>3132</v>
      </c>
      <c r="P8" s="3320">
        <v>9172.7900000000009</v>
      </c>
      <c r="Q8" s="3320">
        <f>N2386</f>
        <v>9.9482878278781293</v>
      </c>
      <c r="R8" s="3320">
        <f>面积表!E6</f>
        <v>11667.07</v>
      </c>
      <c r="S8" s="3320">
        <f t="shared" si="0"/>
        <v>7.8214628955412318</v>
      </c>
    </row>
    <row r="9" spans="1:19" s="3327" customFormat="1" ht="13.5" customHeight="1">
      <c r="A9" s="3323"/>
      <c r="B9" s="3324" t="s">
        <v>3128</v>
      </c>
      <c r="C9" s="3324" t="s">
        <v>3133</v>
      </c>
      <c r="D9" s="3324" t="s">
        <v>3130</v>
      </c>
      <c r="E9" s="3325">
        <v>125.2</v>
      </c>
      <c r="F9" s="3325">
        <v>240</v>
      </c>
      <c r="G9" s="3326">
        <v>42156</v>
      </c>
      <c r="H9" s="3326">
        <v>42459</v>
      </c>
      <c r="I9" s="3326">
        <v>42460</v>
      </c>
      <c r="J9" s="3324"/>
      <c r="O9" s="3319" t="s">
        <v>3134</v>
      </c>
      <c r="P9" s="3320">
        <v>9124.17</v>
      </c>
      <c r="Q9" s="3320">
        <f>N2747</f>
        <v>10.069657832830881</v>
      </c>
      <c r="R9" s="3320">
        <f>面积表!E7</f>
        <v>11385.89</v>
      </c>
      <c r="S9" s="3320">
        <f t="shared" si="0"/>
        <v>8.06939728985442</v>
      </c>
    </row>
    <row r="10" spans="1:19" s="3327" customFormat="1" ht="13.5" customHeight="1">
      <c r="A10" s="3323"/>
      <c r="B10" s="3324" t="s">
        <v>3128</v>
      </c>
      <c r="C10" s="3324" t="s">
        <v>3133</v>
      </c>
      <c r="D10" s="3324" t="s">
        <v>3130</v>
      </c>
      <c r="E10" s="3325">
        <v>125.2</v>
      </c>
      <c r="F10" s="3325">
        <v>240</v>
      </c>
      <c r="G10" s="3326">
        <v>42461</v>
      </c>
      <c r="H10" s="3326">
        <v>42824</v>
      </c>
      <c r="I10" s="3326">
        <v>42825</v>
      </c>
      <c r="J10" s="3324"/>
      <c r="O10" s="3319" t="s">
        <v>3135</v>
      </c>
      <c r="P10" s="3320">
        <v>8756.34</v>
      </c>
      <c r="Q10" s="3320">
        <f>N2747</f>
        <v>10.069657832830881</v>
      </c>
      <c r="R10" s="3320">
        <f>面积表!E9+面积表!E8</f>
        <v>11521.02</v>
      </c>
      <c r="S10" s="3320">
        <f t="shared" si="0"/>
        <v>7.6532587972185055</v>
      </c>
    </row>
    <row r="11" spans="1:19" s="3327" customFormat="1" ht="13.5" customHeight="1">
      <c r="A11" s="3323"/>
      <c r="B11" s="3328" t="s">
        <v>3128</v>
      </c>
      <c r="C11" s="3328" t="s">
        <v>3136</v>
      </c>
      <c r="D11" s="3328" t="s">
        <v>3137</v>
      </c>
      <c r="E11" s="3329">
        <v>125.2</v>
      </c>
      <c r="F11" s="3329">
        <v>220</v>
      </c>
      <c r="G11" s="3330">
        <v>42826</v>
      </c>
      <c r="H11" s="3330">
        <v>42885</v>
      </c>
      <c r="I11" s="3330">
        <v>42886</v>
      </c>
      <c r="J11" s="3324"/>
      <c r="O11" s="3319" t="s">
        <v>3138</v>
      </c>
      <c r="P11" s="3320">
        <v>0</v>
      </c>
      <c r="Q11" s="3320"/>
      <c r="R11" s="3320"/>
      <c r="S11" s="3320"/>
    </row>
    <row r="12" spans="1:19" s="3327" customFormat="1" ht="13.5" customHeight="1">
      <c r="A12" s="3323"/>
      <c r="B12" s="3331" t="s">
        <v>3128</v>
      </c>
      <c r="C12" s="3331" t="s">
        <v>3136</v>
      </c>
      <c r="D12" s="3331" t="s">
        <v>3137</v>
      </c>
      <c r="E12" s="3332">
        <v>125.2</v>
      </c>
      <c r="F12" s="3332">
        <v>220</v>
      </c>
      <c r="G12" s="3333">
        <v>42887</v>
      </c>
      <c r="H12" s="3333">
        <v>42887</v>
      </c>
      <c r="I12" s="3333">
        <v>43190</v>
      </c>
      <c r="J12" s="3324"/>
      <c r="K12" s="3334">
        <f>E12</f>
        <v>125.2</v>
      </c>
      <c r="L12" s="3334">
        <f>F12/30</f>
        <v>7.333333333333333</v>
      </c>
      <c r="O12" s="3319" t="s">
        <v>3139</v>
      </c>
      <c r="P12" s="3320"/>
      <c r="Q12" s="3320"/>
      <c r="R12" s="3320"/>
      <c r="S12" s="3320"/>
    </row>
    <row r="13" spans="1:19" s="3327" customFormat="1" ht="13.5" customHeight="1">
      <c r="A13" s="3335"/>
      <c r="B13" s="3324" t="s">
        <v>3128</v>
      </c>
      <c r="C13" s="3324" t="s">
        <v>3140</v>
      </c>
      <c r="D13" s="3324" t="s">
        <v>3141</v>
      </c>
      <c r="E13" s="3325">
        <v>88</v>
      </c>
      <c r="F13" s="3325">
        <v>360</v>
      </c>
      <c r="G13" s="3326">
        <v>41000</v>
      </c>
      <c r="H13" s="3326">
        <v>41363</v>
      </c>
      <c r="I13" s="3326">
        <v>41364</v>
      </c>
      <c r="J13" s="3336"/>
      <c r="O13" s="3314" t="s">
        <v>40</v>
      </c>
      <c r="P13" s="3337">
        <v>52756.92</v>
      </c>
      <c r="Q13" s="3337"/>
      <c r="R13" s="3337">
        <f>SUM(R5:R12)</f>
        <v>70181.87</v>
      </c>
      <c r="S13" s="3337">
        <f>ROUND(SUMPRODUCT(R5:R10,S5:S10)/SUM(R5:R10),2)</f>
        <v>7.94</v>
      </c>
    </row>
    <row r="14" spans="1:19" s="3327" customFormat="1" ht="13.5" customHeight="1">
      <c r="A14" s="3323"/>
      <c r="B14" s="3324" t="s">
        <v>3128</v>
      </c>
      <c r="C14" s="3324" t="s">
        <v>3142</v>
      </c>
      <c r="D14" s="3324" t="s">
        <v>3143</v>
      </c>
      <c r="E14" s="3325">
        <v>48.2</v>
      </c>
      <c r="F14" s="3325">
        <v>360</v>
      </c>
      <c r="G14" s="3326">
        <v>41699</v>
      </c>
      <c r="H14" s="3326">
        <v>41820</v>
      </c>
      <c r="I14" s="3326">
        <v>41364</v>
      </c>
      <c r="J14" s="3324"/>
    </row>
    <row r="15" spans="1:19" s="3327" customFormat="1" ht="12.75" customHeight="1">
      <c r="A15" s="3323"/>
      <c r="B15" s="3324" t="s">
        <v>3128</v>
      </c>
      <c r="C15" s="3324" t="s">
        <v>3144</v>
      </c>
      <c r="D15" s="3324" t="s">
        <v>3143</v>
      </c>
      <c r="E15" s="3325">
        <v>48.2</v>
      </c>
      <c r="F15" s="3325">
        <v>360</v>
      </c>
      <c r="G15" s="3326">
        <v>41821</v>
      </c>
      <c r="H15" s="3326">
        <v>42003</v>
      </c>
      <c r="I15" s="3326">
        <v>42094</v>
      </c>
      <c r="J15" s="3324"/>
    </row>
    <row r="16" spans="1:19" s="3327" customFormat="1" ht="12.75" customHeight="1">
      <c r="A16" s="3323"/>
      <c r="B16" s="3324" t="s">
        <v>3128</v>
      </c>
      <c r="C16" s="3324" t="s">
        <v>3144</v>
      </c>
      <c r="D16" s="3324" t="s">
        <v>3143</v>
      </c>
      <c r="E16" s="3325">
        <v>48.2</v>
      </c>
      <c r="F16" s="3325">
        <v>370</v>
      </c>
      <c r="G16" s="3326">
        <v>42005</v>
      </c>
      <c r="H16" s="3326">
        <v>42093</v>
      </c>
      <c r="I16" s="3326">
        <v>42094</v>
      </c>
      <c r="J16" s="3324"/>
    </row>
    <row r="17" spans="1:12" s="3327" customFormat="1" ht="12.75" customHeight="1">
      <c r="A17" s="3323"/>
      <c r="B17" s="3324" t="s">
        <v>3128</v>
      </c>
      <c r="C17" s="3324" t="s">
        <v>3144</v>
      </c>
      <c r="D17" s="3324" t="s">
        <v>3143</v>
      </c>
      <c r="E17" s="3325">
        <v>48.2</v>
      </c>
      <c r="F17" s="3325">
        <v>370</v>
      </c>
      <c r="G17" s="3326">
        <v>42095</v>
      </c>
      <c r="H17" s="3326">
        <v>42154</v>
      </c>
      <c r="I17" s="3326">
        <v>42155</v>
      </c>
      <c r="J17" s="3324"/>
    </row>
    <row r="18" spans="1:12" s="3327" customFormat="1" ht="12.75" customHeight="1">
      <c r="A18" s="3323"/>
      <c r="B18" s="3324" t="s">
        <v>3145</v>
      </c>
      <c r="C18" s="3324" t="s">
        <v>3146</v>
      </c>
      <c r="D18" s="3324" t="s">
        <v>3143</v>
      </c>
      <c r="E18" s="3325">
        <v>67.599999999999994</v>
      </c>
      <c r="F18" s="3325">
        <v>370</v>
      </c>
      <c r="G18" s="3326">
        <v>42156</v>
      </c>
      <c r="H18" s="3326">
        <v>42368</v>
      </c>
      <c r="I18" s="3326">
        <v>42460</v>
      </c>
      <c r="J18" s="3324"/>
    </row>
    <row r="19" spans="1:12" s="3327" customFormat="1" ht="12.75" customHeight="1">
      <c r="A19" s="3323"/>
      <c r="B19" s="3324" t="s">
        <v>3145</v>
      </c>
      <c r="C19" s="3324" t="s">
        <v>3147</v>
      </c>
      <c r="D19" s="3324" t="s">
        <v>3143</v>
      </c>
      <c r="E19" s="3325">
        <v>67.599999999999994</v>
      </c>
      <c r="F19" s="3325">
        <v>344</v>
      </c>
      <c r="G19" s="3326">
        <v>42370</v>
      </c>
      <c r="H19" s="3326">
        <v>42459</v>
      </c>
      <c r="I19" s="3326">
        <v>42460</v>
      </c>
      <c r="J19" s="3324"/>
    </row>
    <row r="20" spans="1:12" s="3327" customFormat="1" ht="12.75" customHeight="1">
      <c r="A20" s="3323"/>
      <c r="B20" s="3324" t="s">
        <v>3145</v>
      </c>
      <c r="C20" s="3324" t="s">
        <v>3147</v>
      </c>
      <c r="D20" s="3324" t="s">
        <v>3143</v>
      </c>
      <c r="E20" s="3325">
        <v>67.599999999999994</v>
      </c>
      <c r="F20" s="3325">
        <v>344</v>
      </c>
      <c r="G20" s="3326">
        <v>42461</v>
      </c>
      <c r="H20" s="3326">
        <v>42560</v>
      </c>
      <c r="I20" s="3326">
        <v>42825</v>
      </c>
      <c r="J20" s="3324"/>
    </row>
    <row r="21" spans="1:12" s="3327" customFormat="1" ht="12.75" customHeight="1">
      <c r="A21" s="3323"/>
      <c r="B21" s="3324" t="s">
        <v>3145</v>
      </c>
      <c r="C21" s="3324" t="s">
        <v>3148</v>
      </c>
      <c r="D21" s="3324" t="s">
        <v>3143</v>
      </c>
      <c r="E21" s="3325">
        <v>67.599999999999994</v>
      </c>
      <c r="F21" s="3325">
        <v>344</v>
      </c>
      <c r="G21" s="3326">
        <v>42561</v>
      </c>
      <c r="H21" s="3326">
        <v>42668</v>
      </c>
      <c r="I21" s="3326">
        <v>42825</v>
      </c>
      <c r="J21" s="3324"/>
    </row>
    <row r="22" spans="1:12" s="3327" customFormat="1" ht="12.75" customHeight="1">
      <c r="A22" s="3323"/>
      <c r="B22" s="3324" t="s">
        <v>3145</v>
      </c>
      <c r="C22" s="3324" t="s">
        <v>3149</v>
      </c>
      <c r="D22" s="3324" t="s">
        <v>3150</v>
      </c>
      <c r="E22" s="3325">
        <v>67.599999999999994</v>
      </c>
      <c r="F22" s="3325">
        <v>380</v>
      </c>
      <c r="G22" s="3326">
        <v>42679</v>
      </c>
      <c r="H22" s="3326">
        <v>42824</v>
      </c>
      <c r="I22" s="3326">
        <v>42825</v>
      </c>
      <c r="J22" s="3324"/>
    </row>
    <row r="23" spans="1:12" s="3327" customFormat="1" ht="12.75" customHeight="1">
      <c r="A23" s="3323"/>
      <c r="B23" s="3331" t="s">
        <v>3145</v>
      </c>
      <c r="C23" s="3331" t="s">
        <v>3149</v>
      </c>
      <c r="D23" s="3331" t="s">
        <v>3150</v>
      </c>
      <c r="E23" s="3332">
        <v>67.599999999999994</v>
      </c>
      <c r="F23" s="3332">
        <v>380</v>
      </c>
      <c r="G23" s="3333">
        <v>42827</v>
      </c>
      <c r="H23" s="3333">
        <v>42887</v>
      </c>
      <c r="I23" s="3333">
        <v>43190</v>
      </c>
      <c r="J23" s="3324"/>
      <c r="K23" s="3334">
        <f>E23</f>
        <v>67.599999999999994</v>
      </c>
      <c r="L23" s="3334">
        <f>F23/30</f>
        <v>12.666666666666666</v>
      </c>
    </row>
    <row r="24" spans="1:12" s="3327" customFormat="1" ht="12.75" customHeight="1">
      <c r="A24" s="3323" t="s">
        <v>3151</v>
      </c>
      <c r="B24" s="3331" t="s">
        <v>3145</v>
      </c>
      <c r="C24" s="3331" t="s">
        <v>3152</v>
      </c>
      <c r="D24" s="3331" t="s">
        <v>3153</v>
      </c>
      <c r="E24" s="3332">
        <v>245.13</v>
      </c>
      <c r="F24" s="3332">
        <v>380</v>
      </c>
      <c r="G24" s="3333">
        <v>42888</v>
      </c>
      <c r="H24" s="3333">
        <v>43130</v>
      </c>
      <c r="I24" s="3333">
        <v>43190</v>
      </c>
      <c r="J24" s="3324"/>
      <c r="K24" s="3334">
        <f>E24</f>
        <v>245.13</v>
      </c>
      <c r="L24" s="3334">
        <f>F24/30</f>
        <v>12.666666666666666</v>
      </c>
    </row>
    <row r="25" spans="1:12" s="3327" customFormat="1" ht="12.75" customHeight="1">
      <c r="A25" s="3323"/>
      <c r="B25" s="3324" t="s">
        <v>3128</v>
      </c>
      <c r="C25" s="3324" t="s">
        <v>3154</v>
      </c>
      <c r="D25" s="3324" t="s">
        <v>3155</v>
      </c>
      <c r="E25" s="3325">
        <v>104.3</v>
      </c>
      <c r="F25" s="3325">
        <v>360</v>
      </c>
      <c r="G25" s="3326">
        <v>41699</v>
      </c>
      <c r="H25" s="3326">
        <v>41792</v>
      </c>
      <c r="I25" s="3326">
        <v>42094</v>
      </c>
      <c r="J25" s="3324"/>
    </row>
    <row r="26" spans="1:12" s="3327" customFormat="1" ht="12.75" customHeight="1">
      <c r="A26" s="3323"/>
      <c r="B26" s="3324" t="s">
        <v>3128</v>
      </c>
      <c r="C26" s="3324" t="s">
        <v>3154</v>
      </c>
      <c r="D26" s="3324" t="s">
        <v>3155</v>
      </c>
      <c r="E26" s="3325">
        <v>104.3</v>
      </c>
      <c r="F26" s="3325"/>
      <c r="G26" s="3326">
        <v>41793</v>
      </c>
      <c r="H26" s="3326">
        <v>42003</v>
      </c>
      <c r="I26" s="3326">
        <v>42094</v>
      </c>
      <c r="J26" s="3324"/>
    </row>
    <row r="27" spans="1:12" s="3327" customFormat="1" ht="12.75" customHeight="1">
      <c r="A27" s="3323"/>
      <c r="B27" s="3324" t="s">
        <v>3128</v>
      </c>
      <c r="C27" s="3324" t="s">
        <v>3154</v>
      </c>
      <c r="D27" s="3324" t="s">
        <v>3155</v>
      </c>
      <c r="E27" s="3325">
        <v>104.3</v>
      </c>
      <c r="F27" s="3325">
        <v>370</v>
      </c>
      <c r="G27" s="3326">
        <v>42005</v>
      </c>
      <c r="H27" s="3326">
        <v>42093</v>
      </c>
      <c r="I27" s="3326">
        <v>42094</v>
      </c>
      <c r="J27" s="3324"/>
    </row>
    <row r="28" spans="1:12" s="3327" customFormat="1" ht="12.75" customHeight="1">
      <c r="A28" s="3323"/>
      <c r="B28" s="3324" t="s">
        <v>3128</v>
      </c>
      <c r="C28" s="3324" t="s">
        <v>3154</v>
      </c>
      <c r="D28" s="3324" t="s">
        <v>3155</v>
      </c>
      <c r="E28" s="3325">
        <v>104.3</v>
      </c>
      <c r="F28" s="3325">
        <v>370</v>
      </c>
      <c r="G28" s="3326">
        <v>42095</v>
      </c>
      <c r="H28" s="3326">
        <v>42154</v>
      </c>
      <c r="I28" s="3326">
        <v>42155</v>
      </c>
      <c r="J28" s="3324"/>
    </row>
    <row r="29" spans="1:12" s="3327" customFormat="1" ht="12.75" customHeight="1">
      <c r="A29" s="3323"/>
      <c r="B29" s="3324" t="s">
        <v>3128</v>
      </c>
      <c r="C29" s="3324" t="s">
        <v>3156</v>
      </c>
      <c r="D29" s="3324" t="s">
        <v>3155</v>
      </c>
      <c r="E29" s="3325">
        <v>106.8</v>
      </c>
      <c r="F29" s="3325">
        <v>370</v>
      </c>
      <c r="G29" s="3326">
        <v>42156</v>
      </c>
      <c r="H29" s="3326">
        <v>42215</v>
      </c>
      <c r="I29" s="3326">
        <v>42460</v>
      </c>
      <c r="J29" s="3324"/>
    </row>
    <row r="30" spans="1:12" s="3327" customFormat="1" ht="12.75" customHeight="1">
      <c r="A30" s="3323"/>
      <c r="B30" s="3336" t="s">
        <v>3128</v>
      </c>
      <c r="C30" s="3336" t="s">
        <v>3156</v>
      </c>
      <c r="D30" s="3336" t="s">
        <v>3155</v>
      </c>
      <c r="E30" s="3338">
        <v>103.8</v>
      </c>
      <c r="F30" s="3339">
        <v>370</v>
      </c>
      <c r="G30" s="3340">
        <v>42217</v>
      </c>
      <c r="H30" s="3340">
        <v>42459</v>
      </c>
      <c r="I30" s="3340">
        <v>42460</v>
      </c>
      <c r="J30" s="3324"/>
    </row>
    <row r="31" spans="1:12" s="3327" customFormat="1" ht="12.75" customHeight="1">
      <c r="A31" s="3323"/>
      <c r="B31" s="3336" t="s">
        <v>3128</v>
      </c>
      <c r="C31" s="3336" t="s">
        <v>3156</v>
      </c>
      <c r="D31" s="3336" t="s">
        <v>3155</v>
      </c>
      <c r="E31" s="3339">
        <v>103.8</v>
      </c>
      <c r="F31" s="3339">
        <v>380</v>
      </c>
      <c r="G31" s="3340">
        <v>42461</v>
      </c>
      <c r="H31" s="3340">
        <v>42824</v>
      </c>
      <c r="I31" s="3340">
        <v>42825</v>
      </c>
      <c r="J31" s="3324"/>
    </row>
    <row r="32" spans="1:12" s="3327" customFormat="1" ht="12.75" customHeight="1">
      <c r="A32" s="3323" t="s">
        <v>3151</v>
      </c>
      <c r="B32" s="3331" t="s">
        <v>3128</v>
      </c>
      <c r="C32" s="3331" t="s">
        <v>3156</v>
      </c>
      <c r="D32" s="3331" t="s">
        <v>3157</v>
      </c>
      <c r="E32" s="3332">
        <v>103.8</v>
      </c>
      <c r="F32" s="3332">
        <v>380</v>
      </c>
      <c r="G32" s="3333">
        <v>42826</v>
      </c>
      <c r="H32" s="3333">
        <v>43130</v>
      </c>
      <c r="I32" s="3333">
        <v>43190</v>
      </c>
      <c r="J32" s="3324"/>
      <c r="K32" s="3334">
        <f>E32</f>
        <v>103.8</v>
      </c>
      <c r="L32" s="3334">
        <f>F32/30</f>
        <v>12.666666666666666</v>
      </c>
    </row>
    <row r="33" spans="1:12" s="3327" customFormat="1" ht="12.75" customHeight="1">
      <c r="A33" s="3335"/>
      <c r="B33" s="3336" t="s">
        <v>3128</v>
      </c>
      <c r="C33" s="3336" t="s">
        <v>3158</v>
      </c>
      <c r="D33" s="3336" t="s">
        <v>3159</v>
      </c>
      <c r="E33" s="3339">
        <v>44</v>
      </c>
      <c r="F33" s="3339">
        <v>360</v>
      </c>
      <c r="G33" s="3340">
        <v>0</v>
      </c>
      <c r="H33" s="3340">
        <v>41363</v>
      </c>
      <c r="I33" s="3340">
        <v>41364</v>
      </c>
      <c r="J33" s="3336"/>
    </row>
    <row r="34" spans="1:12" s="3327" customFormat="1" ht="12.75" customHeight="1">
      <c r="A34" s="3323"/>
      <c r="B34" s="3324" t="s">
        <v>3128</v>
      </c>
      <c r="C34" s="3324" t="s">
        <v>3160</v>
      </c>
      <c r="D34" s="3324" t="s">
        <v>3161</v>
      </c>
      <c r="E34" s="3325">
        <v>44</v>
      </c>
      <c r="F34" s="3325">
        <v>360</v>
      </c>
      <c r="G34" s="3326">
        <v>41699</v>
      </c>
      <c r="H34" s="3326">
        <v>42003</v>
      </c>
      <c r="I34" s="3326">
        <v>42094</v>
      </c>
      <c r="J34" s="3324"/>
    </row>
    <row r="35" spans="1:12" s="3327" customFormat="1" ht="13.5" customHeight="1">
      <c r="A35" s="3323"/>
      <c r="B35" s="3324" t="s">
        <v>3128</v>
      </c>
      <c r="C35" s="3324" t="s">
        <v>3160</v>
      </c>
      <c r="D35" s="3324" t="s">
        <v>3161</v>
      </c>
      <c r="E35" s="3325">
        <v>44</v>
      </c>
      <c r="F35" s="3325">
        <v>370</v>
      </c>
      <c r="G35" s="3326">
        <v>42005</v>
      </c>
      <c r="H35" s="3326">
        <v>42093</v>
      </c>
      <c r="I35" s="3326">
        <v>42094</v>
      </c>
      <c r="J35" s="3324"/>
    </row>
    <row r="36" spans="1:12" s="3327" customFormat="1" ht="13.5" customHeight="1">
      <c r="A36" s="3323"/>
      <c r="B36" s="3336" t="s">
        <v>3128</v>
      </c>
      <c r="C36" s="3336" t="s">
        <v>3160</v>
      </c>
      <c r="D36" s="3336" t="s">
        <v>3161</v>
      </c>
      <c r="E36" s="3339">
        <v>44</v>
      </c>
      <c r="F36" s="3339">
        <v>370</v>
      </c>
      <c r="G36" s="3340">
        <v>42095</v>
      </c>
      <c r="H36" s="3340">
        <v>42154</v>
      </c>
      <c r="I36" s="3340">
        <v>42155</v>
      </c>
      <c r="J36" s="3324"/>
    </row>
    <row r="37" spans="1:12" s="3327" customFormat="1" ht="12.75" customHeight="1">
      <c r="A37" s="3323"/>
      <c r="B37" s="3324" t="s">
        <v>3128</v>
      </c>
      <c r="C37" s="3324" t="s">
        <v>3162</v>
      </c>
      <c r="D37" s="3324" t="s">
        <v>3163</v>
      </c>
      <c r="E37" s="3325">
        <v>43.6</v>
      </c>
      <c r="F37" s="3325">
        <v>370</v>
      </c>
      <c r="G37" s="3326">
        <v>41000</v>
      </c>
      <c r="H37" s="3326">
        <v>41363</v>
      </c>
      <c r="I37" s="3326">
        <v>41364</v>
      </c>
      <c r="J37" s="3324"/>
    </row>
    <row r="38" spans="1:12" s="3327" customFormat="1" ht="12.75" customHeight="1">
      <c r="A38" s="3323"/>
      <c r="B38" s="3324" t="s">
        <v>3128</v>
      </c>
      <c r="C38" s="3324" t="s">
        <v>3164</v>
      </c>
      <c r="D38" s="3324" t="s">
        <v>3165</v>
      </c>
      <c r="E38" s="3325">
        <v>43.6</v>
      </c>
      <c r="F38" s="3325">
        <v>360</v>
      </c>
      <c r="G38" s="3326">
        <v>41699</v>
      </c>
      <c r="H38" s="3326">
        <v>42003</v>
      </c>
      <c r="I38" s="3326">
        <v>42094</v>
      </c>
      <c r="J38" s="3324"/>
    </row>
    <row r="39" spans="1:12" s="3327" customFormat="1" ht="12.75" customHeight="1">
      <c r="A39" s="3323"/>
      <c r="B39" s="3324" t="s">
        <v>3128</v>
      </c>
      <c r="C39" s="3324" t="s">
        <v>3164</v>
      </c>
      <c r="D39" s="3324" t="s">
        <v>3165</v>
      </c>
      <c r="E39" s="3325">
        <v>43.6</v>
      </c>
      <c r="F39" s="3325">
        <v>370</v>
      </c>
      <c r="G39" s="3326">
        <v>42005</v>
      </c>
      <c r="H39" s="3326">
        <v>42093</v>
      </c>
      <c r="I39" s="3326">
        <v>42094</v>
      </c>
      <c r="J39" s="3324"/>
    </row>
    <row r="40" spans="1:12" s="3327" customFormat="1" ht="12.75" customHeight="1">
      <c r="A40" s="3323"/>
      <c r="B40" s="3336" t="s">
        <v>3128</v>
      </c>
      <c r="C40" s="3336" t="s">
        <v>3164</v>
      </c>
      <c r="D40" s="3336" t="s">
        <v>3165</v>
      </c>
      <c r="E40" s="3339">
        <v>43.6</v>
      </c>
      <c r="F40" s="3339">
        <v>370</v>
      </c>
      <c r="G40" s="3340">
        <v>42095</v>
      </c>
      <c r="H40" s="3340">
        <v>42154</v>
      </c>
      <c r="I40" s="3340">
        <v>42155</v>
      </c>
      <c r="J40" s="3324"/>
    </row>
    <row r="41" spans="1:12" s="3327" customFormat="1" ht="12.75" customHeight="1">
      <c r="A41" s="3323"/>
      <c r="B41" s="3336" t="s">
        <v>3128</v>
      </c>
      <c r="C41" s="3336" t="s">
        <v>3166</v>
      </c>
      <c r="D41" s="3336" t="s">
        <v>3165</v>
      </c>
      <c r="E41" s="3339">
        <v>65.7</v>
      </c>
      <c r="F41" s="3339">
        <v>370</v>
      </c>
      <c r="G41" s="3340">
        <v>42156</v>
      </c>
      <c r="H41" s="3340">
        <v>42215</v>
      </c>
      <c r="I41" s="3340">
        <v>42460</v>
      </c>
      <c r="J41" s="3324"/>
    </row>
    <row r="42" spans="1:12" s="3327" customFormat="1" ht="12.75" customHeight="1">
      <c r="A42" s="3323"/>
      <c r="B42" s="3336" t="s">
        <v>3128</v>
      </c>
      <c r="C42" s="3336" t="s">
        <v>3167</v>
      </c>
      <c r="D42" s="3336" t="s">
        <v>3165</v>
      </c>
      <c r="E42" s="3339">
        <v>65.7</v>
      </c>
      <c r="F42" s="3339">
        <v>370</v>
      </c>
      <c r="G42" s="3340">
        <v>42186</v>
      </c>
      <c r="H42" s="3340">
        <v>42459</v>
      </c>
      <c r="I42" s="3340">
        <v>42460</v>
      </c>
      <c r="J42" s="3324"/>
    </row>
    <row r="43" spans="1:12" s="3327" customFormat="1" ht="12.75" customHeight="1">
      <c r="A43" s="3323"/>
      <c r="B43" s="3336" t="s">
        <v>3128</v>
      </c>
      <c r="C43" s="3336" t="s">
        <v>3167</v>
      </c>
      <c r="D43" s="3336" t="s">
        <v>3165</v>
      </c>
      <c r="E43" s="3339">
        <v>65.7</v>
      </c>
      <c r="F43" s="3339">
        <v>380</v>
      </c>
      <c r="G43" s="3340">
        <v>42461</v>
      </c>
      <c r="H43" s="3340">
        <v>42824</v>
      </c>
      <c r="I43" s="3340">
        <v>42825</v>
      </c>
      <c r="J43" s="3324"/>
    </row>
    <row r="44" spans="1:12" s="3327" customFormat="1" ht="12.75" customHeight="1">
      <c r="A44" s="3323"/>
      <c r="B44" s="3331" t="s">
        <v>3128</v>
      </c>
      <c r="C44" s="3331" t="s">
        <v>3167</v>
      </c>
      <c r="D44" s="3331" t="s">
        <v>3168</v>
      </c>
      <c r="E44" s="3332">
        <v>65.7</v>
      </c>
      <c r="F44" s="3332">
        <v>380</v>
      </c>
      <c r="G44" s="3333">
        <v>42827</v>
      </c>
      <c r="H44" s="3333">
        <v>42885</v>
      </c>
      <c r="I44" s="3333">
        <v>42886</v>
      </c>
      <c r="J44" s="3324"/>
      <c r="K44" s="3334">
        <f>E44</f>
        <v>65.7</v>
      </c>
      <c r="L44" s="3334">
        <f>F44/30</f>
        <v>12.666666666666666</v>
      </c>
    </row>
    <row r="45" spans="1:12" s="3327" customFormat="1" ht="12.75" customHeight="1">
      <c r="A45" s="3323" t="s">
        <v>3151</v>
      </c>
      <c r="B45" s="3331" t="s">
        <v>3128</v>
      </c>
      <c r="C45" s="3331" t="s">
        <v>3169</v>
      </c>
      <c r="D45" s="3331" t="s">
        <v>3170</v>
      </c>
      <c r="E45" s="3332">
        <v>32.85</v>
      </c>
      <c r="F45" s="3332">
        <v>385</v>
      </c>
      <c r="G45" s="3333">
        <v>42887</v>
      </c>
      <c r="H45" s="3333">
        <v>43130</v>
      </c>
      <c r="I45" s="3333">
        <v>43190</v>
      </c>
      <c r="J45" s="3324"/>
      <c r="K45" s="3334">
        <f>E45</f>
        <v>32.85</v>
      </c>
      <c r="L45" s="3334">
        <f>F45/30</f>
        <v>12.833333333333334</v>
      </c>
    </row>
    <row r="46" spans="1:12" s="3327" customFormat="1" ht="12.75" customHeight="1">
      <c r="A46" s="3323" t="s">
        <v>3151</v>
      </c>
      <c r="B46" s="3331" t="s">
        <v>3128</v>
      </c>
      <c r="C46" s="3331" t="s">
        <v>3171</v>
      </c>
      <c r="D46" s="3331" t="s">
        <v>3168</v>
      </c>
      <c r="E46" s="3332">
        <v>32.85</v>
      </c>
      <c r="F46" s="3332">
        <v>385</v>
      </c>
      <c r="G46" s="3333">
        <v>42887</v>
      </c>
      <c r="H46" s="3333">
        <v>43130</v>
      </c>
      <c r="I46" s="3333">
        <v>43190</v>
      </c>
      <c r="J46" s="3324"/>
      <c r="K46" s="3334">
        <f>E46</f>
        <v>32.85</v>
      </c>
      <c r="L46" s="3334">
        <f>F46/30</f>
        <v>12.833333333333334</v>
      </c>
    </row>
    <row r="47" spans="1:12" s="3327" customFormat="1" ht="12.75" customHeight="1">
      <c r="A47" s="3335"/>
      <c r="B47" s="3336" t="s">
        <v>3128</v>
      </c>
      <c r="C47" s="3336" t="s">
        <v>3172</v>
      </c>
      <c r="D47" s="3336" t="s">
        <v>3173</v>
      </c>
      <c r="E47" s="3339">
        <v>81.5</v>
      </c>
      <c r="F47" s="3339">
        <v>360</v>
      </c>
      <c r="G47" s="3340">
        <v>41000</v>
      </c>
      <c r="H47" s="3340">
        <v>41363</v>
      </c>
      <c r="I47" s="3340">
        <v>41364</v>
      </c>
      <c r="J47" s="3336"/>
    </row>
    <row r="48" spans="1:12" s="3327" customFormat="1" ht="12.75" customHeight="1">
      <c r="A48" s="3323"/>
      <c r="B48" s="3324" t="s">
        <v>3128</v>
      </c>
      <c r="C48" s="3324" t="s">
        <v>3174</v>
      </c>
      <c r="D48" s="3324" t="s">
        <v>3175</v>
      </c>
      <c r="E48" s="3325">
        <v>43.7</v>
      </c>
      <c r="F48" s="3325">
        <v>360</v>
      </c>
      <c r="G48" s="3326">
        <v>41699</v>
      </c>
      <c r="H48" s="3326">
        <v>42093</v>
      </c>
      <c r="I48" s="3326">
        <v>42094</v>
      </c>
      <c r="J48" s="3324"/>
    </row>
    <row r="49" spans="1:12" s="3327" customFormat="1" ht="12.75" customHeight="1">
      <c r="A49" s="3323"/>
      <c r="B49" s="3336" t="s">
        <v>3128</v>
      </c>
      <c r="C49" s="3336" t="s">
        <v>3174</v>
      </c>
      <c r="D49" s="3336" t="s">
        <v>3175</v>
      </c>
      <c r="E49" s="3339">
        <v>43.7</v>
      </c>
      <c r="F49" s="3339">
        <v>370</v>
      </c>
      <c r="G49" s="3340">
        <v>42095</v>
      </c>
      <c r="H49" s="3340">
        <v>42154</v>
      </c>
      <c r="I49" s="3340">
        <v>42155</v>
      </c>
      <c r="J49" s="3324"/>
    </row>
    <row r="50" spans="1:12" s="3327" customFormat="1" ht="12.75" customHeight="1">
      <c r="A50" s="3323"/>
      <c r="B50" s="3336" t="s">
        <v>3128</v>
      </c>
      <c r="C50" s="3336" t="s">
        <v>3172</v>
      </c>
      <c r="D50" s="3336" t="s">
        <v>3175</v>
      </c>
      <c r="E50" s="3339">
        <v>43.7</v>
      </c>
      <c r="F50" s="3339">
        <v>370</v>
      </c>
      <c r="G50" s="3340">
        <v>42156</v>
      </c>
      <c r="H50" s="3340">
        <v>42459</v>
      </c>
      <c r="I50" s="3340">
        <v>42460</v>
      </c>
      <c r="J50" s="3324"/>
    </row>
    <row r="51" spans="1:12" s="3327" customFormat="1" ht="12.75" customHeight="1">
      <c r="A51" s="3323"/>
      <c r="B51" s="3336" t="s">
        <v>3128</v>
      </c>
      <c r="C51" s="3336" t="s">
        <v>3172</v>
      </c>
      <c r="D51" s="3336" t="s">
        <v>3175</v>
      </c>
      <c r="E51" s="3339">
        <v>43.7</v>
      </c>
      <c r="F51" s="3339">
        <v>385</v>
      </c>
      <c r="G51" s="3340">
        <v>42461</v>
      </c>
      <c r="H51" s="3340">
        <v>42710</v>
      </c>
      <c r="I51" s="3340">
        <v>42825</v>
      </c>
      <c r="J51" s="3324"/>
    </row>
    <row r="52" spans="1:12" s="3327" customFormat="1" ht="12.75" customHeight="1">
      <c r="A52" s="3323"/>
      <c r="B52" s="3336" t="s">
        <v>3128</v>
      </c>
      <c r="C52" s="3336" t="s">
        <v>3176</v>
      </c>
      <c r="D52" s="3336" t="s">
        <v>3175</v>
      </c>
      <c r="E52" s="3339">
        <v>43.7</v>
      </c>
      <c r="F52" s="3339">
        <v>385</v>
      </c>
      <c r="G52" s="3340">
        <v>42724</v>
      </c>
      <c r="H52" s="3340">
        <v>42824</v>
      </c>
      <c r="I52" s="3340">
        <v>42825</v>
      </c>
      <c r="J52" s="3324"/>
    </row>
    <row r="53" spans="1:12" s="3327" customFormat="1" ht="12.75" customHeight="1">
      <c r="A53" s="3323"/>
      <c r="B53" s="3331" t="s">
        <v>3128</v>
      </c>
      <c r="C53" s="3331" t="s">
        <v>3176</v>
      </c>
      <c r="D53" s="3331" t="s">
        <v>3175</v>
      </c>
      <c r="E53" s="3332">
        <v>43.7</v>
      </c>
      <c r="F53" s="3332">
        <v>385</v>
      </c>
      <c r="G53" s="3333">
        <v>42826</v>
      </c>
      <c r="H53" s="3333">
        <v>42885</v>
      </c>
      <c r="I53" s="3333">
        <v>42886</v>
      </c>
      <c r="J53" s="3324"/>
      <c r="K53" s="3334">
        <f>E53</f>
        <v>43.7</v>
      </c>
      <c r="L53" s="3334">
        <f>F53/30</f>
        <v>12.833333333333334</v>
      </c>
    </row>
    <row r="54" spans="1:12" s="3327" customFormat="1" ht="12.75" customHeight="1">
      <c r="A54" s="3323"/>
      <c r="B54" s="3331" t="s">
        <v>3128</v>
      </c>
      <c r="C54" s="3331" t="s">
        <v>3176</v>
      </c>
      <c r="D54" s="3331" t="s">
        <v>3177</v>
      </c>
      <c r="E54" s="3332">
        <v>43.7</v>
      </c>
      <c r="F54" s="3332">
        <v>385</v>
      </c>
      <c r="G54" s="3333">
        <v>42887</v>
      </c>
      <c r="H54" s="3333">
        <v>42983</v>
      </c>
      <c r="I54" s="3333">
        <v>43190</v>
      </c>
      <c r="J54" s="3324"/>
      <c r="K54" s="3334">
        <f>E54</f>
        <v>43.7</v>
      </c>
      <c r="L54" s="3334">
        <f>F54/30</f>
        <v>12.833333333333334</v>
      </c>
    </row>
    <row r="55" spans="1:12" s="3327" customFormat="1" ht="12.75" customHeight="1">
      <c r="A55" s="3323" t="s">
        <v>3151</v>
      </c>
      <c r="B55" s="3331" t="s">
        <v>3128</v>
      </c>
      <c r="C55" s="3331" t="s">
        <v>3176</v>
      </c>
      <c r="D55" s="3331" t="s">
        <v>3177</v>
      </c>
      <c r="E55" s="3332">
        <v>43.7</v>
      </c>
      <c r="F55" s="3332">
        <v>385</v>
      </c>
      <c r="G55" s="3333">
        <v>42984</v>
      </c>
      <c r="H55" s="3333">
        <v>43130</v>
      </c>
      <c r="I55" s="3333">
        <v>43190</v>
      </c>
      <c r="J55" s="3324"/>
      <c r="K55" s="3334">
        <f>E55</f>
        <v>43.7</v>
      </c>
      <c r="L55" s="3334">
        <f>F55/30</f>
        <v>12.833333333333334</v>
      </c>
    </row>
    <row r="56" spans="1:12" s="3327" customFormat="1" ht="12.75" customHeight="1">
      <c r="A56" s="3323"/>
      <c r="B56" s="3324" t="s">
        <v>3128</v>
      </c>
      <c r="C56" s="3324" t="s">
        <v>3178</v>
      </c>
      <c r="D56" s="3324" t="s">
        <v>3179</v>
      </c>
      <c r="E56" s="3325">
        <v>37.799999999999997</v>
      </c>
      <c r="F56" s="3325">
        <v>360</v>
      </c>
      <c r="G56" s="3326">
        <v>41699</v>
      </c>
      <c r="H56" s="3326">
        <v>42003</v>
      </c>
      <c r="I56" s="3326">
        <v>42094</v>
      </c>
      <c r="J56" s="3324"/>
    </row>
    <row r="57" spans="1:12" s="3327" customFormat="1" ht="12.75" customHeight="1">
      <c r="A57" s="3323"/>
      <c r="B57" s="3324" t="s">
        <v>3128</v>
      </c>
      <c r="C57" s="3324" t="s">
        <v>3178</v>
      </c>
      <c r="D57" s="3324" t="s">
        <v>3179</v>
      </c>
      <c r="E57" s="3325">
        <v>37.799999999999997</v>
      </c>
      <c r="F57" s="3325">
        <v>370</v>
      </c>
      <c r="G57" s="3326">
        <v>42005</v>
      </c>
      <c r="H57" s="3326">
        <v>42093</v>
      </c>
      <c r="I57" s="3326">
        <v>42094</v>
      </c>
      <c r="J57" s="3324"/>
    </row>
    <row r="58" spans="1:12" s="3327" customFormat="1" ht="12.75" customHeight="1">
      <c r="A58" s="3323"/>
      <c r="B58" s="3336" t="s">
        <v>3128</v>
      </c>
      <c r="C58" s="3336" t="s">
        <v>3178</v>
      </c>
      <c r="D58" s="3336" t="s">
        <v>3179</v>
      </c>
      <c r="E58" s="3339">
        <v>37.799999999999997</v>
      </c>
      <c r="F58" s="3339">
        <v>370</v>
      </c>
      <c r="G58" s="3340">
        <v>42095</v>
      </c>
      <c r="H58" s="3340">
        <v>42154</v>
      </c>
      <c r="I58" s="3340">
        <v>42155</v>
      </c>
      <c r="J58" s="3324"/>
    </row>
    <row r="59" spans="1:12" s="3327" customFormat="1" ht="13.5" customHeight="1">
      <c r="A59" s="3323"/>
      <c r="B59" s="3336" t="s">
        <v>3128</v>
      </c>
      <c r="C59" s="3336" t="s">
        <v>3180</v>
      </c>
      <c r="D59" s="3336" t="s">
        <v>3179</v>
      </c>
      <c r="E59" s="3339">
        <v>37.799999999999997</v>
      </c>
      <c r="F59" s="3339">
        <v>370</v>
      </c>
      <c r="G59" s="3340">
        <v>42156</v>
      </c>
      <c r="H59" s="3340">
        <v>42459</v>
      </c>
      <c r="I59" s="3340">
        <v>42460</v>
      </c>
      <c r="J59" s="3324"/>
    </row>
    <row r="60" spans="1:12" s="3327" customFormat="1" ht="13.5" customHeight="1">
      <c r="A60" s="3323"/>
      <c r="B60" s="3336" t="s">
        <v>3128</v>
      </c>
      <c r="C60" s="3336" t="s">
        <v>3180</v>
      </c>
      <c r="D60" s="3336" t="s">
        <v>3179</v>
      </c>
      <c r="E60" s="3339">
        <v>37.799999999999997</v>
      </c>
      <c r="F60" s="3339">
        <v>385</v>
      </c>
      <c r="G60" s="3340">
        <v>42461</v>
      </c>
      <c r="H60" s="3340">
        <v>42824</v>
      </c>
      <c r="I60" s="3340">
        <v>42825</v>
      </c>
      <c r="J60" s="3324"/>
    </row>
    <row r="61" spans="1:12" s="3327" customFormat="1" ht="13.5" customHeight="1">
      <c r="A61" s="3323"/>
      <c r="B61" s="3331" t="s">
        <v>3128</v>
      </c>
      <c r="C61" s="3331" t="s">
        <v>3180</v>
      </c>
      <c r="D61" s="3331" t="s">
        <v>3181</v>
      </c>
      <c r="E61" s="3332">
        <v>37.799999999999997</v>
      </c>
      <c r="F61" s="3332">
        <v>385</v>
      </c>
      <c r="G61" s="3333">
        <v>42826</v>
      </c>
      <c r="H61" s="3333">
        <v>42885</v>
      </c>
      <c r="I61" s="3333">
        <v>42886</v>
      </c>
      <c r="J61" s="3324"/>
      <c r="K61" s="3334">
        <f>E61</f>
        <v>37.799999999999997</v>
      </c>
      <c r="L61" s="3334">
        <f>F61/30</f>
        <v>12.833333333333334</v>
      </c>
    </row>
    <row r="62" spans="1:12" s="3327" customFormat="1" ht="13.5" customHeight="1">
      <c r="A62" s="3323"/>
      <c r="B62" s="3331" t="s">
        <v>3128</v>
      </c>
      <c r="C62" s="3331" t="s">
        <v>3180</v>
      </c>
      <c r="D62" s="3331" t="s">
        <v>3181</v>
      </c>
      <c r="E62" s="3332">
        <v>37.799999999999997</v>
      </c>
      <c r="F62" s="3332">
        <v>385</v>
      </c>
      <c r="G62" s="3333">
        <v>42887</v>
      </c>
      <c r="H62" s="3333">
        <v>43038</v>
      </c>
      <c r="I62" s="3333">
        <v>43190</v>
      </c>
      <c r="J62" s="3324"/>
      <c r="K62" s="3334">
        <f>E62</f>
        <v>37.799999999999997</v>
      </c>
      <c r="L62" s="3334">
        <f>F62/30</f>
        <v>12.833333333333334</v>
      </c>
    </row>
    <row r="63" spans="1:12" s="3327" customFormat="1" ht="13.5" customHeight="1">
      <c r="A63" s="3323" t="s">
        <v>3151</v>
      </c>
      <c r="B63" s="3331" t="s">
        <v>3128</v>
      </c>
      <c r="C63" s="3331" t="s">
        <v>3182</v>
      </c>
      <c r="D63" s="3331" t="s">
        <v>3181</v>
      </c>
      <c r="E63" s="3332">
        <v>37.799999999999997</v>
      </c>
      <c r="F63" s="3332">
        <v>385</v>
      </c>
      <c r="G63" s="3333">
        <v>43040</v>
      </c>
      <c r="H63" s="3333">
        <v>43130</v>
      </c>
      <c r="I63" s="3333">
        <v>43190</v>
      </c>
      <c r="J63" s="3324"/>
      <c r="K63" s="3334">
        <f>E63</f>
        <v>37.799999999999997</v>
      </c>
      <c r="L63" s="3334">
        <f>F63/30</f>
        <v>12.833333333333334</v>
      </c>
    </row>
    <row r="64" spans="1:12" s="3327" customFormat="1" ht="12.75" customHeight="1">
      <c r="A64" s="3335"/>
      <c r="B64" s="3336" t="s">
        <v>3128</v>
      </c>
      <c r="C64" s="3336" t="s">
        <v>3183</v>
      </c>
      <c r="D64" s="3336" t="s">
        <v>3184</v>
      </c>
      <c r="E64" s="3339">
        <v>49.4</v>
      </c>
      <c r="F64" s="3339">
        <v>370</v>
      </c>
      <c r="G64" s="3340">
        <v>41365</v>
      </c>
      <c r="H64" s="3340">
        <v>41698</v>
      </c>
      <c r="I64" s="3340">
        <v>41729</v>
      </c>
      <c r="J64" s="3336"/>
    </row>
    <row r="65" spans="1:12" s="3327" customFormat="1" ht="12.75" customHeight="1">
      <c r="A65" s="3323"/>
      <c r="B65" s="3324" t="s">
        <v>3128</v>
      </c>
      <c r="C65" s="3324" t="s">
        <v>3185</v>
      </c>
      <c r="D65" s="3324" t="s">
        <v>3186</v>
      </c>
      <c r="E65" s="3325">
        <v>49.4</v>
      </c>
      <c r="F65" s="3325">
        <v>360</v>
      </c>
      <c r="G65" s="3326">
        <v>41699</v>
      </c>
      <c r="H65" s="3326">
        <v>42003</v>
      </c>
      <c r="I65" s="3326">
        <v>42094</v>
      </c>
      <c r="J65" s="3324"/>
    </row>
    <row r="66" spans="1:12" s="3327" customFormat="1" ht="12.75" customHeight="1">
      <c r="A66" s="3323"/>
      <c r="B66" s="3324" t="s">
        <v>3128</v>
      </c>
      <c r="C66" s="3324" t="s">
        <v>3185</v>
      </c>
      <c r="D66" s="3324" t="s">
        <v>3186</v>
      </c>
      <c r="E66" s="3325">
        <v>49.4</v>
      </c>
      <c r="F66" s="3325">
        <v>370</v>
      </c>
      <c r="G66" s="3326">
        <v>42005</v>
      </c>
      <c r="H66" s="3326">
        <v>42093</v>
      </c>
      <c r="I66" s="3326">
        <v>42094</v>
      </c>
      <c r="J66" s="3324"/>
    </row>
    <row r="67" spans="1:12" s="3327" customFormat="1" ht="12.75" customHeight="1">
      <c r="A67" s="3323"/>
      <c r="B67" s="3336" t="s">
        <v>3128</v>
      </c>
      <c r="C67" s="3336" t="s">
        <v>3185</v>
      </c>
      <c r="D67" s="3336" t="s">
        <v>3186</v>
      </c>
      <c r="E67" s="3339">
        <v>49.4</v>
      </c>
      <c r="F67" s="3339">
        <v>370</v>
      </c>
      <c r="G67" s="3340">
        <v>42095</v>
      </c>
      <c r="H67" s="3340">
        <v>42154</v>
      </c>
      <c r="I67" s="3340">
        <v>42155</v>
      </c>
      <c r="J67" s="3324"/>
    </row>
    <row r="68" spans="1:12" s="3327" customFormat="1" ht="12.75" customHeight="1">
      <c r="A68" s="3323"/>
      <c r="B68" s="3336" t="s">
        <v>3128</v>
      </c>
      <c r="C68" s="3336" t="s">
        <v>3187</v>
      </c>
      <c r="D68" s="3336" t="s">
        <v>3186</v>
      </c>
      <c r="E68" s="3339">
        <v>49.4</v>
      </c>
      <c r="F68" s="3339">
        <v>370</v>
      </c>
      <c r="G68" s="3340">
        <v>42156</v>
      </c>
      <c r="H68" s="3340">
        <v>42459</v>
      </c>
      <c r="I68" s="3340">
        <v>42460</v>
      </c>
      <c r="J68" s="3324"/>
    </row>
    <row r="69" spans="1:12" s="3327" customFormat="1" ht="12.75" customHeight="1">
      <c r="A69" s="3323"/>
      <c r="B69" s="3336" t="s">
        <v>3128</v>
      </c>
      <c r="C69" s="3336" t="s">
        <v>3187</v>
      </c>
      <c r="D69" s="3336" t="s">
        <v>3186</v>
      </c>
      <c r="E69" s="3339">
        <v>49.4</v>
      </c>
      <c r="F69" s="3339">
        <v>385</v>
      </c>
      <c r="G69" s="3340">
        <v>42461</v>
      </c>
      <c r="H69" s="3340">
        <v>42824</v>
      </c>
      <c r="I69" s="3340">
        <v>42825</v>
      </c>
      <c r="J69" s="3324"/>
    </row>
    <row r="70" spans="1:12" s="3327" customFormat="1" ht="12.75" customHeight="1">
      <c r="A70" s="3323" t="s">
        <v>3151</v>
      </c>
      <c r="B70" s="3331" t="s">
        <v>3128</v>
      </c>
      <c r="C70" s="3331" t="s">
        <v>3187</v>
      </c>
      <c r="D70" s="3331" t="s">
        <v>3184</v>
      </c>
      <c r="E70" s="3332">
        <v>49.4</v>
      </c>
      <c r="F70" s="3332">
        <v>385</v>
      </c>
      <c r="G70" s="3333">
        <v>42826</v>
      </c>
      <c r="H70" s="3333">
        <v>43130</v>
      </c>
      <c r="I70" s="3333">
        <v>43190</v>
      </c>
      <c r="J70" s="3324"/>
      <c r="K70" s="3334">
        <f>E70</f>
        <v>49.4</v>
      </c>
      <c r="L70" s="3334">
        <f>F70/30</f>
        <v>12.833333333333334</v>
      </c>
    </row>
    <row r="71" spans="1:12" s="3327" customFormat="1" ht="13.5" customHeight="1">
      <c r="A71" s="3323"/>
      <c r="B71" s="3324" t="s">
        <v>3128</v>
      </c>
      <c r="C71" s="3324" t="s">
        <v>3188</v>
      </c>
      <c r="D71" s="3324" t="s">
        <v>3189</v>
      </c>
      <c r="E71" s="3325">
        <v>49</v>
      </c>
      <c r="F71" s="3325">
        <v>360</v>
      </c>
      <c r="G71" s="3326">
        <v>41699</v>
      </c>
      <c r="H71" s="3326">
        <v>42003</v>
      </c>
      <c r="I71" s="3326">
        <v>42094</v>
      </c>
      <c r="J71" s="3324"/>
    </row>
    <row r="72" spans="1:12" s="3327" customFormat="1" ht="13.5" customHeight="1">
      <c r="A72" s="3323"/>
      <c r="B72" s="3324" t="s">
        <v>3128</v>
      </c>
      <c r="C72" s="3324" t="s">
        <v>3188</v>
      </c>
      <c r="D72" s="3324" t="s">
        <v>3189</v>
      </c>
      <c r="E72" s="3325">
        <v>49</v>
      </c>
      <c r="F72" s="3325">
        <v>370</v>
      </c>
      <c r="G72" s="3326">
        <v>42005</v>
      </c>
      <c r="H72" s="3326">
        <v>42093</v>
      </c>
      <c r="I72" s="3326">
        <v>42094</v>
      </c>
      <c r="J72" s="3324"/>
    </row>
    <row r="73" spans="1:12" s="3327" customFormat="1" ht="13.5" customHeight="1">
      <c r="A73" s="3323"/>
      <c r="B73" s="3336" t="s">
        <v>3128</v>
      </c>
      <c r="C73" s="3336" t="s">
        <v>3188</v>
      </c>
      <c r="D73" s="3336" t="s">
        <v>3189</v>
      </c>
      <c r="E73" s="3339">
        <v>49</v>
      </c>
      <c r="F73" s="3339">
        <v>370</v>
      </c>
      <c r="G73" s="3340">
        <v>42095</v>
      </c>
      <c r="H73" s="3340">
        <v>42215</v>
      </c>
      <c r="I73" s="3340">
        <v>42460</v>
      </c>
      <c r="J73" s="3324"/>
    </row>
    <row r="74" spans="1:12" s="3327" customFormat="1" ht="13.5" customHeight="1">
      <c r="A74" s="3323"/>
      <c r="B74" s="3336" t="s">
        <v>3128</v>
      </c>
      <c r="C74" s="3336" t="s">
        <v>3171</v>
      </c>
      <c r="D74" s="3336" t="s">
        <v>3189</v>
      </c>
      <c r="E74" s="3339">
        <v>49</v>
      </c>
      <c r="F74" s="3339">
        <v>370</v>
      </c>
      <c r="G74" s="3340">
        <v>42217</v>
      </c>
      <c r="H74" s="3340">
        <v>42459</v>
      </c>
      <c r="I74" s="3340">
        <v>42460</v>
      </c>
      <c r="J74" s="3324"/>
    </row>
    <row r="75" spans="1:12" s="3327" customFormat="1" ht="13.5" customHeight="1">
      <c r="A75" s="3323"/>
      <c r="B75" s="3336" t="s">
        <v>3128</v>
      </c>
      <c r="C75" s="3336" t="s">
        <v>3171</v>
      </c>
      <c r="D75" s="3336" t="s">
        <v>3189</v>
      </c>
      <c r="E75" s="3339">
        <v>49</v>
      </c>
      <c r="F75" s="3339">
        <v>385</v>
      </c>
      <c r="G75" s="3340">
        <v>42461</v>
      </c>
      <c r="H75" s="3340">
        <v>42824</v>
      </c>
      <c r="I75" s="3340">
        <v>42825</v>
      </c>
      <c r="J75" s="3324"/>
    </row>
    <row r="76" spans="1:12" s="3327" customFormat="1" ht="13.5" customHeight="1">
      <c r="A76" s="3323"/>
      <c r="B76" s="3331" t="s">
        <v>3128</v>
      </c>
      <c r="C76" s="3331" t="s">
        <v>3171</v>
      </c>
      <c r="D76" s="3331" t="s">
        <v>3190</v>
      </c>
      <c r="E76" s="3332">
        <v>49</v>
      </c>
      <c r="F76" s="3332">
        <v>385</v>
      </c>
      <c r="G76" s="3333">
        <v>42826</v>
      </c>
      <c r="H76" s="3333">
        <v>42885</v>
      </c>
      <c r="I76" s="3333">
        <v>43190</v>
      </c>
      <c r="J76" s="3324"/>
      <c r="K76" s="3334">
        <f>E76</f>
        <v>49</v>
      </c>
      <c r="L76" s="3334">
        <f>F76/30</f>
        <v>12.833333333333334</v>
      </c>
    </row>
    <row r="77" spans="1:12" s="3327" customFormat="1" ht="13.5" customHeight="1">
      <c r="A77" s="3335"/>
      <c r="B77" s="3336" t="s">
        <v>3128</v>
      </c>
      <c r="C77" s="3336" t="s">
        <v>3191</v>
      </c>
      <c r="D77" s="3336" t="s">
        <v>3192</v>
      </c>
      <c r="E77" s="3339">
        <v>44.1</v>
      </c>
      <c r="F77" s="3339">
        <v>360</v>
      </c>
      <c r="G77" s="3340">
        <v>41000</v>
      </c>
      <c r="H77" s="3340">
        <v>41363</v>
      </c>
      <c r="I77" s="3340">
        <v>41364</v>
      </c>
      <c r="J77" s="3336"/>
    </row>
    <row r="78" spans="1:12" s="3327" customFormat="1" ht="12.75" customHeight="1">
      <c r="A78" s="3323"/>
      <c r="B78" s="3324" t="s">
        <v>3128</v>
      </c>
      <c r="C78" s="3324" t="s">
        <v>3193</v>
      </c>
      <c r="D78" s="3324" t="s">
        <v>3194</v>
      </c>
      <c r="E78" s="3325">
        <v>87.6</v>
      </c>
      <c r="F78" s="3325">
        <v>360</v>
      </c>
      <c r="G78" s="3326">
        <v>41699</v>
      </c>
      <c r="H78" s="3326">
        <v>42003</v>
      </c>
      <c r="I78" s="3326">
        <v>42094</v>
      </c>
      <c r="J78" s="3324"/>
    </row>
    <row r="79" spans="1:12" s="3327" customFormat="1" ht="12.75" customHeight="1">
      <c r="A79" s="3323"/>
      <c r="B79" s="3324" t="s">
        <v>3128</v>
      </c>
      <c r="C79" s="3324" t="s">
        <v>3193</v>
      </c>
      <c r="D79" s="3324" t="s">
        <v>3194</v>
      </c>
      <c r="E79" s="3325">
        <v>87.6</v>
      </c>
      <c r="F79" s="3325">
        <v>370</v>
      </c>
      <c r="G79" s="3326">
        <v>42005</v>
      </c>
      <c r="H79" s="3326">
        <v>42093</v>
      </c>
      <c r="I79" s="3326">
        <v>42094</v>
      </c>
      <c r="J79" s="3324"/>
    </row>
    <row r="80" spans="1:12" s="3327" customFormat="1" ht="12.75" customHeight="1">
      <c r="A80" s="3323"/>
      <c r="B80" s="3336" t="s">
        <v>3128</v>
      </c>
      <c r="C80" s="3336" t="s">
        <v>3193</v>
      </c>
      <c r="D80" s="3336" t="s">
        <v>3194</v>
      </c>
      <c r="E80" s="3339">
        <v>87.6</v>
      </c>
      <c r="F80" s="3339">
        <v>370</v>
      </c>
      <c r="G80" s="3340">
        <v>42095</v>
      </c>
      <c r="H80" s="3340">
        <v>42459</v>
      </c>
      <c r="I80" s="3340">
        <v>42460</v>
      </c>
      <c r="J80" s="3324"/>
    </row>
    <row r="81" spans="1:12" s="3327" customFormat="1" ht="12.75" customHeight="1">
      <c r="A81" s="3323"/>
      <c r="B81" s="3336" t="s">
        <v>3128</v>
      </c>
      <c r="C81" s="3336" t="s">
        <v>3193</v>
      </c>
      <c r="D81" s="3336" t="s">
        <v>3194</v>
      </c>
      <c r="E81" s="3339">
        <v>87.6</v>
      </c>
      <c r="F81" s="3339">
        <v>385</v>
      </c>
      <c r="G81" s="3340">
        <v>42461</v>
      </c>
      <c r="H81" s="3340">
        <v>42809</v>
      </c>
      <c r="I81" s="3340">
        <v>42825</v>
      </c>
      <c r="J81" s="3324"/>
    </row>
    <row r="82" spans="1:12" s="3327" customFormat="1" ht="12.75" customHeight="1">
      <c r="A82" s="3323"/>
      <c r="B82" s="3336" t="s">
        <v>3128</v>
      </c>
      <c r="C82" s="3336" t="s">
        <v>3180</v>
      </c>
      <c r="D82" s="3336" t="s">
        <v>3195</v>
      </c>
      <c r="E82" s="3339">
        <v>87.6</v>
      </c>
      <c r="F82" s="3339">
        <v>385</v>
      </c>
      <c r="G82" s="3340">
        <v>42810</v>
      </c>
      <c r="H82" s="3340">
        <v>42824</v>
      </c>
      <c r="I82" s="3340">
        <v>42825</v>
      </c>
      <c r="J82" s="3324"/>
    </row>
    <row r="83" spans="1:12" s="3327" customFormat="1" ht="12.75" customHeight="1">
      <c r="A83" s="3323"/>
      <c r="B83" s="3331" t="s">
        <v>3128</v>
      </c>
      <c r="C83" s="3331" t="s">
        <v>3180</v>
      </c>
      <c r="D83" s="3331" t="s">
        <v>3195</v>
      </c>
      <c r="E83" s="3332">
        <v>87.6</v>
      </c>
      <c r="F83" s="3332">
        <v>385</v>
      </c>
      <c r="G83" s="3333">
        <v>42826</v>
      </c>
      <c r="H83" s="3333">
        <v>42885</v>
      </c>
      <c r="I83" s="3333">
        <v>42886</v>
      </c>
      <c r="J83" s="3324"/>
      <c r="K83" s="3334">
        <f>E83</f>
        <v>87.6</v>
      </c>
      <c r="L83" s="3334">
        <f>F83/30</f>
        <v>12.833333333333334</v>
      </c>
    </row>
    <row r="84" spans="1:12" s="3327" customFormat="1" ht="12.75" customHeight="1">
      <c r="A84" s="3323" t="s">
        <v>3151</v>
      </c>
      <c r="B84" s="3331" t="s">
        <v>3128</v>
      </c>
      <c r="C84" s="3331" t="s">
        <v>3196</v>
      </c>
      <c r="D84" s="3331" t="s">
        <v>3197</v>
      </c>
      <c r="E84" s="3332">
        <v>136.6</v>
      </c>
      <c r="F84" s="3332">
        <v>400</v>
      </c>
      <c r="G84" s="3333">
        <v>42887</v>
      </c>
      <c r="H84" s="3333">
        <v>43130</v>
      </c>
      <c r="I84" s="3333">
        <v>43190</v>
      </c>
      <c r="J84" s="3324"/>
      <c r="K84" s="3334">
        <f>E84</f>
        <v>136.6</v>
      </c>
      <c r="L84" s="3334">
        <f>F84/30</f>
        <v>13.333333333333334</v>
      </c>
    </row>
    <row r="85" spans="1:12" s="3327" customFormat="1" ht="12.75" customHeight="1">
      <c r="A85" s="3335"/>
      <c r="B85" s="3336" t="s">
        <v>3128</v>
      </c>
      <c r="C85" s="3336" t="s">
        <v>3198</v>
      </c>
      <c r="D85" s="3336" t="s">
        <v>3199</v>
      </c>
      <c r="E85" s="3339">
        <v>43.5</v>
      </c>
      <c r="F85" s="3339">
        <v>380</v>
      </c>
      <c r="G85" s="3340">
        <v>41365</v>
      </c>
      <c r="H85" s="3340">
        <v>41424</v>
      </c>
      <c r="I85" s="3340">
        <v>41729</v>
      </c>
      <c r="J85" s="3336"/>
    </row>
    <row r="86" spans="1:12" s="3327" customFormat="1" ht="12.75" customHeight="1">
      <c r="A86" s="3323"/>
      <c r="B86" s="3324" t="s">
        <v>3128</v>
      </c>
      <c r="C86" s="3324" t="s">
        <v>3200</v>
      </c>
      <c r="D86" s="3324" t="s">
        <v>3195</v>
      </c>
      <c r="E86" s="3325">
        <v>43.5</v>
      </c>
      <c r="F86" s="3325">
        <v>380</v>
      </c>
      <c r="G86" s="3326">
        <v>41518</v>
      </c>
      <c r="H86" s="3326">
        <v>41698</v>
      </c>
      <c r="I86" s="3326">
        <v>41729</v>
      </c>
      <c r="J86" s="3324"/>
    </row>
    <row r="87" spans="1:12" s="3327" customFormat="1" ht="12.75" customHeight="1">
      <c r="A87" s="3323"/>
      <c r="B87" s="3324" t="s">
        <v>3128</v>
      </c>
      <c r="C87" s="3324" t="s">
        <v>3158</v>
      </c>
      <c r="D87" s="3324" t="s">
        <v>3137</v>
      </c>
      <c r="E87" s="3325">
        <v>40.4</v>
      </c>
      <c r="F87" s="3325">
        <v>340</v>
      </c>
      <c r="G87" s="3326">
        <v>41699</v>
      </c>
      <c r="H87" s="3326">
        <v>41791</v>
      </c>
      <c r="I87" s="3326">
        <v>42094</v>
      </c>
      <c r="J87" s="3324"/>
    </row>
    <row r="88" spans="1:12" s="3327" customFormat="1" ht="12.75" customHeight="1">
      <c r="A88" s="3323"/>
      <c r="B88" s="3324" t="s">
        <v>3128</v>
      </c>
      <c r="C88" s="3324" t="s">
        <v>3158</v>
      </c>
      <c r="D88" s="3324" t="s">
        <v>3137</v>
      </c>
      <c r="E88" s="3325">
        <v>40.4</v>
      </c>
      <c r="F88" s="3325">
        <v>340</v>
      </c>
      <c r="G88" s="3326">
        <v>41792</v>
      </c>
      <c r="H88" s="3326">
        <v>42003</v>
      </c>
      <c r="I88" s="3326">
        <v>42094</v>
      </c>
      <c r="J88" s="3324"/>
    </row>
    <row r="89" spans="1:12" s="3327" customFormat="1" ht="12.75" customHeight="1">
      <c r="A89" s="3323"/>
      <c r="B89" s="3324" t="s">
        <v>3128</v>
      </c>
      <c r="C89" s="3324" t="s">
        <v>3158</v>
      </c>
      <c r="D89" s="3324" t="s">
        <v>3137</v>
      </c>
      <c r="E89" s="3325">
        <v>40.4</v>
      </c>
      <c r="F89" s="3325">
        <v>350</v>
      </c>
      <c r="G89" s="3326">
        <v>42005</v>
      </c>
      <c r="H89" s="3326">
        <v>42093</v>
      </c>
      <c r="I89" s="3326">
        <v>42094</v>
      </c>
      <c r="J89" s="3324"/>
    </row>
    <row r="90" spans="1:12" s="3327" customFormat="1" ht="12.75" customHeight="1">
      <c r="A90" s="3323"/>
      <c r="B90" s="3336" t="s">
        <v>3128</v>
      </c>
      <c r="C90" s="3336" t="s">
        <v>3158</v>
      </c>
      <c r="D90" s="3336" t="s">
        <v>3137</v>
      </c>
      <c r="E90" s="3339">
        <v>40.4</v>
      </c>
      <c r="F90" s="3339">
        <v>350</v>
      </c>
      <c r="G90" s="3340">
        <v>42095</v>
      </c>
      <c r="H90" s="3340">
        <v>42141</v>
      </c>
      <c r="I90" s="3340">
        <v>42460</v>
      </c>
      <c r="J90" s="3324"/>
    </row>
    <row r="91" spans="1:12" s="3327" customFormat="1" ht="12.75" customHeight="1">
      <c r="A91" s="3323"/>
      <c r="B91" s="3336" t="s">
        <v>3128</v>
      </c>
      <c r="C91" s="3336" t="s">
        <v>3201</v>
      </c>
      <c r="D91" s="3336" t="s">
        <v>3137</v>
      </c>
      <c r="E91" s="3339">
        <v>40.4</v>
      </c>
      <c r="F91" s="3339">
        <v>370</v>
      </c>
      <c r="G91" s="3340">
        <v>42142</v>
      </c>
      <c r="H91" s="3340">
        <v>42459</v>
      </c>
      <c r="I91" s="3340">
        <v>42460</v>
      </c>
      <c r="J91" s="3324"/>
    </row>
    <row r="92" spans="1:12" s="3327" customFormat="1" ht="12.75" customHeight="1">
      <c r="A92" s="3323"/>
      <c r="B92" s="3336" t="s">
        <v>3128</v>
      </c>
      <c r="C92" s="3336" t="s">
        <v>3201</v>
      </c>
      <c r="D92" s="3336" t="s">
        <v>3137</v>
      </c>
      <c r="E92" s="3339">
        <v>40.4</v>
      </c>
      <c r="F92" s="3339">
        <v>385</v>
      </c>
      <c r="G92" s="3340">
        <v>42461</v>
      </c>
      <c r="H92" s="3340">
        <v>42824</v>
      </c>
      <c r="I92" s="3340">
        <v>42825</v>
      </c>
      <c r="J92" s="3324"/>
    </row>
    <row r="93" spans="1:12" s="3327" customFormat="1" ht="12.75" customHeight="1">
      <c r="A93" s="3323"/>
      <c r="B93" s="3331" t="s">
        <v>3128</v>
      </c>
      <c r="C93" s="3331" t="s">
        <v>3202</v>
      </c>
      <c r="D93" s="3331" t="s">
        <v>3203</v>
      </c>
      <c r="E93" s="3332">
        <v>40.4</v>
      </c>
      <c r="F93" s="3332">
        <v>385</v>
      </c>
      <c r="G93" s="3333">
        <v>42826</v>
      </c>
      <c r="H93" s="3333">
        <v>42885</v>
      </c>
      <c r="I93" s="3333">
        <v>42886</v>
      </c>
      <c r="J93" s="3324"/>
      <c r="K93" s="3334">
        <f>E93</f>
        <v>40.4</v>
      </c>
      <c r="L93" s="3334">
        <f>F93/30</f>
        <v>12.833333333333334</v>
      </c>
    </row>
    <row r="94" spans="1:12" s="3327" customFormat="1" ht="12.75" customHeight="1">
      <c r="A94" s="3323" t="s">
        <v>3151</v>
      </c>
      <c r="B94" s="3331" t="s">
        <v>3128</v>
      </c>
      <c r="C94" s="3331" t="s">
        <v>3202</v>
      </c>
      <c r="D94" s="3331" t="s">
        <v>3203</v>
      </c>
      <c r="E94" s="3332">
        <v>40.4</v>
      </c>
      <c r="F94" s="3332">
        <v>385</v>
      </c>
      <c r="G94" s="3333">
        <v>42887</v>
      </c>
      <c r="H94" s="3333">
        <v>43130</v>
      </c>
      <c r="I94" s="3333">
        <v>43190</v>
      </c>
      <c r="J94" s="3324"/>
      <c r="K94" s="3334">
        <f>E94</f>
        <v>40.4</v>
      </c>
      <c r="L94" s="3334">
        <f>F94/30</f>
        <v>12.833333333333334</v>
      </c>
    </row>
    <row r="95" spans="1:12" s="3327" customFormat="1" ht="12.75" customHeight="1">
      <c r="A95" s="3323"/>
      <c r="B95" s="3324" t="s">
        <v>3128</v>
      </c>
      <c r="C95" s="3324" t="s">
        <v>3204</v>
      </c>
      <c r="D95" s="3324" t="s">
        <v>3205</v>
      </c>
      <c r="E95" s="3325">
        <v>40.4</v>
      </c>
      <c r="F95" s="3325">
        <v>330</v>
      </c>
      <c r="G95" s="3326">
        <v>41000</v>
      </c>
      <c r="H95" s="3326">
        <v>41243</v>
      </c>
      <c r="I95" s="3326">
        <v>41364</v>
      </c>
      <c r="J95" s="3324"/>
    </row>
    <row r="96" spans="1:12" s="3327" customFormat="1" ht="12.75" customHeight="1">
      <c r="A96" s="3335"/>
      <c r="B96" s="3336" t="s">
        <v>3128</v>
      </c>
      <c r="C96" s="3336" t="s">
        <v>3206</v>
      </c>
      <c r="D96" s="3336" t="s">
        <v>3207</v>
      </c>
      <c r="E96" s="3339">
        <v>40.4</v>
      </c>
      <c r="F96" s="3339">
        <v>330</v>
      </c>
      <c r="G96" s="3340">
        <v>41365</v>
      </c>
      <c r="H96" s="3340">
        <v>41698</v>
      </c>
      <c r="I96" s="3340">
        <v>41729</v>
      </c>
      <c r="J96" s="3336"/>
    </row>
    <row r="97" spans="1:12" s="3327" customFormat="1" ht="12.75" customHeight="1">
      <c r="A97" s="3335"/>
      <c r="B97" s="3336" t="s">
        <v>3128</v>
      </c>
      <c r="C97" s="3336" t="s">
        <v>3208</v>
      </c>
      <c r="D97" s="3336" t="s">
        <v>3209</v>
      </c>
      <c r="E97" s="3339">
        <v>43.2</v>
      </c>
      <c r="F97" s="3339">
        <v>360</v>
      </c>
      <c r="G97" s="3340">
        <v>40634</v>
      </c>
      <c r="H97" s="3340">
        <v>40907</v>
      </c>
      <c r="I97" s="3340">
        <v>40999</v>
      </c>
      <c r="J97" s="3336"/>
    </row>
    <row r="98" spans="1:12" s="3327" customFormat="1" ht="12.75" customHeight="1">
      <c r="A98" s="3323"/>
      <c r="B98" s="3324" t="s">
        <v>3128</v>
      </c>
      <c r="C98" s="3324" t="s">
        <v>3210</v>
      </c>
      <c r="D98" s="3324" t="s">
        <v>3211</v>
      </c>
      <c r="E98" s="3325">
        <v>87</v>
      </c>
      <c r="F98" s="3325">
        <v>360</v>
      </c>
      <c r="G98" s="3326">
        <v>41699</v>
      </c>
      <c r="H98" s="3326">
        <v>42003</v>
      </c>
      <c r="I98" s="3326">
        <v>42094</v>
      </c>
      <c r="J98" s="3324"/>
    </row>
    <row r="99" spans="1:12" s="3327" customFormat="1" ht="12.75" customHeight="1">
      <c r="A99" s="3323"/>
      <c r="B99" s="3324" t="s">
        <v>3128</v>
      </c>
      <c r="C99" s="3324" t="s">
        <v>3210</v>
      </c>
      <c r="D99" s="3324" t="s">
        <v>3211</v>
      </c>
      <c r="E99" s="3325">
        <v>87</v>
      </c>
      <c r="F99" s="3325">
        <v>370</v>
      </c>
      <c r="G99" s="3326">
        <v>42005</v>
      </c>
      <c r="H99" s="3326">
        <v>42093</v>
      </c>
      <c r="I99" s="3326">
        <v>42094</v>
      </c>
      <c r="J99" s="3324"/>
    </row>
    <row r="100" spans="1:12" s="3327" customFormat="1" ht="12.75" customHeight="1">
      <c r="A100" s="3323"/>
      <c r="B100" s="3336" t="s">
        <v>3128</v>
      </c>
      <c r="C100" s="3336" t="s">
        <v>3210</v>
      </c>
      <c r="D100" s="3336" t="s">
        <v>3211</v>
      </c>
      <c r="E100" s="3339">
        <v>87</v>
      </c>
      <c r="F100" s="3339">
        <v>370</v>
      </c>
      <c r="G100" s="3340">
        <v>42095</v>
      </c>
      <c r="H100" s="3340">
        <v>42215</v>
      </c>
      <c r="I100" s="3340">
        <v>42460</v>
      </c>
      <c r="J100" s="3324"/>
    </row>
    <row r="101" spans="1:12" s="3327" customFormat="1" ht="12.75" customHeight="1">
      <c r="A101" s="3323"/>
      <c r="B101" s="3336" t="s">
        <v>3128</v>
      </c>
      <c r="C101" s="3336" t="s">
        <v>3212</v>
      </c>
      <c r="D101" s="3336" t="s">
        <v>3211</v>
      </c>
      <c r="E101" s="3339">
        <v>87</v>
      </c>
      <c r="F101" s="3339">
        <v>370</v>
      </c>
      <c r="G101" s="3340">
        <v>42217</v>
      </c>
      <c r="H101" s="3340">
        <v>42217</v>
      </c>
      <c r="I101" s="3340">
        <v>42460</v>
      </c>
      <c r="J101" s="3324"/>
    </row>
    <row r="102" spans="1:12" s="3327" customFormat="1" ht="12.75" customHeight="1">
      <c r="A102" s="3323"/>
      <c r="B102" s="3336" t="s">
        <v>3128</v>
      </c>
      <c r="C102" s="3336" t="s">
        <v>3213</v>
      </c>
      <c r="D102" s="3336" t="s">
        <v>3211</v>
      </c>
      <c r="E102" s="3339">
        <v>87</v>
      </c>
      <c r="F102" s="3339">
        <v>370</v>
      </c>
      <c r="G102" s="3340">
        <v>42218</v>
      </c>
      <c r="H102" s="3340">
        <v>42297</v>
      </c>
      <c r="I102" s="3340">
        <v>42460</v>
      </c>
      <c r="J102" s="3324"/>
    </row>
    <row r="103" spans="1:12" s="3327" customFormat="1" ht="12.75" customHeight="1">
      <c r="A103" s="3323"/>
      <c r="B103" s="3336" t="s">
        <v>3128</v>
      </c>
      <c r="C103" s="3336" t="s">
        <v>3214</v>
      </c>
      <c r="D103" s="3336" t="s">
        <v>3211</v>
      </c>
      <c r="E103" s="3339">
        <v>87</v>
      </c>
      <c r="F103" s="3339">
        <v>370</v>
      </c>
      <c r="G103" s="3340">
        <v>42450</v>
      </c>
      <c r="H103" s="3340">
        <v>42459</v>
      </c>
      <c r="I103" s="3340">
        <v>42460</v>
      </c>
      <c r="J103" s="3324"/>
    </row>
    <row r="104" spans="1:12" s="3327" customFormat="1" ht="12.75" customHeight="1">
      <c r="A104" s="3323"/>
      <c r="B104" s="3336" t="s">
        <v>3128</v>
      </c>
      <c r="C104" s="3336" t="s">
        <v>3214</v>
      </c>
      <c r="D104" s="3336" t="s">
        <v>3211</v>
      </c>
      <c r="E104" s="3339">
        <v>87</v>
      </c>
      <c r="F104" s="3339">
        <v>370</v>
      </c>
      <c r="G104" s="3340">
        <v>42461</v>
      </c>
      <c r="H104" s="3340">
        <v>42472</v>
      </c>
      <c r="I104" s="3340">
        <v>42825</v>
      </c>
      <c r="J104" s="3324"/>
    </row>
    <row r="105" spans="1:12" s="3327" customFormat="1" ht="12.75" customHeight="1">
      <c r="A105" s="3323"/>
      <c r="B105" s="3336" t="s">
        <v>3128</v>
      </c>
      <c r="C105" s="3336" t="s">
        <v>3214</v>
      </c>
      <c r="D105" s="3336" t="s">
        <v>3211</v>
      </c>
      <c r="E105" s="3339">
        <v>87</v>
      </c>
      <c r="F105" s="3339">
        <v>370</v>
      </c>
      <c r="G105" s="3340">
        <v>42473</v>
      </c>
      <c r="H105" s="3340">
        <v>42824</v>
      </c>
      <c r="I105" s="3340">
        <v>42825</v>
      </c>
      <c r="J105" s="3324"/>
    </row>
    <row r="106" spans="1:12" s="3327" customFormat="1" ht="12.75" customHeight="1">
      <c r="A106" s="3323" t="s">
        <v>3151</v>
      </c>
      <c r="B106" s="3331" t="s">
        <v>3128</v>
      </c>
      <c r="C106" s="3331" t="s">
        <v>3214</v>
      </c>
      <c r="D106" s="3331" t="s">
        <v>3207</v>
      </c>
      <c r="E106" s="3332">
        <v>87</v>
      </c>
      <c r="F106" s="3332">
        <v>360</v>
      </c>
      <c r="G106" s="3333">
        <v>42826</v>
      </c>
      <c r="H106" s="3333">
        <v>43130</v>
      </c>
      <c r="I106" s="3333">
        <v>43190</v>
      </c>
      <c r="J106" s="3324"/>
      <c r="K106" s="3334">
        <f>E106</f>
        <v>87</v>
      </c>
      <c r="L106" s="3334">
        <f>F106/30</f>
        <v>12</v>
      </c>
    </row>
    <row r="107" spans="1:12" s="3327" customFormat="1" ht="12.75" customHeight="1">
      <c r="A107" s="3335"/>
      <c r="B107" s="3336" t="s">
        <v>3128</v>
      </c>
      <c r="C107" s="3336" t="s">
        <v>3215</v>
      </c>
      <c r="D107" s="3336" t="s">
        <v>3216</v>
      </c>
      <c r="E107" s="3339">
        <v>47</v>
      </c>
      <c r="F107" s="3339">
        <v>360</v>
      </c>
      <c r="G107" s="3340">
        <v>40634</v>
      </c>
      <c r="H107" s="3340">
        <v>40877</v>
      </c>
      <c r="I107" s="3340">
        <v>40877</v>
      </c>
      <c r="J107" s="3336"/>
    </row>
    <row r="108" spans="1:12" s="3327" customFormat="1" ht="12.75" customHeight="1">
      <c r="A108" s="3323"/>
      <c r="B108" s="3324" t="s">
        <v>3128</v>
      </c>
      <c r="C108" s="3324" t="s">
        <v>3217</v>
      </c>
      <c r="D108" s="3324" t="s">
        <v>3216</v>
      </c>
      <c r="E108" s="3325">
        <v>47</v>
      </c>
      <c r="F108" s="3325">
        <v>360</v>
      </c>
      <c r="G108" s="3326">
        <v>40634</v>
      </c>
      <c r="H108" s="3326">
        <v>41243</v>
      </c>
      <c r="I108" s="3326">
        <v>41364</v>
      </c>
      <c r="J108" s="3324"/>
    </row>
    <row r="109" spans="1:12" s="3327" customFormat="1" ht="12.75" customHeight="1">
      <c r="A109" s="3323"/>
      <c r="B109" s="3324" t="s">
        <v>3128</v>
      </c>
      <c r="C109" s="3324" t="s">
        <v>3218</v>
      </c>
      <c r="D109" s="3324" t="s">
        <v>3219</v>
      </c>
      <c r="E109" s="3325">
        <v>47</v>
      </c>
      <c r="F109" s="3325">
        <v>360</v>
      </c>
      <c r="G109" s="3326">
        <v>41699</v>
      </c>
      <c r="H109" s="3326">
        <v>42003</v>
      </c>
      <c r="I109" s="3326">
        <v>42094</v>
      </c>
      <c r="J109" s="3324"/>
    </row>
    <row r="110" spans="1:12" s="3327" customFormat="1" ht="12.75" customHeight="1">
      <c r="A110" s="3323"/>
      <c r="B110" s="3324" t="s">
        <v>3128</v>
      </c>
      <c r="C110" s="3324" t="s">
        <v>3218</v>
      </c>
      <c r="D110" s="3324" t="s">
        <v>3219</v>
      </c>
      <c r="E110" s="3325">
        <v>47</v>
      </c>
      <c r="F110" s="3325">
        <v>370</v>
      </c>
      <c r="G110" s="3326">
        <v>42005</v>
      </c>
      <c r="H110" s="3326">
        <v>42093</v>
      </c>
      <c r="I110" s="3326">
        <v>42094</v>
      </c>
      <c r="J110" s="3324"/>
    </row>
    <row r="111" spans="1:12" s="3327" customFormat="1" ht="12.75" customHeight="1">
      <c r="A111" s="3323"/>
      <c r="B111" s="3336" t="s">
        <v>3128</v>
      </c>
      <c r="C111" s="3336" t="s">
        <v>3218</v>
      </c>
      <c r="D111" s="3336" t="s">
        <v>3219</v>
      </c>
      <c r="E111" s="3339">
        <v>47</v>
      </c>
      <c r="F111" s="3339">
        <v>370</v>
      </c>
      <c r="G111" s="3340">
        <v>42095</v>
      </c>
      <c r="H111" s="3340">
        <v>42459</v>
      </c>
      <c r="I111" s="3340">
        <v>42460</v>
      </c>
      <c r="J111" s="3324"/>
    </row>
    <row r="112" spans="1:12" s="3327" customFormat="1" ht="12.75" customHeight="1">
      <c r="A112" s="3323"/>
      <c r="B112" s="3336" t="s">
        <v>3128</v>
      </c>
      <c r="C112" s="3336" t="s">
        <v>3220</v>
      </c>
      <c r="D112" s="3336" t="s">
        <v>3219</v>
      </c>
      <c r="E112" s="3339">
        <v>47</v>
      </c>
      <c r="F112" s="3339">
        <v>370</v>
      </c>
      <c r="G112" s="3340">
        <v>42461</v>
      </c>
      <c r="H112" s="3340">
        <v>42824</v>
      </c>
      <c r="I112" s="3340">
        <v>42825</v>
      </c>
      <c r="J112" s="3324"/>
    </row>
    <row r="113" spans="1:12" s="3327" customFormat="1" ht="12.75" customHeight="1">
      <c r="A113" s="3323"/>
      <c r="B113" s="3331" t="s">
        <v>3128</v>
      </c>
      <c r="C113" s="3331" t="s">
        <v>3220</v>
      </c>
      <c r="D113" s="3331" t="s">
        <v>3221</v>
      </c>
      <c r="E113" s="3332">
        <v>47</v>
      </c>
      <c r="F113" s="3332">
        <v>370</v>
      </c>
      <c r="G113" s="3333">
        <v>42826</v>
      </c>
      <c r="H113" s="3333">
        <v>42983</v>
      </c>
      <c r="I113" s="3333">
        <v>43190</v>
      </c>
      <c r="J113" s="3324"/>
      <c r="K113" s="3334">
        <f>E113</f>
        <v>47</v>
      </c>
      <c r="L113" s="3334">
        <f>F113/30</f>
        <v>12.333333333333334</v>
      </c>
    </row>
    <row r="114" spans="1:12" s="3327" customFormat="1" ht="12.75" customHeight="1">
      <c r="A114" s="3323" t="s">
        <v>3151</v>
      </c>
      <c r="B114" s="3331" t="s">
        <v>3128</v>
      </c>
      <c r="C114" s="3331" t="s">
        <v>3220</v>
      </c>
      <c r="D114" s="3331" t="s">
        <v>3221</v>
      </c>
      <c r="E114" s="3332">
        <v>47</v>
      </c>
      <c r="F114" s="3332">
        <v>370</v>
      </c>
      <c r="G114" s="3333">
        <v>42984</v>
      </c>
      <c r="H114" s="3333">
        <v>43130</v>
      </c>
      <c r="I114" s="3333">
        <v>43190</v>
      </c>
      <c r="J114" s="3324"/>
      <c r="K114" s="3334">
        <f>E114</f>
        <v>47</v>
      </c>
      <c r="L114" s="3334">
        <f>F114/30</f>
        <v>12.333333333333334</v>
      </c>
    </row>
    <row r="115" spans="1:12" s="3327" customFormat="1" ht="12.75" customHeight="1">
      <c r="A115" s="3335"/>
      <c r="B115" s="3336" t="s">
        <v>3128</v>
      </c>
      <c r="C115" s="3336" t="s">
        <v>3188</v>
      </c>
      <c r="D115" s="3336" t="s">
        <v>3222</v>
      </c>
      <c r="E115" s="3339">
        <v>38</v>
      </c>
      <c r="F115" s="3339">
        <v>360</v>
      </c>
      <c r="G115" s="3340">
        <v>41000</v>
      </c>
      <c r="H115" s="3340">
        <v>41363</v>
      </c>
      <c r="I115" s="3340">
        <v>41364</v>
      </c>
      <c r="J115" s="3336"/>
    </row>
    <row r="116" spans="1:12" s="3327" customFormat="1" ht="12.75" customHeight="1">
      <c r="A116" s="3323"/>
      <c r="B116" s="3324" t="s">
        <v>3128</v>
      </c>
      <c r="C116" s="3324" t="s">
        <v>3223</v>
      </c>
      <c r="D116" s="3324" t="s">
        <v>3224</v>
      </c>
      <c r="E116" s="3325">
        <v>38</v>
      </c>
      <c r="F116" s="3325">
        <v>360</v>
      </c>
      <c r="G116" s="3326">
        <v>41699</v>
      </c>
      <c r="H116" s="3326">
        <v>42003</v>
      </c>
      <c r="I116" s="3326">
        <v>42094</v>
      </c>
      <c r="J116" s="3324"/>
    </row>
    <row r="117" spans="1:12" s="3327" customFormat="1" ht="12.75" customHeight="1">
      <c r="A117" s="3323"/>
      <c r="B117" s="3324" t="s">
        <v>3128</v>
      </c>
      <c r="C117" s="3324" t="s">
        <v>3223</v>
      </c>
      <c r="D117" s="3324" t="s">
        <v>3224</v>
      </c>
      <c r="E117" s="3325">
        <v>38</v>
      </c>
      <c r="F117" s="3325">
        <v>370</v>
      </c>
      <c r="G117" s="3326">
        <v>42005</v>
      </c>
      <c r="H117" s="3326">
        <v>42093</v>
      </c>
      <c r="I117" s="3326">
        <v>42094</v>
      </c>
      <c r="J117" s="3324"/>
    </row>
    <row r="118" spans="1:12" s="3327" customFormat="1" ht="12.75" customHeight="1">
      <c r="A118" s="3323"/>
      <c r="B118" s="3336" t="s">
        <v>3128</v>
      </c>
      <c r="C118" s="3336" t="s">
        <v>3223</v>
      </c>
      <c r="D118" s="3336" t="s">
        <v>3224</v>
      </c>
      <c r="E118" s="3339">
        <v>38</v>
      </c>
      <c r="F118" s="3339">
        <v>370</v>
      </c>
      <c r="G118" s="3340">
        <v>42095</v>
      </c>
      <c r="H118" s="3340">
        <v>42277</v>
      </c>
      <c r="I118" s="3340">
        <v>42460</v>
      </c>
      <c r="J118" s="3324"/>
    </row>
    <row r="119" spans="1:12" s="3327" customFormat="1" ht="12.75" customHeight="1">
      <c r="A119" s="3323"/>
      <c r="B119" s="3336" t="s">
        <v>3128</v>
      </c>
      <c r="C119" s="3336" t="s">
        <v>3225</v>
      </c>
      <c r="D119" s="3336" t="s">
        <v>3224</v>
      </c>
      <c r="E119" s="3339">
        <v>38</v>
      </c>
      <c r="F119" s="3339">
        <v>370</v>
      </c>
      <c r="G119" s="3340">
        <v>42278</v>
      </c>
      <c r="H119" s="3340">
        <v>42459</v>
      </c>
      <c r="I119" s="3340">
        <v>42460</v>
      </c>
      <c r="J119" s="3324"/>
    </row>
    <row r="120" spans="1:12" s="3327" customFormat="1" ht="12.75" customHeight="1">
      <c r="A120" s="3323"/>
      <c r="B120" s="3336" t="s">
        <v>3128</v>
      </c>
      <c r="C120" s="3336" t="s">
        <v>3225</v>
      </c>
      <c r="D120" s="3336" t="s">
        <v>3224</v>
      </c>
      <c r="E120" s="3339">
        <v>38</v>
      </c>
      <c r="F120" s="3339">
        <v>385</v>
      </c>
      <c r="G120" s="3340">
        <v>42461</v>
      </c>
      <c r="H120" s="3340">
        <v>42824</v>
      </c>
      <c r="I120" s="3340">
        <v>42825</v>
      </c>
      <c r="J120" s="3324"/>
    </row>
    <row r="121" spans="1:12" s="3327" customFormat="1" ht="12.75" customHeight="1">
      <c r="A121" s="3323" t="s">
        <v>3151</v>
      </c>
      <c r="B121" s="3331" t="s">
        <v>3128</v>
      </c>
      <c r="C121" s="3331" t="s">
        <v>3225</v>
      </c>
      <c r="D121" s="3331" t="s">
        <v>3226</v>
      </c>
      <c r="E121" s="3332">
        <v>38</v>
      </c>
      <c r="F121" s="3332">
        <v>390</v>
      </c>
      <c r="G121" s="3333">
        <v>42826</v>
      </c>
      <c r="H121" s="3333">
        <v>43130</v>
      </c>
      <c r="I121" s="3333">
        <v>43190</v>
      </c>
      <c r="J121" s="3324"/>
      <c r="K121" s="3334">
        <f>E121</f>
        <v>38</v>
      </c>
      <c r="L121" s="3334">
        <f>F121/30</f>
        <v>13</v>
      </c>
    </row>
    <row r="122" spans="1:12" s="3327" customFormat="1" ht="12.75" customHeight="1">
      <c r="A122" s="3335"/>
      <c r="B122" s="3336" t="s">
        <v>3128</v>
      </c>
      <c r="C122" s="3336" t="s">
        <v>3227</v>
      </c>
      <c r="D122" s="3336" t="s">
        <v>3228</v>
      </c>
      <c r="E122" s="3339">
        <v>44</v>
      </c>
      <c r="F122" s="3339">
        <v>370</v>
      </c>
      <c r="G122" s="3340">
        <v>41000</v>
      </c>
      <c r="H122" s="3340">
        <v>41363</v>
      </c>
      <c r="I122" s="3340">
        <v>41364</v>
      </c>
      <c r="J122" s="3336"/>
    </row>
    <row r="123" spans="1:12" s="3327" customFormat="1" ht="12.75" customHeight="1">
      <c r="A123" s="3335"/>
      <c r="B123" s="3336" t="s">
        <v>3128</v>
      </c>
      <c r="C123" s="3336" t="s">
        <v>3229</v>
      </c>
      <c r="D123" s="3336" t="s">
        <v>3230</v>
      </c>
      <c r="E123" s="3339">
        <v>43.5</v>
      </c>
      <c r="F123" s="3339">
        <v>380</v>
      </c>
      <c r="G123" s="3340">
        <v>41000</v>
      </c>
      <c r="H123" s="3340">
        <v>41363</v>
      </c>
      <c r="I123" s="3340">
        <v>41364</v>
      </c>
      <c r="J123" s="3336"/>
    </row>
    <row r="124" spans="1:12" s="3327" customFormat="1" ht="12.75" customHeight="1">
      <c r="A124" s="3323"/>
      <c r="B124" s="3324" t="s">
        <v>3128</v>
      </c>
      <c r="C124" s="3324" t="s">
        <v>3231</v>
      </c>
      <c r="D124" s="3324" t="s">
        <v>3184</v>
      </c>
      <c r="E124" s="3325">
        <v>87.5</v>
      </c>
      <c r="F124" s="3325">
        <v>360</v>
      </c>
      <c r="G124" s="3326">
        <v>41699</v>
      </c>
      <c r="H124" s="3326">
        <v>41820</v>
      </c>
      <c r="I124" s="3326">
        <v>41364</v>
      </c>
      <c r="J124" s="3324"/>
    </row>
    <row r="125" spans="1:12" s="3327" customFormat="1" ht="12.75" customHeight="1">
      <c r="A125" s="3323"/>
      <c r="B125" s="3324" t="s">
        <v>3128</v>
      </c>
      <c r="C125" s="3324" t="s">
        <v>3232</v>
      </c>
      <c r="D125" s="3324" t="s">
        <v>3184</v>
      </c>
      <c r="E125" s="3325">
        <v>87.5</v>
      </c>
      <c r="F125" s="3325">
        <v>360</v>
      </c>
      <c r="G125" s="3326">
        <v>41821</v>
      </c>
      <c r="H125" s="3326">
        <v>42003</v>
      </c>
      <c r="I125" s="3326">
        <v>42094</v>
      </c>
      <c r="J125" s="3324"/>
    </row>
    <row r="126" spans="1:12" s="3327" customFormat="1" ht="12.75" customHeight="1">
      <c r="A126" s="3323"/>
      <c r="B126" s="3324" t="s">
        <v>3128</v>
      </c>
      <c r="C126" s="3324" t="s">
        <v>3232</v>
      </c>
      <c r="D126" s="3324" t="s">
        <v>3184</v>
      </c>
      <c r="E126" s="3325">
        <v>87.5</v>
      </c>
      <c r="F126" s="3325">
        <v>370</v>
      </c>
      <c r="G126" s="3326">
        <v>42005</v>
      </c>
      <c r="H126" s="3326">
        <v>42093</v>
      </c>
      <c r="I126" s="3326">
        <v>42094</v>
      </c>
      <c r="J126" s="3324"/>
    </row>
    <row r="127" spans="1:12" s="3327" customFormat="1" ht="12.75" customHeight="1">
      <c r="A127" s="3323"/>
      <c r="B127" s="3336" t="s">
        <v>3128</v>
      </c>
      <c r="C127" s="3336" t="s">
        <v>3232</v>
      </c>
      <c r="D127" s="3336" t="s">
        <v>3184</v>
      </c>
      <c r="E127" s="3339">
        <v>87.5</v>
      </c>
      <c r="F127" s="3339">
        <v>370</v>
      </c>
      <c r="G127" s="3340">
        <v>42095</v>
      </c>
      <c r="H127" s="3340">
        <v>42459</v>
      </c>
      <c r="I127" s="3340">
        <v>42460</v>
      </c>
      <c r="J127" s="3324"/>
    </row>
    <row r="128" spans="1:12" s="3327" customFormat="1" ht="12.75" customHeight="1">
      <c r="A128" s="3323"/>
      <c r="B128" s="3336" t="s">
        <v>3128</v>
      </c>
      <c r="C128" s="3336" t="s">
        <v>3233</v>
      </c>
      <c r="D128" s="3336" t="s">
        <v>3184</v>
      </c>
      <c r="E128" s="3339">
        <v>87.5</v>
      </c>
      <c r="F128" s="3339">
        <v>380</v>
      </c>
      <c r="G128" s="3340">
        <v>42461</v>
      </c>
      <c r="H128" s="3340">
        <v>42824</v>
      </c>
      <c r="I128" s="3340">
        <v>42825</v>
      </c>
      <c r="J128" s="3324"/>
    </row>
    <row r="129" spans="1:12" s="3327" customFormat="1" ht="12.75" customHeight="1">
      <c r="A129" s="3323" t="s">
        <v>3151</v>
      </c>
      <c r="B129" s="3331" t="s">
        <v>3128</v>
      </c>
      <c r="C129" s="3331" t="s">
        <v>3233</v>
      </c>
      <c r="D129" s="3331" t="s">
        <v>3234</v>
      </c>
      <c r="E129" s="3332">
        <v>87.5</v>
      </c>
      <c r="F129" s="3332">
        <v>300</v>
      </c>
      <c r="G129" s="3333">
        <v>42826</v>
      </c>
      <c r="H129" s="3333">
        <v>43130</v>
      </c>
      <c r="I129" s="3333">
        <v>43190</v>
      </c>
      <c r="J129" s="3324"/>
      <c r="K129" s="3334">
        <f>E129</f>
        <v>87.5</v>
      </c>
      <c r="L129" s="3334">
        <f>F129/30</f>
        <v>10</v>
      </c>
    </row>
    <row r="130" spans="1:12" s="3327" customFormat="1" ht="12.75" customHeight="1">
      <c r="A130" s="3335"/>
      <c r="B130" s="3336" t="s">
        <v>3128</v>
      </c>
      <c r="C130" s="3336" t="s">
        <v>3235</v>
      </c>
      <c r="D130" s="3336" t="s">
        <v>3236</v>
      </c>
      <c r="E130" s="3339">
        <v>34</v>
      </c>
      <c r="F130" s="3339">
        <v>370</v>
      </c>
      <c r="G130" s="3340">
        <v>41000</v>
      </c>
      <c r="H130" s="3340">
        <v>41363</v>
      </c>
      <c r="I130" s="3340">
        <v>41364</v>
      </c>
      <c r="J130" s="3336"/>
    </row>
    <row r="131" spans="1:12" s="3327" customFormat="1" ht="12.75" customHeight="1">
      <c r="A131" s="3323"/>
      <c r="B131" s="3324" t="s">
        <v>3128</v>
      </c>
      <c r="C131" s="3324" t="s">
        <v>3200</v>
      </c>
      <c r="D131" s="3324" t="s">
        <v>3226</v>
      </c>
      <c r="E131" s="3325">
        <v>34</v>
      </c>
      <c r="F131" s="3325">
        <v>360</v>
      </c>
      <c r="G131" s="3326">
        <v>41699</v>
      </c>
      <c r="H131" s="3326">
        <v>42093</v>
      </c>
      <c r="I131" s="3326">
        <v>42094</v>
      </c>
      <c r="J131" s="3324"/>
    </row>
    <row r="132" spans="1:12" s="3327" customFormat="1" ht="12.75" customHeight="1">
      <c r="A132" s="3323"/>
      <c r="B132" s="3336" t="s">
        <v>3128</v>
      </c>
      <c r="C132" s="3336" t="s">
        <v>3237</v>
      </c>
      <c r="D132" s="3336" t="s">
        <v>3226</v>
      </c>
      <c r="E132" s="3339">
        <v>34</v>
      </c>
      <c r="F132" s="3339">
        <v>370</v>
      </c>
      <c r="G132" s="3340">
        <v>42095</v>
      </c>
      <c r="H132" s="3340">
        <v>42459</v>
      </c>
      <c r="I132" s="3340">
        <v>42460</v>
      </c>
      <c r="J132" s="3324"/>
    </row>
    <row r="133" spans="1:12" s="3327" customFormat="1" ht="12.75" customHeight="1">
      <c r="A133" s="3323"/>
      <c r="B133" s="3336" t="s">
        <v>3128</v>
      </c>
      <c r="C133" s="3336" t="s">
        <v>3237</v>
      </c>
      <c r="D133" s="3336" t="s">
        <v>3226</v>
      </c>
      <c r="E133" s="3339">
        <v>34</v>
      </c>
      <c r="F133" s="3339">
        <v>380</v>
      </c>
      <c r="G133" s="3340">
        <v>42461</v>
      </c>
      <c r="H133" s="3340">
        <v>42643</v>
      </c>
      <c r="I133" s="3340">
        <v>42825</v>
      </c>
      <c r="J133" s="3324"/>
    </row>
    <row r="134" spans="1:12" s="3327" customFormat="1" ht="12.75" customHeight="1">
      <c r="A134" s="3323"/>
      <c r="B134" s="3336" t="s">
        <v>3128</v>
      </c>
      <c r="C134" s="3336" t="s">
        <v>3238</v>
      </c>
      <c r="D134" s="3336" t="s">
        <v>3226</v>
      </c>
      <c r="E134" s="3339">
        <v>34</v>
      </c>
      <c r="F134" s="3339">
        <v>380</v>
      </c>
      <c r="G134" s="3340">
        <v>42644</v>
      </c>
      <c r="H134" s="3340">
        <v>42824</v>
      </c>
      <c r="I134" s="3340">
        <v>42825</v>
      </c>
      <c r="J134" s="3324"/>
    </row>
    <row r="135" spans="1:12" s="3327" customFormat="1" ht="12.75" customHeight="1">
      <c r="A135" s="3323" t="s">
        <v>3151</v>
      </c>
      <c r="B135" s="3331" t="s">
        <v>3128</v>
      </c>
      <c r="C135" s="3331" t="s">
        <v>3238</v>
      </c>
      <c r="D135" s="3331" t="s">
        <v>3239</v>
      </c>
      <c r="E135" s="3332">
        <v>34</v>
      </c>
      <c r="F135" s="3332">
        <v>390</v>
      </c>
      <c r="G135" s="3333">
        <v>42826</v>
      </c>
      <c r="H135" s="3333">
        <v>43130</v>
      </c>
      <c r="I135" s="3333">
        <v>43190</v>
      </c>
      <c r="J135" s="3324"/>
      <c r="K135" s="3334">
        <f>E135</f>
        <v>34</v>
      </c>
      <c r="L135" s="3334">
        <f>F135/30</f>
        <v>13</v>
      </c>
    </row>
    <row r="136" spans="1:12" s="3327" customFormat="1" ht="13.5" customHeight="1">
      <c r="A136" s="3335"/>
      <c r="B136" s="3336" t="s">
        <v>3128</v>
      </c>
      <c r="C136" s="3336" t="s">
        <v>3240</v>
      </c>
      <c r="D136" s="3336" t="s">
        <v>3241</v>
      </c>
      <c r="E136" s="3339">
        <v>41.1</v>
      </c>
      <c r="F136" s="3339">
        <v>330</v>
      </c>
      <c r="G136" s="3340">
        <v>41000</v>
      </c>
      <c r="H136" s="3340">
        <v>41363</v>
      </c>
      <c r="I136" s="3340">
        <v>41364</v>
      </c>
      <c r="J136" s="3336"/>
    </row>
    <row r="137" spans="1:12" s="3327" customFormat="1" ht="12.75" customHeight="1">
      <c r="A137" s="3323"/>
      <c r="B137" s="3324" t="s">
        <v>3128</v>
      </c>
      <c r="C137" s="3324" t="s">
        <v>3242</v>
      </c>
      <c r="D137" s="3324" t="s">
        <v>3207</v>
      </c>
      <c r="E137" s="3325">
        <v>41.1</v>
      </c>
      <c r="F137" s="3325">
        <v>330</v>
      </c>
      <c r="G137" s="3326">
        <v>41699</v>
      </c>
      <c r="H137" s="3326">
        <v>42003</v>
      </c>
      <c r="I137" s="3326">
        <v>42094</v>
      </c>
      <c r="J137" s="3324"/>
    </row>
    <row r="138" spans="1:12" s="3327" customFormat="1" ht="12.75" customHeight="1">
      <c r="A138" s="3323"/>
      <c r="B138" s="3324" t="s">
        <v>3128</v>
      </c>
      <c r="C138" s="3324" t="s">
        <v>3242</v>
      </c>
      <c r="D138" s="3324" t="s">
        <v>3207</v>
      </c>
      <c r="E138" s="3325">
        <v>41.1</v>
      </c>
      <c r="F138" s="3325">
        <v>340</v>
      </c>
      <c r="G138" s="3326">
        <v>42005</v>
      </c>
      <c r="H138" s="3326">
        <v>42093</v>
      </c>
      <c r="I138" s="3326">
        <v>42094</v>
      </c>
      <c r="J138" s="3324"/>
    </row>
    <row r="139" spans="1:12" s="3327" customFormat="1" ht="12.75" customHeight="1">
      <c r="A139" s="3323"/>
      <c r="B139" s="3336" t="s">
        <v>3128</v>
      </c>
      <c r="C139" s="3336" t="s">
        <v>3242</v>
      </c>
      <c r="D139" s="3336" t="s">
        <v>3207</v>
      </c>
      <c r="E139" s="3339">
        <v>41.1</v>
      </c>
      <c r="F139" s="3339">
        <v>340</v>
      </c>
      <c r="G139" s="3340">
        <v>42095</v>
      </c>
      <c r="H139" s="3340">
        <v>42459</v>
      </c>
      <c r="I139" s="3340">
        <v>42460</v>
      </c>
      <c r="J139" s="3324"/>
    </row>
    <row r="140" spans="1:12" s="3327" customFormat="1" ht="12.75" customHeight="1">
      <c r="A140" s="3323"/>
      <c r="B140" s="3324" t="s">
        <v>3128</v>
      </c>
      <c r="C140" s="3324" t="s">
        <v>3243</v>
      </c>
      <c r="D140" s="3324" t="s">
        <v>3244</v>
      </c>
      <c r="E140" s="3325">
        <v>44</v>
      </c>
      <c r="F140" s="3325">
        <v>330</v>
      </c>
      <c r="G140" s="3326">
        <v>40264</v>
      </c>
      <c r="H140" s="3326">
        <v>40542</v>
      </c>
      <c r="I140" s="3326">
        <v>40632</v>
      </c>
      <c r="J140" s="3324"/>
    </row>
    <row r="141" spans="1:12" s="3327" customFormat="1" ht="12.75" customHeight="1">
      <c r="A141" s="3335"/>
      <c r="B141" s="3336" t="s">
        <v>3128</v>
      </c>
      <c r="C141" s="3336" t="s">
        <v>3245</v>
      </c>
      <c r="D141" s="3336" t="s">
        <v>3246</v>
      </c>
      <c r="E141" s="3339">
        <v>44</v>
      </c>
      <c r="F141" s="3339">
        <v>340</v>
      </c>
      <c r="G141" s="3340">
        <v>41365</v>
      </c>
      <c r="H141" s="3340">
        <v>41654</v>
      </c>
      <c r="I141" s="3340">
        <v>41729</v>
      </c>
      <c r="J141" s="3336"/>
    </row>
    <row r="142" spans="1:12" s="3327" customFormat="1" ht="12.75" customHeight="1">
      <c r="A142" s="3323"/>
      <c r="B142" s="3324" t="s">
        <v>3128</v>
      </c>
      <c r="C142" s="3324" t="s">
        <v>3202</v>
      </c>
      <c r="D142" s="3324" t="s">
        <v>3247</v>
      </c>
      <c r="E142" s="3325">
        <v>44</v>
      </c>
      <c r="F142" s="3325">
        <v>330</v>
      </c>
      <c r="G142" s="3326">
        <v>41699</v>
      </c>
      <c r="H142" s="3326">
        <v>42003</v>
      </c>
      <c r="I142" s="3326">
        <v>42094</v>
      </c>
      <c r="J142" s="3324"/>
    </row>
    <row r="143" spans="1:12" s="3327" customFormat="1" ht="12.75" customHeight="1">
      <c r="A143" s="3323"/>
      <c r="B143" s="3324" t="s">
        <v>3128</v>
      </c>
      <c r="C143" s="3324" t="s">
        <v>3202</v>
      </c>
      <c r="D143" s="3324" t="s">
        <v>3247</v>
      </c>
      <c r="E143" s="3325">
        <v>44</v>
      </c>
      <c r="F143" s="3325">
        <v>340</v>
      </c>
      <c r="G143" s="3326">
        <v>42005</v>
      </c>
      <c r="H143" s="3326">
        <v>42093</v>
      </c>
      <c r="I143" s="3326">
        <v>42094</v>
      </c>
      <c r="J143" s="3324"/>
    </row>
    <row r="144" spans="1:12" s="3327" customFormat="1" ht="12.75" customHeight="1">
      <c r="A144" s="3323"/>
      <c r="B144" s="3336" t="s">
        <v>3128</v>
      </c>
      <c r="C144" s="3336" t="s">
        <v>3202</v>
      </c>
      <c r="D144" s="3336" t="s">
        <v>3247</v>
      </c>
      <c r="E144" s="3339">
        <v>44</v>
      </c>
      <c r="F144" s="3339">
        <v>340</v>
      </c>
      <c r="G144" s="3340">
        <v>42095</v>
      </c>
      <c r="H144" s="3340">
        <v>42246</v>
      </c>
      <c r="I144" s="3340">
        <v>42460</v>
      </c>
      <c r="J144" s="3324"/>
    </row>
    <row r="145" spans="1:12" s="3327" customFormat="1" ht="12.75" customHeight="1">
      <c r="A145" s="3323"/>
      <c r="B145" s="3336" t="s">
        <v>3128</v>
      </c>
      <c r="C145" s="3336" t="s">
        <v>3248</v>
      </c>
      <c r="D145" s="3336" t="s">
        <v>3247</v>
      </c>
      <c r="E145" s="3339">
        <v>44</v>
      </c>
      <c r="F145" s="3339">
        <v>340</v>
      </c>
      <c r="G145" s="3340">
        <v>42248</v>
      </c>
      <c r="H145" s="3340">
        <v>42459</v>
      </c>
      <c r="I145" s="3340">
        <v>42460</v>
      </c>
      <c r="J145" s="3324"/>
    </row>
    <row r="146" spans="1:12" s="3327" customFormat="1" ht="12.75" customHeight="1">
      <c r="A146" s="3323"/>
      <c r="B146" s="3336" t="s">
        <v>3128</v>
      </c>
      <c r="C146" s="3336" t="s">
        <v>3242</v>
      </c>
      <c r="D146" s="3336" t="s">
        <v>3249</v>
      </c>
      <c r="E146" s="3339">
        <v>85.1</v>
      </c>
      <c r="F146" s="3339">
        <v>355</v>
      </c>
      <c r="G146" s="3340">
        <v>42461</v>
      </c>
      <c r="H146" s="3340">
        <v>42824</v>
      </c>
      <c r="I146" s="3340">
        <v>42825</v>
      </c>
      <c r="J146" s="3324"/>
    </row>
    <row r="147" spans="1:12" s="3327" customFormat="1" ht="12.75" customHeight="1">
      <c r="A147" s="3323" t="s">
        <v>3151</v>
      </c>
      <c r="B147" s="3331" t="s">
        <v>3128</v>
      </c>
      <c r="C147" s="3331" t="s">
        <v>3242</v>
      </c>
      <c r="D147" s="3331" t="s">
        <v>3249</v>
      </c>
      <c r="E147" s="3332">
        <v>85.1</v>
      </c>
      <c r="F147" s="3332">
        <v>370</v>
      </c>
      <c r="G147" s="3333">
        <v>42826</v>
      </c>
      <c r="H147" s="3333">
        <v>43130</v>
      </c>
      <c r="I147" s="3333">
        <v>43190</v>
      </c>
      <c r="J147" s="3324"/>
      <c r="K147" s="3334">
        <f>E147</f>
        <v>85.1</v>
      </c>
      <c r="L147" s="3334">
        <f>F147/30</f>
        <v>12.333333333333334</v>
      </c>
    </row>
    <row r="148" spans="1:12" s="3327" customFormat="1" ht="12.75" customHeight="1">
      <c r="A148" s="3335"/>
      <c r="B148" s="3336" t="s">
        <v>3128</v>
      </c>
      <c r="C148" s="3336" t="s">
        <v>3250</v>
      </c>
      <c r="D148" s="3336" t="s">
        <v>3251</v>
      </c>
      <c r="E148" s="3339">
        <v>42.5</v>
      </c>
      <c r="F148" s="3339">
        <v>330</v>
      </c>
      <c r="G148" s="3340">
        <v>40634</v>
      </c>
      <c r="H148" s="3340">
        <v>40754</v>
      </c>
      <c r="I148" s="3340">
        <v>40999</v>
      </c>
      <c r="J148" s="3336"/>
    </row>
    <row r="149" spans="1:12" s="3327" customFormat="1" ht="12.75" customHeight="1">
      <c r="A149" s="3323"/>
      <c r="B149" s="3324" t="s">
        <v>3128</v>
      </c>
      <c r="C149" s="3324" t="s">
        <v>3250</v>
      </c>
      <c r="D149" s="3324" t="s">
        <v>3251</v>
      </c>
      <c r="E149" s="3325">
        <v>42.5</v>
      </c>
      <c r="F149" s="3325">
        <v>330</v>
      </c>
      <c r="G149" s="3326">
        <v>41000</v>
      </c>
      <c r="H149" s="3326">
        <v>41363</v>
      </c>
      <c r="I149" s="3326">
        <v>41364</v>
      </c>
      <c r="J149" s="3324"/>
    </row>
    <row r="150" spans="1:12" s="3327" customFormat="1" ht="12.75" customHeight="1">
      <c r="A150" s="3323"/>
      <c r="B150" s="3324" t="s">
        <v>3128</v>
      </c>
      <c r="C150" s="3324" t="s">
        <v>3227</v>
      </c>
      <c r="D150" s="3324" t="s">
        <v>3252</v>
      </c>
      <c r="E150" s="3325">
        <v>42.5</v>
      </c>
      <c r="F150" s="3325">
        <v>310</v>
      </c>
      <c r="G150" s="3326">
        <v>41699</v>
      </c>
      <c r="H150" s="3326">
        <v>42003</v>
      </c>
      <c r="I150" s="3326">
        <v>42094</v>
      </c>
      <c r="J150" s="3324"/>
    </row>
    <row r="151" spans="1:12" s="3327" customFormat="1" ht="12.75" customHeight="1">
      <c r="A151" s="3323"/>
      <c r="B151" s="3324" t="s">
        <v>3128</v>
      </c>
      <c r="C151" s="3324" t="s">
        <v>3227</v>
      </c>
      <c r="D151" s="3324" t="s">
        <v>3252</v>
      </c>
      <c r="E151" s="3325">
        <v>42.5</v>
      </c>
      <c r="F151" s="3325">
        <v>320</v>
      </c>
      <c r="G151" s="3326">
        <v>42005</v>
      </c>
      <c r="H151" s="3326">
        <v>42093</v>
      </c>
      <c r="I151" s="3326">
        <v>42094</v>
      </c>
      <c r="J151" s="3324"/>
    </row>
    <row r="152" spans="1:12" s="3327" customFormat="1" ht="12.75" customHeight="1">
      <c r="A152" s="3323"/>
      <c r="B152" s="3336" t="s">
        <v>3128</v>
      </c>
      <c r="C152" s="3336" t="s">
        <v>3227</v>
      </c>
      <c r="D152" s="3336" t="s">
        <v>3252</v>
      </c>
      <c r="E152" s="3339">
        <v>42.5</v>
      </c>
      <c r="F152" s="3339">
        <v>320</v>
      </c>
      <c r="G152" s="3340">
        <v>42095</v>
      </c>
      <c r="H152" s="3340">
        <v>42459</v>
      </c>
      <c r="I152" s="3340">
        <v>42460</v>
      </c>
      <c r="J152" s="3324"/>
    </row>
    <row r="153" spans="1:12" s="3327" customFormat="1" ht="12.75" customHeight="1">
      <c r="A153" s="3323"/>
      <c r="B153" s="3336" t="s">
        <v>3128</v>
      </c>
      <c r="C153" s="3336" t="s">
        <v>3227</v>
      </c>
      <c r="D153" s="3336" t="s">
        <v>3252</v>
      </c>
      <c r="E153" s="3339">
        <v>42.5</v>
      </c>
      <c r="F153" s="3339">
        <v>335</v>
      </c>
      <c r="G153" s="3340">
        <v>42461</v>
      </c>
      <c r="H153" s="3340">
        <v>42824</v>
      </c>
      <c r="I153" s="3340">
        <v>42825</v>
      </c>
      <c r="J153" s="3324"/>
    </row>
    <row r="154" spans="1:12" s="3327" customFormat="1" ht="12.75" customHeight="1">
      <c r="A154" s="3323"/>
      <c r="B154" s="3331" t="s">
        <v>3128</v>
      </c>
      <c r="C154" s="3331" t="s">
        <v>3227</v>
      </c>
      <c r="D154" s="3331" t="s">
        <v>3253</v>
      </c>
      <c r="E154" s="3332">
        <v>42.5</v>
      </c>
      <c r="F154" s="3332">
        <v>350</v>
      </c>
      <c r="G154" s="3333">
        <v>42826</v>
      </c>
      <c r="H154" s="3333">
        <v>42983</v>
      </c>
      <c r="I154" s="3333">
        <v>43190</v>
      </c>
      <c r="J154" s="3324"/>
      <c r="K154" s="3334">
        <f>E154</f>
        <v>42.5</v>
      </c>
      <c r="L154" s="3334">
        <f>F154/30</f>
        <v>11.666666666666666</v>
      </c>
    </row>
    <row r="155" spans="1:12" s="3327" customFormat="1" ht="12.75" customHeight="1">
      <c r="A155" s="3323" t="s">
        <v>3151</v>
      </c>
      <c r="B155" s="3331" t="s">
        <v>3128</v>
      </c>
      <c r="C155" s="3331" t="s">
        <v>3227</v>
      </c>
      <c r="D155" s="3331" t="s">
        <v>3253</v>
      </c>
      <c r="E155" s="3332">
        <v>42.5</v>
      </c>
      <c r="F155" s="3332">
        <v>350</v>
      </c>
      <c r="G155" s="3333">
        <v>42984</v>
      </c>
      <c r="H155" s="3333">
        <v>43130</v>
      </c>
      <c r="I155" s="3333">
        <v>43190</v>
      </c>
      <c r="J155" s="3324"/>
      <c r="K155" s="3334">
        <f>E155</f>
        <v>42.5</v>
      </c>
      <c r="L155" s="3334">
        <f>F155/30</f>
        <v>11.666666666666666</v>
      </c>
    </row>
    <row r="156" spans="1:12" s="3327" customFormat="1" ht="13.5" customHeight="1">
      <c r="A156" s="3323"/>
      <c r="B156" s="3324" t="s">
        <v>3128</v>
      </c>
      <c r="C156" s="3324" t="s">
        <v>3254</v>
      </c>
      <c r="D156" s="3324" t="s">
        <v>3255</v>
      </c>
      <c r="E156" s="3325">
        <v>95.3</v>
      </c>
      <c r="F156" s="3325">
        <v>240</v>
      </c>
      <c r="G156" s="3326">
        <v>41699</v>
      </c>
      <c r="H156" s="3326">
        <v>42003</v>
      </c>
      <c r="I156" s="3326">
        <v>42094</v>
      </c>
      <c r="J156" s="3324"/>
    </row>
    <row r="157" spans="1:12" s="3327" customFormat="1" ht="13.5" customHeight="1">
      <c r="A157" s="3323"/>
      <c r="B157" s="3324" t="s">
        <v>3128</v>
      </c>
      <c r="C157" s="3324" t="s">
        <v>3254</v>
      </c>
      <c r="D157" s="3324" t="s">
        <v>3255</v>
      </c>
      <c r="E157" s="3325">
        <v>95.3</v>
      </c>
      <c r="F157" s="3325">
        <v>245</v>
      </c>
      <c r="G157" s="3326">
        <v>42005</v>
      </c>
      <c r="H157" s="3326">
        <v>42093</v>
      </c>
      <c r="I157" s="3326">
        <v>42094</v>
      </c>
      <c r="J157" s="3324"/>
    </row>
    <row r="158" spans="1:12" s="3327" customFormat="1" ht="13.5" customHeight="1">
      <c r="A158" s="3323"/>
      <c r="B158" s="3336" t="s">
        <v>3128</v>
      </c>
      <c r="C158" s="3336" t="s">
        <v>3254</v>
      </c>
      <c r="D158" s="3336" t="s">
        <v>3255</v>
      </c>
      <c r="E158" s="3339">
        <v>95.3</v>
      </c>
      <c r="F158" s="3339">
        <v>245</v>
      </c>
      <c r="G158" s="3340">
        <v>42095</v>
      </c>
      <c r="H158" s="3340">
        <v>42459</v>
      </c>
      <c r="I158" s="3340">
        <v>42460</v>
      </c>
      <c r="J158" s="3324"/>
    </row>
    <row r="159" spans="1:12" s="3327" customFormat="1" ht="13.5" customHeight="1">
      <c r="A159" s="3323"/>
      <c r="B159" s="3336" t="s">
        <v>3128</v>
      </c>
      <c r="C159" s="3336" t="s">
        <v>3254</v>
      </c>
      <c r="D159" s="3336" t="s">
        <v>3255</v>
      </c>
      <c r="E159" s="3338">
        <v>97</v>
      </c>
      <c r="F159" s="3332">
        <v>255</v>
      </c>
      <c r="G159" s="3333">
        <v>42461</v>
      </c>
      <c r="H159" s="3333">
        <v>42824</v>
      </c>
      <c r="I159" s="3333">
        <v>42825</v>
      </c>
      <c r="J159" s="3324"/>
      <c r="K159" s="3334">
        <f>E159</f>
        <v>97</v>
      </c>
      <c r="L159" s="3334">
        <f>F159/30</f>
        <v>8.5</v>
      </c>
    </row>
    <row r="160" spans="1:12" s="3327" customFormat="1" ht="13.5" customHeight="1">
      <c r="A160" s="3323"/>
      <c r="B160" s="3331" t="s">
        <v>3128</v>
      </c>
      <c r="C160" s="3331" t="s">
        <v>3254</v>
      </c>
      <c r="D160" s="3331" t="s">
        <v>3256</v>
      </c>
      <c r="E160" s="3332">
        <v>97</v>
      </c>
      <c r="F160" s="3332">
        <v>270</v>
      </c>
      <c r="G160" s="3333">
        <v>42826</v>
      </c>
      <c r="H160" s="3333">
        <v>42983</v>
      </c>
      <c r="I160" s="3333">
        <v>43190</v>
      </c>
      <c r="J160" s="3324"/>
      <c r="K160" s="3334">
        <f>E160</f>
        <v>97</v>
      </c>
      <c r="L160" s="3334">
        <f>F160/30</f>
        <v>9</v>
      </c>
    </row>
    <row r="161" spans="1:12" s="3327" customFormat="1" ht="13.5" customHeight="1">
      <c r="A161" s="3323" t="s">
        <v>3151</v>
      </c>
      <c r="B161" s="3331" t="s">
        <v>3128</v>
      </c>
      <c r="C161" s="3331" t="s">
        <v>3254</v>
      </c>
      <c r="D161" s="3331" t="s">
        <v>3256</v>
      </c>
      <c r="E161" s="3332">
        <v>97</v>
      </c>
      <c r="F161" s="3332">
        <v>270</v>
      </c>
      <c r="G161" s="3333">
        <v>42984</v>
      </c>
      <c r="H161" s="3333">
        <v>43130</v>
      </c>
      <c r="I161" s="3333">
        <v>43190</v>
      </c>
      <c r="J161" s="3324"/>
      <c r="K161" s="3334">
        <f>E161</f>
        <v>97</v>
      </c>
      <c r="L161" s="3334">
        <f>F161/30</f>
        <v>9</v>
      </c>
    </row>
    <row r="162" spans="1:12" s="3327" customFormat="1" ht="13.5" customHeight="1">
      <c r="A162" s="3335"/>
      <c r="B162" s="3336" t="s">
        <v>3128</v>
      </c>
      <c r="C162" s="3336" t="s">
        <v>3257</v>
      </c>
      <c r="D162" s="3336" t="s">
        <v>3258</v>
      </c>
      <c r="E162" s="3339">
        <v>38.200000000000003</v>
      </c>
      <c r="F162" s="3339">
        <v>330</v>
      </c>
      <c r="G162" s="3340">
        <v>40919</v>
      </c>
      <c r="H162" s="3340">
        <v>41363</v>
      </c>
      <c r="I162" s="3340">
        <v>41364</v>
      </c>
      <c r="J162" s="3336"/>
    </row>
    <row r="163" spans="1:12" s="3327" customFormat="1" ht="12.75" customHeight="1">
      <c r="A163" s="3323"/>
      <c r="B163" s="3324" t="s">
        <v>3128</v>
      </c>
      <c r="C163" s="3324" t="s">
        <v>3235</v>
      </c>
      <c r="D163" s="3324" t="s">
        <v>3259</v>
      </c>
      <c r="E163" s="3325">
        <v>82.5</v>
      </c>
      <c r="F163" s="3325">
        <v>320</v>
      </c>
      <c r="G163" s="3326">
        <v>41699</v>
      </c>
      <c r="H163" s="3326">
        <v>42003</v>
      </c>
      <c r="I163" s="3326">
        <v>42094</v>
      </c>
      <c r="J163" s="3324"/>
    </row>
    <row r="164" spans="1:12" s="3327" customFormat="1" ht="12.75" customHeight="1">
      <c r="A164" s="3323"/>
      <c r="B164" s="3324" t="s">
        <v>3128</v>
      </c>
      <c r="C164" s="3324" t="s">
        <v>3235</v>
      </c>
      <c r="D164" s="3324" t="s">
        <v>3259</v>
      </c>
      <c r="E164" s="3325">
        <v>82.5</v>
      </c>
      <c r="F164" s="3325">
        <v>330</v>
      </c>
      <c r="G164" s="3326">
        <v>42005</v>
      </c>
      <c r="H164" s="3326">
        <v>42093</v>
      </c>
      <c r="I164" s="3326">
        <v>42094</v>
      </c>
      <c r="J164" s="3324"/>
    </row>
    <row r="165" spans="1:12" s="3327" customFormat="1" ht="12.75" customHeight="1">
      <c r="A165" s="3323"/>
      <c r="B165" s="3336" t="s">
        <v>3128</v>
      </c>
      <c r="C165" s="3336" t="s">
        <v>3235</v>
      </c>
      <c r="D165" s="3336" t="s">
        <v>3259</v>
      </c>
      <c r="E165" s="3339">
        <v>82.5</v>
      </c>
      <c r="F165" s="3339">
        <v>330</v>
      </c>
      <c r="G165" s="3340">
        <v>42095</v>
      </c>
      <c r="H165" s="3340">
        <v>42459</v>
      </c>
      <c r="I165" s="3340">
        <v>42460</v>
      </c>
      <c r="J165" s="3324"/>
    </row>
    <row r="166" spans="1:12" s="3327" customFormat="1" ht="12.75" customHeight="1">
      <c r="A166" s="3323"/>
      <c r="B166" s="3336" t="s">
        <v>3128</v>
      </c>
      <c r="C166" s="3336" t="s">
        <v>3235</v>
      </c>
      <c r="D166" s="3336" t="s">
        <v>3259</v>
      </c>
      <c r="E166" s="3339">
        <v>82.5</v>
      </c>
      <c r="F166" s="3339">
        <v>335</v>
      </c>
      <c r="G166" s="3340">
        <v>42461</v>
      </c>
      <c r="H166" s="3340">
        <v>42824</v>
      </c>
      <c r="I166" s="3340">
        <v>42825</v>
      </c>
      <c r="J166" s="3324"/>
    </row>
    <row r="167" spans="1:12" s="3327" customFormat="1" ht="12.75" customHeight="1">
      <c r="A167" s="3323" t="s">
        <v>3151</v>
      </c>
      <c r="B167" s="3331" t="s">
        <v>3128</v>
      </c>
      <c r="C167" s="3331" t="s">
        <v>3235</v>
      </c>
      <c r="D167" s="3331" t="s">
        <v>3260</v>
      </c>
      <c r="E167" s="3332">
        <v>82.5</v>
      </c>
      <c r="F167" s="3332">
        <v>350</v>
      </c>
      <c r="G167" s="3333">
        <v>42826</v>
      </c>
      <c r="H167" s="3333">
        <v>43130</v>
      </c>
      <c r="I167" s="3333">
        <v>43190</v>
      </c>
      <c r="J167" s="3324"/>
      <c r="K167" s="3334">
        <f>E167</f>
        <v>82.5</v>
      </c>
      <c r="L167" s="3334">
        <f>F167/30</f>
        <v>11.666666666666666</v>
      </c>
    </row>
    <row r="168" spans="1:12" s="3327" customFormat="1" ht="12.75" customHeight="1">
      <c r="A168" s="3335"/>
      <c r="B168" s="3336" t="s">
        <v>3128</v>
      </c>
      <c r="C168" s="3336" t="s">
        <v>3261</v>
      </c>
      <c r="D168" s="3336" t="s">
        <v>3262</v>
      </c>
      <c r="E168" s="3339">
        <v>44.1</v>
      </c>
      <c r="F168" s="3339">
        <v>290</v>
      </c>
      <c r="G168" s="3340">
        <v>40878</v>
      </c>
      <c r="H168" s="3340">
        <v>41333</v>
      </c>
      <c r="I168" s="3340">
        <v>41364</v>
      </c>
      <c r="J168" s="3336"/>
    </row>
    <row r="169" spans="1:12" s="3327" customFormat="1" ht="12.75" customHeight="1">
      <c r="A169" s="3335"/>
      <c r="B169" s="3336" t="s">
        <v>3128</v>
      </c>
      <c r="C169" s="3336" t="s">
        <v>3263</v>
      </c>
      <c r="D169" s="3336" t="s">
        <v>3264</v>
      </c>
      <c r="E169" s="3339">
        <v>40.6</v>
      </c>
      <c r="F169" s="3339">
        <v>330</v>
      </c>
      <c r="G169" s="3340">
        <v>41000</v>
      </c>
      <c r="H169" s="3340">
        <v>41333</v>
      </c>
      <c r="I169" s="3340">
        <v>41364</v>
      </c>
      <c r="J169" s="3336"/>
    </row>
    <row r="170" spans="1:12" s="3327" customFormat="1" ht="12.75" customHeight="1">
      <c r="A170" s="3335"/>
      <c r="B170" s="3336" t="s">
        <v>3128</v>
      </c>
      <c r="C170" s="3336" t="s">
        <v>3265</v>
      </c>
      <c r="D170" s="3336" t="s">
        <v>3266</v>
      </c>
      <c r="E170" s="3339">
        <v>40.6</v>
      </c>
      <c r="F170" s="3339">
        <v>330</v>
      </c>
      <c r="G170" s="3340">
        <v>41344</v>
      </c>
      <c r="H170" s="3340">
        <v>41698</v>
      </c>
      <c r="I170" s="3340">
        <v>41729</v>
      </c>
      <c r="J170" s="3336"/>
    </row>
    <row r="171" spans="1:12" s="3327" customFormat="1" ht="13.5" customHeight="1">
      <c r="A171" s="3323"/>
      <c r="B171" s="3324" t="s">
        <v>3128</v>
      </c>
      <c r="C171" s="3324" t="s">
        <v>3267</v>
      </c>
      <c r="D171" s="3324" t="s">
        <v>3268</v>
      </c>
      <c r="E171" s="3325">
        <v>23.7</v>
      </c>
      <c r="F171" s="3325">
        <v>330</v>
      </c>
      <c r="G171" s="3326">
        <v>41699</v>
      </c>
      <c r="H171" s="3326">
        <v>42093</v>
      </c>
      <c r="I171" s="3326">
        <v>42094</v>
      </c>
      <c r="J171" s="3324"/>
    </row>
    <row r="172" spans="1:12" s="3327" customFormat="1" ht="12.75" customHeight="1">
      <c r="A172" s="3323"/>
      <c r="B172" s="3336" t="s">
        <v>3128</v>
      </c>
      <c r="C172" s="3336" t="s">
        <v>3267</v>
      </c>
      <c r="D172" s="3336" t="s">
        <v>3268</v>
      </c>
      <c r="E172" s="3339">
        <v>23.7</v>
      </c>
      <c r="F172" s="3339">
        <v>360</v>
      </c>
      <c r="G172" s="3340">
        <v>42095</v>
      </c>
      <c r="H172" s="3340">
        <v>42459</v>
      </c>
      <c r="I172" s="3340">
        <v>42460</v>
      </c>
      <c r="J172" s="3324"/>
    </row>
    <row r="173" spans="1:12" s="3327" customFormat="1" ht="12.75" customHeight="1">
      <c r="A173" s="3323"/>
      <c r="B173" s="3336" t="s">
        <v>3128</v>
      </c>
      <c r="C173" s="3336" t="s">
        <v>3267</v>
      </c>
      <c r="D173" s="3336" t="s">
        <v>3268</v>
      </c>
      <c r="E173" s="3339">
        <v>23.7</v>
      </c>
      <c r="F173" s="3339">
        <v>390</v>
      </c>
      <c r="G173" s="3340">
        <v>42461</v>
      </c>
      <c r="H173" s="3340">
        <v>42824</v>
      </c>
      <c r="I173" s="3340">
        <v>42825</v>
      </c>
      <c r="J173" s="3324"/>
    </row>
    <row r="174" spans="1:12" s="3327" customFormat="1" ht="12.75" customHeight="1">
      <c r="A174" s="3323"/>
      <c r="B174" s="3331" t="s">
        <v>3128</v>
      </c>
      <c r="C174" s="3331" t="s">
        <v>3267</v>
      </c>
      <c r="D174" s="3331" t="s">
        <v>3269</v>
      </c>
      <c r="E174" s="3332">
        <v>23.7</v>
      </c>
      <c r="F174" s="3332">
        <v>400</v>
      </c>
      <c r="G174" s="3333">
        <v>42826</v>
      </c>
      <c r="H174" s="3333">
        <v>43008</v>
      </c>
      <c r="I174" s="3333">
        <v>43190</v>
      </c>
      <c r="J174" s="3324"/>
      <c r="K174" s="3334">
        <f>E174</f>
        <v>23.7</v>
      </c>
      <c r="L174" s="3334">
        <f>F174/30</f>
        <v>13.333333333333334</v>
      </c>
    </row>
    <row r="175" spans="1:12" s="3327" customFormat="1" ht="12.75" customHeight="1">
      <c r="A175" s="3323" t="s">
        <v>3151</v>
      </c>
      <c r="B175" s="3331" t="s">
        <v>3128</v>
      </c>
      <c r="C175" s="3331" t="s">
        <v>3270</v>
      </c>
      <c r="D175" s="3331" t="s">
        <v>3269</v>
      </c>
      <c r="E175" s="3332">
        <v>23.7</v>
      </c>
      <c r="F175" s="3332">
        <v>400</v>
      </c>
      <c r="G175" s="3333">
        <v>43009</v>
      </c>
      <c r="H175" s="3333">
        <v>43130</v>
      </c>
      <c r="I175" s="3333">
        <v>43190</v>
      </c>
      <c r="J175" s="3324"/>
      <c r="K175" s="3334">
        <f>E175</f>
        <v>23.7</v>
      </c>
      <c r="L175" s="3334">
        <f>F175/30</f>
        <v>13.333333333333334</v>
      </c>
    </row>
    <row r="176" spans="1:12" s="3327" customFormat="1" ht="13.5" customHeight="1">
      <c r="A176" s="3323"/>
      <c r="B176" s="3324" t="s">
        <v>3128</v>
      </c>
      <c r="C176" s="3324" t="s">
        <v>3271</v>
      </c>
      <c r="D176" s="3324" t="s">
        <v>3272</v>
      </c>
      <c r="E176" s="3325">
        <v>29.6</v>
      </c>
      <c r="F176" s="3325">
        <v>330</v>
      </c>
      <c r="G176" s="3326">
        <v>41699</v>
      </c>
      <c r="H176" s="3326">
        <v>42093</v>
      </c>
      <c r="I176" s="3326">
        <v>42094</v>
      </c>
      <c r="J176" s="3324"/>
    </row>
    <row r="177" spans="1:12" s="3327" customFormat="1" ht="13.5" customHeight="1">
      <c r="A177" s="3323"/>
      <c r="B177" s="3336" t="s">
        <v>3128</v>
      </c>
      <c r="C177" s="3336" t="s">
        <v>3271</v>
      </c>
      <c r="D177" s="3336" t="s">
        <v>3272</v>
      </c>
      <c r="E177" s="3339">
        <v>29.6</v>
      </c>
      <c r="F177" s="3339">
        <v>340</v>
      </c>
      <c r="G177" s="3340">
        <v>42095</v>
      </c>
      <c r="H177" s="3340">
        <v>42459</v>
      </c>
      <c r="I177" s="3340">
        <v>42460</v>
      </c>
      <c r="J177" s="3324"/>
    </row>
    <row r="178" spans="1:12" s="3327" customFormat="1" ht="13.5" customHeight="1">
      <c r="A178" s="3323"/>
      <c r="B178" s="3336" t="s">
        <v>3128</v>
      </c>
      <c r="C178" s="3336" t="s">
        <v>3271</v>
      </c>
      <c r="D178" s="3336" t="s">
        <v>3272</v>
      </c>
      <c r="E178" s="3339">
        <v>29.6</v>
      </c>
      <c r="F178" s="3339">
        <v>380</v>
      </c>
      <c r="G178" s="3340">
        <v>42461</v>
      </c>
      <c r="H178" s="3340">
        <v>42824</v>
      </c>
      <c r="I178" s="3340">
        <v>42825</v>
      </c>
      <c r="J178" s="3324"/>
    </row>
    <row r="179" spans="1:12" s="3327" customFormat="1" ht="13.5" customHeight="1">
      <c r="A179" s="3323" t="s">
        <v>3151</v>
      </c>
      <c r="B179" s="3331" t="s">
        <v>3128</v>
      </c>
      <c r="C179" s="3331" t="s">
        <v>3273</v>
      </c>
      <c r="D179" s="3331" t="s">
        <v>3274</v>
      </c>
      <c r="E179" s="3332">
        <v>29.6</v>
      </c>
      <c r="F179" s="3332">
        <v>400</v>
      </c>
      <c r="G179" s="3333">
        <v>42826</v>
      </c>
      <c r="H179" s="3333">
        <v>43130</v>
      </c>
      <c r="I179" s="3333">
        <v>43190</v>
      </c>
      <c r="J179" s="3324"/>
      <c r="K179" s="3334">
        <f>E179</f>
        <v>29.6</v>
      </c>
      <c r="L179" s="3334">
        <f>F179/30</f>
        <v>13.333333333333334</v>
      </c>
    </row>
    <row r="180" spans="1:12" s="3327" customFormat="1" ht="13.5" customHeight="1">
      <c r="A180" s="3323"/>
      <c r="B180" s="3324" t="s">
        <v>3128</v>
      </c>
      <c r="C180" s="3324" t="s">
        <v>3275</v>
      </c>
      <c r="D180" s="3324" t="s">
        <v>3276</v>
      </c>
      <c r="E180" s="3325">
        <v>31.4</v>
      </c>
      <c r="F180" s="3325">
        <v>310</v>
      </c>
      <c r="G180" s="3326">
        <v>41699</v>
      </c>
      <c r="H180" s="3326">
        <v>42093</v>
      </c>
      <c r="I180" s="3326">
        <v>42094</v>
      </c>
      <c r="J180" s="3324"/>
    </row>
    <row r="181" spans="1:12" s="3327" customFormat="1" ht="13.5" customHeight="1">
      <c r="A181" s="3323"/>
      <c r="B181" s="3336" t="s">
        <v>3128</v>
      </c>
      <c r="C181" s="3336" t="s">
        <v>3275</v>
      </c>
      <c r="D181" s="3336" t="s">
        <v>3276</v>
      </c>
      <c r="E181" s="3339">
        <v>31.4</v>
      </c>
      <c r="F181" s="3339">
        <v>330</v>
      </c>
      <c r="G181" s="3340">
        <v>42095</v>
      </c>
      <c r="H181" s="3340">
        <v>42459</v>
      </c>
      <c r="I181" s="3340">
        <v>42460</v>
      </c>
      <c r="J181" s="3324"/>
    </row>
    <row r="182" spans="1:12" s="3327" customFormat="1" ht="13.5" customHeight="1">
      <c r="A182" s="3323"/>
      <c r="B182" s="3336" t="s">
        <v>3128</v>
      </c>
      <c r="C182" s="3336" t="s">
        <v>3275</v>
      </c>
      <c r="D182" s="3336" t="s">
        <v>3276</v>
      </c>
      <c r="E182" s="3339">
        <v>31.4</v>
      </c>
      <c r="F182" s="3339">
        <v>350</v>
      </c>
      <c r="G182" s="3340">
        <v>42461</v>
      </c>
      <c r="H182" s="3340">
        <v>42643</v>
      </c>
      <c r="I182" s="3340">
        <v>42825</v>
      </c>
      <c r="J182" s="3324"/>
    </row>
    <row r="183" spans="1:12" s="3327" customFormat="1" ht="13.5" customHeight="1">
      <c r="A183" s="3323"/>
      <c r="B183" s="3336" t="s">
        <v>3128</v>
      </c>
      <c r="C183" s="3336" t="s">
        <v>3277</v>
      </c>
      <c r="D183" s="3336" t="s">
        <v>3278</v>
      </c>
      <c r="E183" s="3339">
        <v>31.4</v>
      </c>
      <c r="F183" s="3339">
        <v>350</v>
      </c>
      <c r="G183" s="3340">
        <v>42644</v>
      </c>
      <c r="H183" s="3340">
        <v>42824</v>
      </c>
      <c r="I183" s="3340">
        <v>42825</v>
      </c>
      <c r="J183" s="3324"/>
    </row>
    <row r="184" spans="1:12" s="3327" customFormat="1" ht="13.5" customHeight="1">
      <c r="A184" s="3323"/>
      <c r="B184" s="3331" t="s">
        <v>3128</v>
      </c>
      <c r="C184" s="3331" t="s">
        <v>3277</v>
      </c>
      <c r="D184" s="3331" t="s">
        <v>3279</v>
      </c>
      <c r="E184" s="3332">
        <v>31.4</v>
      </c>
      <c r="F184" s="3332">
        <v>400</v>
      </c>
      <c r="G184" s="3333">
        <v>42826</v>
      </c>
      <c r="H184" s="3333">
        <v>42951</v>
      </c>
      <c r="I184" s="3333">
        <v>43190</v>
      </c>
      <c r="J184" s="3324"/>
      <c r="K184" s="3334">
        <f>E184</f>
        <v>31.4</v>
      </c>
      <c r="L184" s="3334">
        <f>F184/30</f>
        <v>13.333333333333334</v>
      </c>
    </row>
    <row r="185" spans="1:12" s="3327" customFormat="1" ht="13.5" customHeight="1">
      <c r="A185" s="3323"/>
      <c r="B185" s="3331" t="s">
        <v>3128</v>
      </c>
      <c r="C185" s="3331" t="s">
        <v>3277</v>
      </c>
      <c r="D185" s="3331" t="s">
        <v>3279</v>
      </c>
      <c r="E185" s="3332">
        <v>31.4</v>
      </c>
      <c r="F185" s="3332">
        <v>350</v>
      </c>
      <c r="G185" s="3333">
        <v>42952</v>
      </c>
      <c r="H185" s="3333">
        <v>43048</v>
      </c>
      <c r="I185" s="3333">
        <v>43190</v>
      </c>
      <c r="J185" s="3324"/>
      <c r="K185" s="3334">
        <f>E185</f>
        <v>31.4</v>
      </c>
      <c r="L185" s="3334">
        <f>F185/30</f>
        <v>11.666666666666666</v>
      </c>
    </row>
    <row r="186" spans="1:12" s="3327" customFormat="1" ht="13.5" customHeight="1">
      <c r="A186" s="3323" t="s">
        <v>3151</v>
      </c>
      <c r="B186" s="3331" t="s">
        <v>3128</v>
      </c>
      <c r="C186" s="3331" t="s">
        <v>3280</v>
      </c>
      <c r="D186" s="3331" t="s">
        <v>3279</v>
      </c>
      <c r="E186" s="3332">
        <v>31.4</v>
      </c>
      <c r="F186" s="3332">
        <v>350</v>
      </c>
      <c r="G186" s="3333">
        <v>43049</v>
      </c>
      <c r="H186" s="3333">
        <v>43130</v>
      </c>
      <c r="I186" s="3333">
        <v>43190</v>
      </c>
      <c r="J186" s="3324"/>
      <c r="K186" s="3334">
        <f>E186</f>
        <v>31.4</v>
      </c>
      <c r="L186" s="3334">
        <f>F186/30</f>
        <v>11.666666666666666</v>
      </c>
    </row>
    <row r="187" spans="1:12" s="3327" customFormat="1" ht="13.5" customHeight="1">
      <c r="A187" s="3323"/>
      <c r="B187" s="3324" t="s">
        <v>3128</v>
      </c>
      <c r="C187" s="3324" t="s">
        <v>3281</v>
      </c>
      <c r="D187" s="3324" t="s">
        <v>3282</v>
      </c>
      <c r="E187" s="3325">
        <v>21.5</v>
      </c>
      <c r="F187" s="3325">
        <v>360</v>
      </c>
      <c r="G187" s="3326">
        <v>41699</v>
      </c>
      <c r="H187" s="3326">
        <v>42093</v>
      </c>
      <c r="I187" s="3326">
        <v>42094</v>
      </c>
      <c r="J187" s="3324"/>
    </row>
    <row r="188" spans="1:12" s="3327" customFormat="1" ht="13.5" customHeight="1">
      <c r="A188" s="3323"/>
      <c r="B188" s="3336" t="s">
        <v>3128</v>
      </c>
      <c r="C188" s="3336" t="s">
        <v>3281</v>
      </c>
      <c r="D188" s="3336" t="s">
        <v>3282</v>
      </c>
      <c r="E188" s="3339">
        <v>21.5</v>
      </c>
      <c r="F188" s="3339">
        <v>365</v>
      </c>
      <c r="G188" s="3340">
        <v>42095</v>
      </c>
      <c r="H188" s="3340">
        <v>42459</v>
      </c>
      <c r="I188" s="3340">
        <v>42460</v>
      </c>
      <c r="J188" s="3324"/>
    </row>
    <row r="189" spans="1:12" s="3327" customFormat="1" ht="13.5" customHeight="1">
      <c r="A189" s="3323"/>
      <c r="B189" s="3336" t="s">
        <v>3128</v>
      </c>
      <c r="C189" s="3336" t="s">
        <v>3281</v>
      </c>
      <c r="D189" s="3336" t="s">
        <v>3282</v>
      </c>
      <c r="E189" s="3338">
        <v>21.51</v>
      </c>
      <c r="F189" s="3339">
        <v>390</v>
      </c>
      <c r="G189" s="3340">
        <v>42461</v>
      </c>
      <c r="H189" s="3340">
        <v>42643</v>
      </c>
      <c r="I189" s="3340">
        <v>42825</v>
      </c>
      <c r="J189" s="3324"/>
    </row>
    <row r="190" spans="1:12" s="3327" customFormat="1" ht="13.5" customHeight="1">
      <c r="A190" s="3323"/>
      <c r="B190" s="3336" t="s">
        <v>3128</v>
      </c>
      <c r="C190" s="3336" t="s">
        <v>3283</v>
      </c>
      <c r="D190" s="3336" t="s">
        <v>3282</v>
      </c>
      <c r="E190" s="3338">
        <v>21.51</v>
      </c>
      <c r="F190" s="3339">
        <v>390</v>
      </c>
      <c r="G190" s="3340">
        <v>42644</v>
      </c>
      <c r="H190" s="3340">
        <v>42824</v>
      </c>
      <c r="I190" s="3340">
        <v>42825</v>
      </c>
      <c r="J190" s="3324"/>
    </row>
    <row r="191" spans="1:12" s="3327" customFormat="1" ht="13.5" customHeight="1">
      <c r="A191" s="3323"/>
      <c r="B191" s="3331" t="s">
        <v>3128</v>
      </c>
      <c r="C191" s="3331" t="s">
        <v>3284</v>
      </c>
      <c r="D191" s="3331" t="s">
        <v>3285</v>
      </c>
      <c r="E191" s="3332">
        <v>21.51</v>
      </c>
      <c r="F191" s="3332">
        <v>400</v>
      </c>
      <c r="G191" s="3333">
        <v>42826</v>
      </c>
      <c r="H191" s="3333">
        <v>42885</v>
      </c>
      <c r="I191" s="3333">
        <v>42885</v>
      </c>
      <c r="J191" s="3324"/>
      <c r="K191" s="3334">
        <f>E191</f>
        <v>21.51</v>
      </c>
      <c r="L191" s="3334">
        <f>F191/30</f>
        <v>13.333333333333334</v>
      </c>
    </row>
    <row r="192" spans="1:12" s="3327" customFormat="1" ht="13.5" customHeight="1">
      <c r="A192" s="3323" t="s">
        <v>3151</v>
      </c>
      <c r="B192" s="3331" t="s">
        <v>3128</v>
      </c>
      <c r="C192" s="3331" t="s">
        <v>3286</v>
      </c>
      <c r="D192" s="3331" t="s">
        <v>3285</v>
      </c>
      <c r="E192" s="3332">
        <v>21.51</v>
      </c>
      <c r="F192" s="3332">
        <v>400</v>
      </c>
      <c r="G192" s="3333">
        <v>42887</v>
      </c>
      <c r="H192" s="3333">
        <v>43130</v>
      </c>
      <c r="I192" s="3333">
        <v>43190</v>
      </c>
      <c r="J192" s="3324"/>
      <c r="K192" s="3334">
        <f>E192</f>
        <v>21.51</v>
      </c>
      <c r="L192" s="3334">
        <f>F192/30</f>
        <v>13.333333333333334</v>
      </c>
    </row>
    <row r="193" spans="1:12" s="3327" customFormat="1" ht="12.75" customHeight="1">
      <c r="A193" s="3323"/>
      <c r="B193" s="3324" t="s">
        <v>3128</v>
      </c>
      <c r="C193" s="3324" t="s">
        <v>3287</v>
      </c>
      <c r="D193" s="3324" t="s">
        <v>3288</v>
      </c>
      <c r="E193" s="3325">
        <v>22.9</v>
      </c>
      <c r="F193" s="3325">
        <v>330</v>
      </c>
      <c r="G193" s="3326">
        <v>41699</v>
      </c>
      <c r="H193" s="3326">
        <v>42003</v>
      </c>
      <c r="I193" s="3326">
        <v>42094</v>
      </c>
      <c r="J193" s="3324"/>
    </row>
    <row r="194" spans="1:12" s="3327" customFormat="1" ht="12.75" customHeight="1">
      <c r="A194" s="3323"/>
      <c r="B194" s="3324" t="s">
        <v>3128</v>
      </c>
      <c r="C194" s="3324" t="s">
        <v>3287</v>
      </c>
      <c r="D194" s="3324" t="s">
        <v>3288</v>
      </c>
      <c r="E194" s="3325">
        <v>22.9</v>
      </c>
      <c r="F194" s="3325">
        <v>360</v>
      </c>
      <c r="G194" s="3326">
        <v>42005</v>
      </c>
      <c r="H194" s="3326">
        <v>42093</v>
      </c>
      <c r="I194" s="3326">
        <v>42094</v>
      </c>
      <c r="J194" s="3324"/>
    </row>
    <row r="195" spans="1:12" s="3327" customFormat="1" ht="12.75" customHeight="1">
      <c r="A195" s="3323"/>
      <c r="B195" s="3336" t="s">
        <v>3128</v>
      </c>
      <c r="C195" s="3336" t="s">
        <v>3287</v>
      </c>
      <c r="D195" s="3336" t="s">
        <v>3288</v>
      </c>
      <c r="E195" s="3339">
        <v>22.9</v>
      </c>
      <c r="F195" s="3339">
        <v>360</v>
      </c>
      <c r="G195" s="3340">
        <v>42095</v>
      </c>
      <c r="H195" s="3340">
        <v>42459</v>
      </c>
      <c r="I195" s="3340">
        <v>42460</v>
      </c>
      <c r="J195" s="3324"/>
    </row>
    <row r="196" spans="1:12" s="3327" customFormat="1" ht="12.75" customHeight="1">
      <c r="A196" s="3323"/>
      <c r="B196" s="3336" t="s">
        <v>3128</v>
      </c>
      <c r="C196" s="3336" t="s">
        <v>3287</v>
      </c>
      <c r="D196" s="3336" t="s">
        <v>3288</v>
      </c>
      <c r="E196" s="3339">
        <v>22.9</v>
      </c>
      <c r="F196" s="3339">
        <v>380</v>
      </c>
      <c r="G196" s="3340">
        <v>42461</v>
      </c>
      <c r="H196" s="3340">
        <v>42824</v>
      </c>
      <c r="I196" s="3340">
        <v>42825</v>
      </c>
      <c r="J196" s="3324"/>
    </row>
    <row r="197" spans="1:12" s="3327" customFormat="1" ht="12.75" customHeight="1">
      <c r="A197" s="3323" t="s">
        <v>3151</v>
      </c>
      <c r="B197" s="3331" t="s">
        <v>3128</v>
      </c>
      <c r="C197" s="3331" t="s">
        <v>3289</v>
      </c>
      <c r="D197" s="3331" t="s">
        <v>3290</v>
      </c>
      <c r="E197" s="3332">
        <v>22.9</v>
      </c>
      <c r="F197" s="3332">
        <v>395</v>
      </c>
      <c r="G197" s="3333">
        <v>42826</v>
      </c>
      <c r="H197" s="3333">
        <v>43130</v>
      </c>
      <c r="I197" s="3333">
        <v>43190</v>
      </c>
      <c r="J197" s="3324"/>
      <c r="K197" s="3334">
        <f>E197</f>
        <v>22.9</v>
      </c>
      <c r="L197" s="3334">
        <f>F197/30</f>
        <v>13.166666666666666</v>
      </c>
    </row>
    <row r="198" spans="1:12" s="3327" customFormat="1" ht="12.75" customHeight="1">
      <c r="A198" s="3335"/>
      <c r="B198" s="3336" t="s">
        <v>3128</v>
      </c>
      <c r="C198" s="3336" t="s">
        <v>3291</v>
      </c>
      <c r="D198" s="3336" t="s">
        <v>3292</v>
      </c>
      <c r="E198" s="3339">
        <v>91.8</v>
      </c>
      <c r="F198" s="3339">
        <v>210</v>
      </c>
      <c r="G198" s="3340">
        <v>41000</v>
      </c>
      <c r="H198" s="3340">
        <v>41363</v>
      </c>
      <c r="I198" s="3340">
        <v>41364</v>
      </c>
      <c r="J198" s="3336"/>
    </row>
    <row r="199" spans="1:12" s="3327" customFormat="1" ht="12.75" customHeight="1">
      <c r="A199" s="3323"/>
      <c r="B199" s="3324" t="s">
        <v>3128</v>
      </c>
      <c r="C199" s="3324" t="s">
        <v>3293</v>
      </c>
      <c r="D199" s="3324" t="s">
        <v>3294</v>
      </c>
      <c r="E199" s="3325">
        <v>23.1</v>
      </c>
      <c r="F199" s="3325">
        <v>260</v>
      </c>
      <c r="G199" s="3326">
        <v>41699</v>
      </c>
      <c r="H199" s="3326">
        <v>42003</v>
      </c>
      <c r="I199" s="3326">
        <v>42094</v>
      </c>
      <c r="J199" s="3324"/>
    </row>
    <row r="200" spans="1:12" s="3327" customFormat="1" ht="12.75" customHeight="1">
      <c r="A200" s="3323"/>
      <c r="B200" s="3324" t="s">
        <v>3128</v>
      </c>
      <c r="C200" s="3324" t="s">
        <v>3293</v>
      </c>
      <c r="D200" s="3324" t="s">
        <v>3294</v>
      </c>
      <c r="E200" s="3325">
        <v>23.1</v>
      </c>
      <c r="F200" s="3325">
        <v>270</v>
      </c>
      <c r="G200" s="3326">
        <v>42005</v>
      </c>
      <c r="H200" s="3326">
        <v>42093</v>
      </c>
      <c r="I200" s="3326">
        <v>42094</v>
      </c>
      <c r="J200" s="3324"/>
    </row>
    <row r="201" spans="1:12" s="3327" customFormat="1" ht="12.75" customHeight="1">
      <c r="A201" s="3323"/>
      <c r="B201" s="3336" t="s">
        <v>3128</v>
      </c>
      <c r="C201" s="3336" t="s">
        <v>3293</v>
      </c>
      <c r="D201" s="3336" t="s">
        <v>3294</v>
      </c>
      <c r="E201" s="3339">
        <v>23.1</v>
      </c>
      <c r="F201" s="3339">
        <v>270</v>
      </c>
      <c r="G201" s="3340">
        <v>42095</v>
      </c>
      <c r="H201" s="3340">
        <v>42187</v>
      </c>
      <c r="I201" s="3340">
        <v>42460</v>
      </c>
      <c r="J201" s="3324"/>
    </row>
    <row r="202" spans="1:12" s="3327" customFormat="1" ht="12.75" customHeight="1">
      <c r="A202" s="3323"/>
      <c r="B202" s="3336" t="s">
        <v>3128</v>
      </c>
      <c r="C202" s="3336" t="s">
        <v>3293</v>
      </c>
      <c r="D202" s="3336" t="s">
        <v>3294</v>
      </c>
      <c r="E202" s="3339">
        <v>23.1</v>
      </c>
      <c r="F202" s="3339">
        <v>270</v>
      </c>
      <c r="G202" s="3340">
        <v>42188</v>
      </c>
      <c r="H202" s="3340">
        <v>42459</v>
      </c>
      <c r="I202" s="3340">
        <v>42460</v>
      </c>
      <c r="J202" s="3324"/>
    </row>
    <row r="203" spans="1:12" s="3327" customFormat="1" ht="12.75" customHeight="1">
      <c r="A203" s="3323"/>
      <c r="B203" s="3336" t="s">
        <v>3128</v>
      </c>
      <c r="C203" s="3336" t="s">
        <v>3293</v>
      </c>
      <c r="D203" s="3336" t="s">
        <v>3294</v>
      </c>
      <c r="E203" s="3339">
        <v>23.1</v>
      </c>
      <c r="F203" s="3339">
        <v>300</v>
      </c>
      <c r="G203" s="3340">
        <v>42461</v>
      </c>
      <c r="H203" s="3340">
        <v>42824</v>
      </c>
      <c r="I203" s="3340">
        <v>42825</v>
      </c>
      <c r="J203" s="3324"/>
    </row>
    <row r="204" spans="1:12" s="3327" customFormat="1" ht="12.75" customHeight="1">
      <c r="A204" s="3323"/>
      <c r="B204" s="3331" t="s">
        <v>3128</v>
      </c>
      <c r="C204" s="3331" t="s">
        <v>3295</v>
      </c>
      <c r="D204" s="3331" t="s">
        <v>3296</v>
      </c>
      <c r="E204" s="3332">
        <v>23.1</v>
      </c>
      <c r="F204" s="3332">
        <v>360</v>
      </c>
      <c r="G204" s="3341">
        <v>42826</v>
      </c>
      <c r="H204" s="3341">
        <v>43108</v>
      </c>
      <c r="I204" s="3341">
        <v>43190</v>
      </c>
      <c r="J204" s="3324"/>
      <c r="K204" s="3334">
        <f>E204</f>
        <v>23.1</v>
      </c>
      <c r="L204" s="3334">
        <f>F204/30</f>
        <v>12</v>
      </c>
    </row>
    <row r="205" spans="1:12" s="3327" customFormat="1" ht="12.75" customHeight="1">
      <c r="A205" s="3323"/>
      <c r="B205" s="3324" t="s">
        <v>3128</v>
      </c>
      <c r="C205" s="3324" t="s">
        <v>3297</v>
      </c>
      <c r="D205" s="3324" t="s">
        <v>3298</v>
      </c>
      <c r="E205" s="3325">
        <v>30.5</v>
      </c>
      <c r="F205" s="3325">
        <v>330</v>
      </c>
      <c r="G205" s="3326">
        <v>41699</v>
      </c>
      <c r="H205" s="3326">
        <v>42093</v>
      </c>
      <c r="I205" s="3326">
        <v>42094</v>
      </c>
      <c r="J205" s="3324"/>
    </row>
    <row r="206" spans="1:12" s="3327" customFormat="1" ht="12.75" customHeight="1">
      <c r="A206" s="3323"/>
      <c r="B206" s="3336" t="s">
        <v>3128</v>
      </c>
      <c r="C206" s="3336" t="s">
        <v>3297</v>
      </c>
      <c r="D206" s="3336" t="s">
        <v>3298</v>
      </c>
      <c r="E206" s="3339">
        <v>30.5</v>
      </c>
      <c r="F206" s="3339">
        <v>350</v>
      </c>
      <c r="G206" s="3340">
        <v>42095</v>
      </c>
      <c r="H206" s="3340">
        <v>42459</v>
      </c>
      <c r="I206" s="3340">
        <v>42460</v>
      </c>
      <c r="J206" s="3324"/>
    </row>
    <row r="207" spans="1:12" s="3327" customFormat="1" ht="12.75" customHeight="1">
      <c r="A207" s="3323"/>
      <c r="B207" s="3336" t="s">
        <v>3128</v>
      </c>
      <c r="C207" s="3336" t="s">
        <v>3297</v>
      </c>
      <c r="D207" s="3336" t="s">
        <v>3298</v>
      </c>
      <c r="E207" s="3339">
        <v>30.5</v>
      </c>
      <c r="F207" s="3339">
        <v>370</v>
      </c>
      <c r="G207" s="3340">
        <v>42461</v>
      </c>
      <c r="H207" s="3340">
        <v>42824</v>
      </c>
      <c r="I207" s="3340">
        <v>42825</v>
      </c>
      <c r="J207" s="3324"/>
    </row>
    <row r="208" spans="1:12" s="3327" customFormat="1" ht="12.75" customHeight="1">
      <c r="A208" s="3323"/>
      <c r="B208" s="3331" t="s">
        <v>3128</v>
      </c>
      <c r="C208" s="3331" t="s">
        <v>3297</v>
      </c>
      <c r="D208" s="3331" t="s">
        <v>3299</v>
      </c>
      <c r="E208" s="3332">
        <v>30.5</v>
      </c>
      <c r="F208" s="3332">
        <v>400</v>
      </c>
      <c r="G208" s="3341">
        <v>42826</v>
      </c>
      <c r="H208" s="3341">
        <v>43108</v>
      </c>
      <c r="I208" s="3341">
        <v>43190</v>
      </c>
      <c r="J208" s="3324"/>
      <c r="K208" s="3334">
        <f>E208</f>
        <v>30.5</v>
      </c>
      <c r="L208" s="3334">
        <f>F208/30</f>
        <v>13.333333333333334</v>
      </c>
    </row>
    <row r="209" spans="1:12" s="3327" customFormat="1" ht="13.5" customHeight="1">
      <c r="A209" s="3323"/>
      <c r="B209" s="3324" t="s">
        <v>3128</v>
      </c>
      <c r="C209" s="3324" t="s">
        <v>3300</v>
      </c>
      <c r="D209" s="3324" t="s">
        <v>3301</v>
      </c>
      <c r="E209" s="3325">
        <v>38.200000000000003</v>
      </c>
      <c r="F209" s="3325">
        <v>360</v>
      </c>
      <c r="G209" s="3326">
        <v>41699</v>
      </c>
      <c r="H209" s="3326">
        <v>42093</v>
      </c>
      <c r="I209" s="3326">
        <v>42094</v>
      </c>
      <c r="J209" s="3324"/>
    </row>
    <row r="210" spans="1:12" s="3327" customFormat="1" ht="13.5" customHeight="1">
      <c r="A210" s="3323"/>
      <c r="B210" s="3336" t="s">
        <v>3128</v>
      </c>
      <c r="C210" s="3336" t="s">
        <v>3300</v>
      </c>
      <c r="D210" s="3336" t="s">
        <v>3301</v>
      </c>
      <c r="E210" s="3339">
        <v>38.200000000000003</v>
      </c>
      <c r="F210" s="3339">
        <v>365</v>
      </c>
      <c r="G210" s="3340">
        <v>42095</v>
      </c>
      <c r="H210" s="3340">
        <v>42459</v>
      </c>
      <c r="I210" s="3340">
        <v>42460</v>
      </c>
      <c r="J210" s="3324"/>
    </row>
    <row r="211" spans="1:12" s="3327" customFormat="1" ht="13.5" customHeight="1">
      <c r="A211" s="3323"/>
      <c r="B211" s="3336" t="s">
        <v>3128</v>
      </c>
      <c r="C211" s="3336" t="s">
        <v>3300</v>
      </c>
      <c r="D211" s="3336" t="s">
        <v>3301</v>
      </c>
      <c r="E211" s="3338">
        <v>39.56</v>
      </c>
      <c r="F211" s="3339">
        <v>385</v>
      </c>
      <c r="G211" s="3340">
        <v>42461</v>
      </c>
      <c r="H211" s="3340">
        <v>42824</v>
      </c>
      <c r="I211" s="3340">
        <v>42825</v>
      </c>
      <c r="J211" s="3324"/>
    </row>
    <row r="212" spans="1:12" s="3327" customFormat="1" ht="13.5" customHeight="1">
      <c r="A212" s="3323"/>
      <c r="B212" s="3331" t="s">
        <v>3128</v>
      </c>
      <c r="C212" s="3331" t="s">
        <v>3302</v>
      </c>
      <c r="D212" s="3331" t="s">
        <v>3303</v>
      </c>
      <c r="E212" s="3332">
        <v>39.56</v>
      </c>
      <c r="F212" s="3332">
        <v>400</v>
      </c>
      <c r="G212" s="3341">
        <v>42826</v>
      </c>
      <c r="H212" s="3341">
        <v>43108</v>
      </c>
      <c r="I212" s="3341">
        <v>43190</v>
      </c>
      <c r="J212" s="3324"/>
      <c r="K212" s="3334">
        <f>E212</f>
        <v>39.56</v>
      </c>
      <c r="L212" s="3334">
        <f>F212/30</f>
        <v>13.333333333333334</v>
      </c>
    </row>
    <row r="213" spans="1:12" s="3327" customFormat="1" ht="13.5" customHeight="1">
      <c r="A213" s="3323" t="s">
        <v>3304</v>
      </c>
      <c r="B213" s="3331" t="s">
        <v>3128</v>
      </c>
      <c r="C213" s="3331" t="s">
        <v>3302</v>
      </c>
      <c r="D213" s="3331" t="s">
        <v>3303</v>
      </c>
      <c r="E213" s="3332">
        <v>93.16</v>
      </c>
      <c r="F213" s="3332">
        <v>400</v>
      </c>
      <c r="G213" s="3333">
        <v>43109</v>
      </c>
      <c r="H213" s="3333">
        <v>43131</v>
      </c>
      <c r="I213" s="3333">
        <v>43190</v>
      </c>
      <c r="J213" s="3324"/>
      <c r="K213" s="3334">
        <f>E213</f>
        <v>93.16</v>
      </c>
      <c r="L213" s="3334">
        <f>F213/30</f>
        <v>13.333333333333334</v>
      </c>
    </row>
    <row r="214" spans="1:12" s="3327" customFormat="1" ht="13.5" customHeight="1">
      <c r="A214" s="3335"/>
      <c r="B214" s="3336" t="s">
        <v>3128</v>
      </c>
      <c r="C214" s="3336" t="s">
        <v>3305</v>
      </c>
      <c r="D214" s="3336" t="s">
        <v>3306</v>
      </c>
      <c r="E214" s="3339">
        <v>118.8</v>
      </c>
      <c r="F214" s="3339">
        <v>190</v>
      </c>
      <c r="G214" s="3340">
        <v>41000</v>
      </c>
      <c r="H214" s="3340">
        <v>41363</v>
      </c>
      <c r="I214" s="3340">
        <v>41364</v>
      </c>
      <c r="J214" s="3336"/>
    </row>
    <row r="215" spans="1:12" s="3327" customFormat="1" ht="13.5" customHeight="1">
      <c r="A215" s="3335"/>
      <c r="B215" s="3336" t="s">
        <v>3128</v>
      </c>
      <c r="C215" s="3336" t="s">
        <v>3307</v>
      </c>
      <c r="D215" s="3336" t="s">
        <v>3308</v>
      </c>
      <c r="E215" s="3339">
        <v>46.2</v>
      </c>
      <c r="F215" s="3339">
        <v>320</v>
      </c>
      <c r="G215" s="3340">
        <v>41000</v>
      </c>
      <c r="H215" s="3340">
        <v>41363</v>
      </c>
      <c r="I215" s="3340">
        <v>41364</v>
      </c>
      <c r="J215" s="3336"/>
    </row>
    <row r="216" spans="1:12" s="3327" customFormat="1" ht="12.75" customHeight="1">
      <c r="A216" s="3323"/>
      <c r="B216" s="3324" t="s">
        <v>3128</v>
      </c>
      <c r="C216" s="3324" t="s">
        <v>3309</v>
      </c>
      <c r="D216" s="3324" t="s">
        <v>3310</v>
      </c>
      <c r="E216" s="3325">
        <v>40.9</v>
      </c>
      <c r="F216" s="3325">
        <v>340</v>
      </c>
      <c r="G216" s="3326">
        <v>41699</v>
      </c>
      <c r="H216" s="3326">
        <v>42003</v>
      </c>
      <c r="I216" s="3326">
        <v>42094</v>
      </c>
      <c r="J216" s="3324"/>
    </row>
    <row r="217" spans="1:12" s="3327" customFormat="1" ht="12.75" customHeight="1">
      <c r="A217" s="3323"/>
      <c r="B217" s="3324" t="s">
        <v>3128</v>
      </c>
      <c r="C217" s="3324" t="s">
        <v>3309</v>
      </c>
      <c r="D217" s="3324" t="s">
        <v>3310</v>
      </c>
      <c r="E217" s="3325">
        <v>40.9</v>
      </c>
      <c r="F217" s="3325">
        <v>350</v>
      </c>
      <c r="G217" s="3326">
        <v>42005</v>
      </c>
      <c r="H217" s="3326">
        <v>42093</v>
      </c>
      <c r="I217" s="3326">
        <v>42094</v>
      </c>
      <c r="J217" s="3324"/>
    </row>
    <row r="218" spans="1:12" s="3327" customFormat="1" ht="12.75" customHeight="1">
      <c r="A218" s="3323"/>
      <c r="B218" s="3336" t="s">
        <v>3128</v>
      </c>
      <c r="C218" s="3336" t="s">
        <v>3309</v>
      </c>
      <c r="D218" s="3336" t="s">
        <v>3310</v>
      </c>
      <c r="E218" s="3339">
        <v>40.9</v>
      </c>
      <c r="F218" s="3339">
        <v>350</v>
      </c>
      <c r="G218" s="3340">
        <v>42095</v>
      </c>
      <c r="H218" s="3340">
        <v>42154</v>
      </c>
      <c r="I218" s="3340">
        <v>42155</v>
      </c>
      <c r="J218" s="3324"/>
    </row>
    <row r="219" spans="1:12" s="3327" customFormat="1" ht="12.75" customHeight="1">
      <c r="A219" s="3323"/>
      <c r="B219" s="3336" t="s">
        <v>3128</v>
      </c>
      <c r="C219" s="3336" t="s">
        <v>3309</v>
      </c>
      <c r="D219" s="3336" t="s">
        <v>3310</v>
      </c>
      <c r="E219" s="3339">
        <v>40.9</v>
      </c>
      <c r="F219" s="3339">
        <v>350</v>
      </c>
      <c r="G219" s="3340">
        <v>42156</v>
      </c>
      <c r="H219" s="3340">
        <v>42459</v>
      </c>
      <c r="I219" s="3340">
        <v>42460</v>
      </c>
      <c r="J219" s="3324"/>
    </row>
    <row r="220" spans="1:12" s="3327" customFormat="1" ht="12.75" customHeight="1">
      <c r="A220" s="3323"/>
      <c r="B220" s="3336" t="s">
        <v>3128</v>
      </c>
      <c r="C220" s="3336" t="s">
        <v>3309</v>
      </c>
      <c r="D220" s="3336" t="s">
        <v>3310</v>
      </c>
      <c r="E220" s="3339">
        <v>40.94</v>
      </c>
      <c r="F220" s="3339">
        <v>360</v>
      </c>
      <c r="G220" s="3340">
        <v>42461</v>
      </c>
      <c r="H220" s="3340">
        <v>42824</v>
      </c>
      <c r="I220" s="3340">
        <v>42825</v>
      </c>
      <c r="J220" s="3324"/>
    </row>
    <row r="221" spans="1:12" s="3327" customFormat="1" ht="12.75" customHeight="1">
      <c r="A221" s="3323"/>
      <c r="B221" s="3331" t="s">
        <v>3128</v>
      </c>
      <c r="C221" s="3331" t="s">
        <v>3309</v>
      </c>
      <c r="D221" s="3331" t="s">
        <v>3311</v>
      </c>
      <c r="E221" s="3332">
        <v>40.94</v>
      </c>
      <c r="F221" s="3332">
        <v>365</v>
      </c>
      <c r="G221" s="3333">
        <v>42826</v>
      </c>
      <c r="H221" s="3333">
        <v>42855</v>
      </c>
      <c r="I221" s="3333">
        <v>43190</v>
      </c>
      <c r="J221" s="3324"/>
      <c r="K221" s="3334">
        <f>E221</f>
        <v>40.94</v>
      </c>
      <c r="L221" s="3334">
        <f>F221/30</f>
        <v>12.166666666666666</v>
      </c>
    </row>
    <row r="222" spans="1:12" s="3327" customFormat="1" ht="13.5" customHeight="1">
      <c r="A222" s="3323"/>
      <c r="B222" s="3331" t="s">
        <v>3128</v>
      </c>
      <c r="C222" s="3331" t="s">
        <v>3309</v>
      </c>
      <c r="D222" s="3331" t="s">
        <v>3311</v>
      </c>
      <c r="E222" s="3332">
        <v>23.28</v>
      </c>
      <c r="F222" s="3332">
        <v>370</v>
      </c>
      <c r="G222" s="3333">
        <v>42856</v>
      </c>
      <c r="H222" s="3333">
        <v>42885</v>
      </c>
      <c r="I222" s="3333">
        <v>43190</v>
      </c>
      <c r="J222" s="3324"/>
      <c r="K222" s="3334">
        <f>E222</f>
        <v>23.28</v>
      </c>
      <c r="L222" s="3334">
        <f>F222/30</f>
        <v>12.333333333333334</v>
      </c>
    </row>
    <row r="223" spans="1:12" s="3327" customFormat="1" ht="12.75" customHeight="1">
      <c r="A223" s="3323"/>
      <c r="B223" s="3331" t="s">
        <v>3128</v>
      </c>
      <c r="C223" s="3331" t="s">
        <v>3309</v>
      </c>
      <c r="D223" s="3331" t="s">
        <v>3311</v>
      </c>
      <c r="E223" s="3332">
        <v>16</v>
      </c>
      <c r="F223" s="3332">
        <v>370</v>
      </c>
      <c r="G223" s="3333">
        <v>42887</v>
      </c>
      <c r="H223" s="3333">
        <v>42986</v>
      </c>
      <c r="I223" s="3333">
        <v>43190</v>
      </c>
      <c r="J223" s="3324"/>
      <c r="K223" s="3334">
        <f>E223</f>
        <v>16</v>
      </c>
      <c r="L223" s="3334">
        <f>F223/30</f>
        <v>12.333333333333334</v>
      </c>
    </row>
    <row r="224" spans="1:12" s="3327" customFormat="1" ht="12.75" customHeight="1">
      <c r="A224" s="3323" t="s">
        <v>3151</v>
      </c>
      <c r="B224" s="3331" t="s">
        <v>3128</v>
      </c>
      <c r="C224" s="3331" t="s">
        <v>3309</v>
      </c>
      <c r="D224" s="3331" t="s">
        <v>3311</v>
      </c>
      <c r="E224" s="3332">
        <v>16</v>
      </c>
      <c r="F224" s="3332">
        <v>370</v>
      </c>
      <c r="G224" s="3333">
        <v>42987</v>
      </c>
      <c r="H224" s="3333">
        <v>43130</v>
      </c>
      <c r="I224" s="3333">
        <v>43190</v>
      </c>
      <c r="J224" s="3324"/>
      <c r="K224" s="3334">
        <f>E224</f>
        <v>16</v>
      </c>
      <c r="L224" s="3334">
        <f>F224/30</f>
        <v>12.333333333333334</v>
      </c>
    </row>
    <row r="225" spans="1:12" s="3327" customFormat="1" ht="12.75" customHeight="1">
      <c r="A225" s="3323" t="s">
        <v>3151</v>
      </c>
      <c r="B225" s="3331" t="s">
        <v>3128</v>
      </c>
      <c r="C225" s="3331" t="s">
        <v>3312</v>
      </c>
      <c r="D225" s="3331" t="s">
        <v>3313</v>
      </c>
      <c r="E225" s="3332">
        <v>9.32</v>
      </c>
      <c r="F225" s="3332">
        <v>260</v>
      </c>
      <c r="G225" s="3333">
        <v>42856</v>
      </c>
      <c r="H225" s="3333">
        <v>43130</v>
      </c>
      <c r="I225" s="3333">
        <v>43190</v>
      </c>
      <c r="J225" s="3324"/>
      <c r="K225" s="3334">
        <f>E225</f>
        <v>9.32</v>
      </c>
      <c r="L225" s="3334">
        <f>F225/30</f>
        <v>8.6666666666666661</v>
      </c>
    </row>
    <row r="226" spans="1:12" s="3327" customFormat="1" ht="12.75" customHeight="1">
      <c r="A226" s="3323" t="s">
        <v>3151</v>
      </c>
      <c r="B226" s="3331" t="s">
        <v>3128</v>
      </c>
      <c r="C226" s="3331" t="s">
        <v>3314</v>
      </c>
      <c r="D226" s="3331" t="s">
        <v>3315</v>
      </c>
      <c r="E226" s="3332">
        <v>9.5500000000000007</v>
      </c>
      <c r="F226" s="3332">
        <v>260</v>
      </c>
      <c r="G226" s="3333">
        <v>42856</v>
      </c>
      <c r="H226" s="3333">
        <v>43130</v>
      </c>
      <c r="I226" s="3333">
        <v>43190</v>
      </c>
      <c r="J226" s="3324"/>
      <c r="K226" s="3334">
        <f>E226</f>
        <v>9.5500000000000007</v>
      </c>
      <c r="L226" s="3334">
        <f>F226/30</f>
        <v>8.6666666666666661</v>
      </c>
    </row>
    <row r="227" spans="1:12" s="3327" customFormat="1" ht="12.75" customHeight="1">
      <c r="A227" s="3323"/>
      <c r="B227" s="3324" t="s">
        <v>3128</v>
      </c>
      <c r="C227" s="3324" t="s">
        <v>3316</v>
      </c>
      <c r="D227" s="3324" t="s">
        <v>3317</v>
      </c>
      <c r="E227" s="3325">
        <v>103.4</v>
      </c>
      <c r="F227" s="3325">
        <v>190</v>
      </c>
      <c r="G227" s="3326">
        <v>41699</v>
      </c>
      <c r="H227" s="3326">
        <v>42003</v>
      </c>
      <c r="I227" s="3326">
        <v>42094</v>
      </c>
      <c r="J227" s="3324"/>
    </row>
    <row r="228" spans="1:12" s="3327" customFormat="1" ht="12.75" customHeight="1">
      <c r="A228" s="3323"/>
      <c r="B228" s="3336" t="s">
        <v>3128</v>
      </c>
      <c r="C228" s="3336" t="s">
        <v>3316</v>
      </c>
      <c r="D228" s="3336" t="s">
        <v>3317</v>
      </c>
      <c r="E228" s="3339">
        <v>103.4</v>
      </c>
      <c r="F228" s="3339">
        <v>200</v>
      </c>
      <c r="G228" s="3340">
        <v>42005</v>
      </c>
      <c r="H228" s="3340">
        <v>42093</v>
      </c>
      <c r="I228" s="3340">
        <v>42094</v>
      </c>
      <c r="J228" s="3324"/>
    </row>
    <row r="229" spans="1:12" s="3327" customFormat="1" ht="12.75" customHeight="1">
      <c r="A229" s="3335"/>
      <c r="B229" s="3336" t="s">
        <v>3128</v>
      </c>
      <c r="C229" s="3336" t="s">
        <v>3318</v>
      </c>
      <c r="D229" s="3336" t="s">
        <v>3319</v>
      </c>
      <c r="E229" s="3339">
        <v>24.7</v>
      </c>
      <c r="F229" s="3339">
        <v>240</v>
      </c>
      <c r="G229" s="3340">
        <v>41000</v>
      </c>
      <c r="H229" s="3340">
        <v>41363</v>
      </c>
      <c r="I229" s="3340">
        <v>41364</v>
      </c>
      <c r="J229" s="3336"/>
    </row>
    <row r="230" spans="1:12" s="3327" customFormat="1" ht="12.75" customHeight="1">
      <c r="A230" s="3323"/>
      <c r="B230" s="3324" t="s">
        <v>3128</v>
      </c>
      <c r="C230" s="3324" t="s">
        <v>3318</v>
      </c>
      <c r="D230" s="3324" t="s">
        <v>3311</v>
      </c>
      <c r="E230" s="3325">
        <v>24.7</v>
      </c>
      <c r="F230" s="3325">
        <v>240</v>
      </c>
      <c r="G230" s="3326">
        <v>41730</v>
      </c>
      <c r="H230" s="3326">
        <v>41850</v>
      </c>
      <c r="I230" s="3326">
        <v>42094</v>
      </c>
      <c r="J230" s="3324"/>
    </row>
    <row r="231" spans="1:12" s="3327" customFormat="1" ht="12.75" customHeight="1">
      <c r="A231" s="3323"/>
      <c r="B231" s="3324" t="s">
        <v>3128</v>
      </c>
      <c r="C231" s="3324" t="s">
        <v>3237</v>
      </c>
      <c r="D231" s="3324" t="s">
        <v>3311</v>
      </c>
      <c r="E231" s="3325">
        <v>24.7</v>
      </c>
      <c r="F231" s="3325">
        <v>240</v>
      </c>
      <c r="G231" s="3326">
        <v>41852</v>
      </c>
      <c r="H231" s="3326">
        <v>42093</v>
      </c>
      <c r="I231" s="3326">
        <v>42094</v>
      </c>
      <c r="J231" s="3324"/>
    </row>
    <row r="232" spans="1:12" s="3327" customFormat="1" ht="12.75" customHeight="1">
      <c r="A232" s="3323"/>
      <c r="B232" s="3336" t="s">
        <v>3128</v>
      </c>
      <c r="C232" s="3336" t="s">
        <v>3237</v>
      </c>
      <c r="D232" s="3336" t="s">
        <v>3311</v>
      </c>
      <c r="E232" s="3339">
        <v>24.7</v>
      </c>
      <c r="F232" s="3339">
        <v>240</v>
      </c>
      <c r="G232" s="3340">
        <v>42095</v>
      </c>
      <c r="H232" s="3340">
        <v>42154</v>
      </c>
      <c r="I232" s="3340">
        <v>42155</v>
      </c>
      <c r="J232" s="3324"/>
    </row>
    <row r="233" spans="1:12" s="3327" customFormat="1" ht="12.75" customHeight="1">
      <c r="A233" s="3323"/>
      <c r="B233" s="3336" t="s">
        <v>3128</v>
      </c>
      <c r="C233" s="3336" t="s">
        <v>3309</v>
      </c>
      <c r="D233" s="3336" t="s">
        <v>3311</v>
      </c>
      <c r="E233" s="3339">
        <v>24.7</v>
      </c>
      <c r="F233" s="3339">
        <v>240</v>
      </c>
      <c r="G233" s="3340">
        <v>42156</v>
      </c>
      <c r="H233" s="3340">
        <v>42459</v>
      </c>
      <c r="I233" s="3340">
        <v>42460</v>
      </c>
      <c r="J233" s="3324"/>
    </row>
    <row r="234" spans="1:12" s="3327" customFormat="1" ht="12.75" customHeight="1">
      <c r="A234" s="3323"/>
      <c r="B234" s="3336" t="s">
        <v>3128</v>
      </c>
      <c r="C234" s="3336" t="s">
        <v>3309</v>
      </c>
      <c r="D234" s="3336" t="s">
        <v>3311</v>
      </c>
      <c r="E234" s="3339">
        <v>24.7</v>
      </c>
      <c r="F234" s="3339">
        <v>255</v>
      </c>
      <c r="G234" s="3340">
        <v>42461</v>
      </c>
      <c r="H234" s="3340">
        <v>42824</v>
      </c>
      <c r="I234" s="3340">
        <v>42825</v>
      </c>
      <c r="J234" s="3324"/>
    </row>
    <row r="235" spans="1:12" s="3327" customFormat="1" ht="12.75" customHeight="1">
      <c r="A235" s="3323"/>
      <c r="B235" s="3331" t="s">
        <v>3128</v>
      </c>
      <c r="C235" s="3331" t="s">
        <v>3309</v>
      </c>
      <c r="D235" s="3331" t="s">
        <v>3320</v>
      </c>
      <c r="E235" s="3332">
        <v>24.7</v>
      </c>
      <c r="F235" s="3332">
        <v>260</v>
      </c>
      <c r="G235" s="3333">
        <v>42826</v>
      </c>
      <c r="H235" s="3333">
        <v>42855</v>
      </c>
      <c r="I235" s="3333">
        <v>43190</v>
      </c>
      <c r="J235" s="3324"/>
      <c r="K235" s="3334">
        <f>E235</f>
        <v>24.7</v>
      </c>
      <c r="L235" s="3334">
        <f>F235/30</f>
        <v>8.6666666666666661</v>
      </c>
    </row>
    <row r="236" spans="1:12" s="3327" customFormat="1" ht="12.75" customHeight="1">
      <c r="A236" s="3323" t="s">
        <v>3151</v>
      </c>
      <c r="B236" s="3331" t="s">
        <v>3128</v>
      </c>
      <c r="C236" s="3331" t="s">
        <v>3309</v>
      </c>
      <c r="D236" s="3331" t="s">
        <v>3320</v>
      </c>
      <c r="E236" s="3332">
        <v>24.7</v>
      </c>
      <c r="F236" s="3332">
        <v>370</v>
      </c>
      <c r="G236" s="3333">
        <v>42856</v>
      </c>
      <c r="H236" s="3333">
        <v>43130</v>
      </c>
      <c r="I236" s="3333">
        <v>43190</v>
      </c>
      <c r="J236" s="3324"/>
      <c r="K236" s="3334">
        <f>E236</f>
        <v>24.7</v>
      </c>
      <c r="L236" s="3334">
        <f>F236/30</f>
        <v>12.333333333333334</v>
      </c>
    </row>
    <row r="237" spans="1:12" s="3327" customFormat="1" ht="13.5" customHeight="1">
      <c r="A237" s="3335"/>
      <c r="B237" s="3336" t="s">
        <v>3128</v>
      </c>
      <c r="C237" s="3336" t="s">
        <v>3321</v>
      </c>
      <c r="D237" s="3336" t="s">
        <v>3322</v>
      </c>
      <c r="E237" s="3339">
        <v>35.299999999999997</v>
      </c>
      <c r="F237" s="3339">
        <v>230</v>
      </c>
      <c r="G237" s="3340">
        <v>41000</v>
      </c>
      <c r="H237" s="3340">
        <v>41363</v>
      </c>
      <c r="I237" s="3340">
        <v>41364</v>
      </c>
      <c r="J237" s="3336"/>
    </row>
    <row r="238" spans="1:12" s="3327" customFormat="1" ht="13.5" customHeight="1">
      <c r="A238" s="3323"/>
      <c r="B238" s="3324" t="s">
        <v>3128</v>
      </c>
      <c r="C238" s="3324" t="s">
        <v>3323</v>
      </c>
      <c r="D238" s="3324" t="s">
        <v>3324</v>
      </c>
      <c r="E238" s="3325">
        <v>81.400000000000006</v>
      </c>
      <c r="F238" s="3325">
        <v>210</v>
      </c>
      <c r="G238" s="3326">
        <v>41699</v>
      </c>
      <c r="H238" s="3326">
        <v>42003</v>
      </c>
      <c r="I238" s="3326">
        <v>42094</v>
      </c>
      <c r="J238" s="3324"/>
    </row>
    <row r="239" spans="1:12" s="3327" customFormat="1" ht="13.5" customHeight="1">
      <c r="A239" s="3323"/>
      <c r="B239" s="3324" t="s">
        <v>3128</v>
      </c>
      <c r="C239" s="3324" t="s">
        <v>3323</v>
      </c>
      <c r="D239" s="3324" t="s">
        <v>3324</v>
      </c>
      <c r="E239" s="3325">
        <v>81.400000000000006</v>
      </c>
      <c r="F239" s="3325">
        <v>220</v>
      </c>
      <c r="G239" s="3326">
        <v>42005</v>
      </c>
      <c r="H239" s="3326">
        <v>42093</v>
      </c>
      <c r="I239" s="3326">
        <v>42094</v>
      </c>
      <c r="J239" s="3324"/>
    </row>
    <row r="240" spans="1:12" s="3327" customFormat="1" ht="13.5" customHeight="1">
      <c r="A240" s="3323"/>
      <c r="B240" s="3336" t="s">
        <v>3128</v>
      </c>
      <c r="C240" s="3336" t="s">
        <v>3323</v>
      </c>
      <c r="D240" s="3336" t="s">
        <v>3324</v>
      </c>
      <c r="E240" s="3339">
        <v>81.400000000000006</v>
      </c>
      <c r="F240" s="3339">
        <v>220</v>
      </c>
      <c r="G240" s="3340">
        <v>42095</v>
      </c>
      <c r="H240" s="3340">
        <v>42459</v>
      </c>
      <c r="I240" s="3340">
        <v>42460</v>
      </c>
      <c r="J240" s="3324"/>
    </row>
    <row r="241" spans="1:12" s="3327" customFormat="1" ht="13.5" customHeight="1">
      <c r="A241" s="3323"/>
      <c r="B241" s="3336" t="s">
        <v>3128</v>
      </c>
      <c r="C241" s="3336" t="s">
        <v>3323</v>
      </c>
      <c r="D241" s="3336" t="s">
        <v>3324</v>
      </c>
      <c r="E241" s="3339">
        <v>81.400000000000006</v>
      </c>
      <c r="F241" s="3339">
        <v>220</v>
      </c>
      <c r="G241" s="3340">
        <v>42461</v>
      </c>
      <c r="H241" s="3340">
        <v>42824</v>
      </c>
      <c r="I241" s="3340">
        <v>42825</v>
      </c>
      <c r="J241" s="3324"/>
    </row>
    <row r="242" spans="1:12" s="3327" customFormat="1" ht="13.5" customHeight="1">
      <c r="A242" s="3323"/>
      <c r="B242" s="3331" t="s">
        <v>3128</v>
      </c>
      <c r="C242" s="3331" t="s">
        <v>3325</v>
      </c>
      <c r="D242" s="3331" t="s">
        <v>3326</v>
      </c>
      <c r="E242" s="3332">
        <v>81.400000000000006</v>
      </c>
      <c r="F242" s="3332">
        <v>250</v>
      </c>
      <c r="G242" s="3333">
        <v>42826</v>
      </c>
      <c r="H242" s="3333">
        <v>42855</v>
      </c>
      <c r="I242" s="3333">
        <v>43190</v>
      </c>
      <c r="J242" s="3324"/>
      <c r="K242" s="3334">
        <f>E242</f>
        <v>81.400000000000006</v>
      </c>
      <c r="L242" s="3334">
        <f>F242/30</f>
        <v>8.3333333333333339</v>
      </c>
    </row>
    <row r="243" spans="1:12" s="3327" customFormat="1" ht="13.5" customHeight="1">
      <c r="A243" s="3323" t="s">
        <v>3151</v>
      </c>
      <c r="B243" s="3331" t="s">
        <v>3128</v>
      </c>
      <c r="C243" s="3331" t="s">
        <v>3316</v>
      </c>
      <c r="D243" s="3331" t="s">
        <v>3326</v>
      </c>
      <c r="E243" s="3332">
        <v>40</v>
      </c>
      <c r="F243" s="3332">
        <v>230</v>
      </c>
      <c r="G243" s="3333">
        <v>42856</v>
      </c>
      <c r="H243" s="3333">
        <v>43130</v>
      </c>
      <c r="I243" s="3333">
        <v>43190</v>
      </c>
      <c r="J243" s="3324"/>
      <c r="K243" s="3334">
        <f>E243</f>
        <v>40</v>
      </c>
      <c r="L243" s="3334">
        <f>F243/30</f>
        <v>7.666666666666667</v>
      </c>
    </row>
    <row r="244" spans="1:12" s="3327" customFormat="1" ht="13.5" customHeight="1">
      <c r="A244" s="3323"/>
      <c r="B244" s="3331" t="s">
        <v>3128</v>
      </c>
      <c r="C244" s="3331" t="s">
        <v>3325</v>
      </c>
      <c r="D244" s="3331" t="s">
        <v>3327</v>
      </c>
      <c r="E244" s="3332">
        <v>41.4</v>
      </c>
      <c r="F244" s="3332">
        <v>250</v>
      </c>
      <c r="G244" s="3333">
        <v>42856</v>
      </c>
      <c r="H244" s="3333">
        <v>42885</v>
      </c>
      <c r="I244" s="3333">
        <v>43190</v>
      </c>
      <c r="J244" s="3324"/>
      <c r="K244" s="3334">
        <f>E244</f>
        <v>41.4</v>
      </c>
      <c r="L244" s="3334">
        <f>F244/30</f>
        <v>8.3333333333333339</v>
      </c>
    </row>
    <row r="245" spans="1:12" s="3327" customFormat="1" ht="13.5" customHeight="1">
      <c r="A245" s="3323"/>
      <c r="B245" s="3331" t="s">
        <v>3128</v>
      </c>
      <c r="C245" s="3331" t="s">
        <v>3325</v>
      </c>
      <c r="D245" s="3331" t="s">
        <v>3327</v>
      </c>
      <c r="E245" s="3332">
        <v>41.4</v>
      </c>
      <c r="F245" s="3332">
        <v>250</v>
      </c>
      <c r="G245" s="3333">
        <v>42887</v>
      </c>
      <c r="H245" s="3333">
        <v>42983</v>
      </c>
      <c r="I245" s="3333">
        <v>43190</v>
      </c>
      <c r="J245" s="3324"/>
      <c r="K245" s="3334">
        <f>E245</f>
        <v>41.4</v>
      </c>
      <c r="L245" s="3334">
        <f>F245/30</f>
        <v>8.3333333333333339</v>
      </c>
    </row>
    <row r="246" spans="1:12" s="3327" customFormat="1" ht="13.5" customHeight="1">
      <c r="A246" s="3323" t="s">
        <v>3151</v>
      </c>
      <c r="B246" s="3331" t="s">
        <v>3128</v>
      </c>
      <c r="C246" s="3331" t="s">
        <v>3325</v>
      </c>
      <c r="D246" s="3331" t="s">
        <v>3327</v>
      </c>
      <c r="E246" s="3332">
        <v>41.4</v>
      </c>
      <c r="F246" s="3332">
        <v>250</v>
      </c>
      <c r="G246" s="3333">
        <v>42984</v>
      </c>
      <c r="H246" s="3333">
        <v>43130</v>
      </c>
      <c r="I246" s="3333">
        <v>43190</v>
      </c>
      <c r="J246" s="3324"/>
      <c r="K246" s="3334">
        <f>E246</f>
        <v>41.4</v>
      </c>
      <c r="L246" s="3334">
        <f>F246/30</f>
        <v>8.3333333333333339</v>
      </c>
    </row>
    <row r="247" spans="1:12" s="3327" customFormat="1" ht="13.5" customHeight="1">
      <c r="A247" s="3335"/>
      <c r="B247" s="3336" t="s">
        <v>3128</v>
      </c>
      <c r="C247" s="3336" t="s">
        <v>3328</v>
      </c>
      <c r="D247" s="3336" t="s">
        <v>3143</v>
      </c>
      <c r="E247" s="3339">
        <v>40.5</v>
      </c>
      <c r="F247" s="3342">
        <v>230</v>
      </c>
      <c r="G247" s="3340">
        <v>41548</v>
      </c>
      <c r="H247" s="3340">
        <v>41698</v>
      </c>
      <c r="I247" s="3340">
        <v>41729</v>
      </c>
      <c r="J247" s="3336"/>
    </row>
    <row r="248" spans="1:12" s="3327" customFormat="1" ht="12.75" customHeight="1">
      <c r="A248" s="3323"/>
      <c r="B248" s="3324" t="s">
        <v>3128</v>
      </c>
      <c r="C248" s="3324" t="s">
        <v>3329</v>
      </c>
      <c r="D248" s="3324" t="s">
        <v>3330</v>
      </c>
      <c r="E248" s="3325">
        <v>39.6</v>
      </c>
      <c r="F248" s="3325">
        <v>250</v>
      </c>
      <c r="G248" s="3326">
        <v>41699</v>
      </c>
      <c r="H248" s="3326">
        <v>42003</v>
      </c>
      <c r="I248" s="3326">
        <v>42094</v>
      </c>
      <c r="J248" s="3324"/>
    </row>
    <row r="249" spans="1:12" s="3327" customFormat="1" ht="12.75" customHeight="1">
      <c r="A249" s="3323"/>
      <c r="B249" s="3324" t="s">
        <v>3128</v>
      </c>
      <c r="C249" s="3324" t="s">
        <v>3329</v>
      </c>
      <c r="D249" s="3324" t="s">
        <v>3330</v>
      </c>
      <c r="E249" s="3325">
        <v>39.6</v>
      </c>
      <c r="F249" s="3325">
        <v>270</v>
      </c>
      <c r="G249" s="3326">
        <v>42005</v>
      </c>
      <c r="H249" s="3326">
        <v>42093</v>
      </c>
      <c r="I249" s="3326">
        <v>42094</v>
      </c>
      <c r="J249" s="3324"/>
    </row>
    <row r="250" spans="1:12" s="3327" customFormat="1" ht="12.75" customHeight="1">
      <c r="A250" s="3323"/>
      <c r="B250" s="3336" t="s">
        <v>3128</v>
      </c>
      <c r="C250" s="3336" t="s">
        <v>3329</v>
      </c>
      <c r="D250" s="3336" t="s">
        <v>3330</v>
      </c>
      <c r="E250" s="3339">
        <v>39.6</v>
      </c>
      <c r="F250" s="3339">
        <v>270</v>
      </c>
      <c r="G250" s="3340">
        <v>42095</v>
      </c>
      <c r="H250" s="3340">
        <v>42154</v>
      </c>
      <c r="I250" s="3340">
        <v>42155</v>
      </c>
      <c r="J250" s="3324"/>
    </row>
    <row r="251" spans="1:12" s="3327" customFormat="1" ht="12.75" customHeight="1">
      <c r="A251" s="3323"/>
      <c r="B251" s="3324" t="s">
        <v>3128</v>
      </c>
      <c r="C251" s="3324" t="s">
        <v>3214</v>
      </c>
      <c r="D251" s="3324" t="s">
        <v>3143</v>
      </c>
      <c r="E251" s="3325">
        <v>62.7</v>
      </c>
      <c r="F251" s="3342">
        <v>230</v>
      </c>
      <c r="G251" s="3326">
        <v>41548</v>
      </c>
      <c r="H251" s="3326">
        <v>41698</v>
      </c>
      <c r="I251" s="3326">
        <v>41729</v>
      </c>
      <c r="J251" s="3324"/>
    </row>
    <row r="252" spans="1:12" s="3327" customFormat="1" ht="12.75" customHeight="1">
      <c r="A252" s="3323"/>
      <c r="B252" s="3324" t="s">
        <v>3128</v>
      </c>
      <c r="C252" s="3324" t="s">
        <v>3331</v>
      </c>
      <c r="D252" s="3324" t="s">
        <v>3332</v>
      </c>
      <c r="E252" s="3325">
        <v>52.4</v>
      </c>
      <c r="F252" s="3325">
        <v>230</v>
      </c>
      <c r="G252" s="3326">
        <v>41699</v>
      </c>
      <c r="H252" s="3326">
        <v>42003</v>
      </c>
      <c r="I252" s="3326">
        <v>42094</v>
      </c>
      <c r="J252" s="3324"/>
    </row>
    <row r="253" spans="1:12" s="3327" customFormat="1" ht="12.75" customHeight="1">
      <c r="A253" s="3323"/>
      <c r="B253" s="3324" t="s">
        <v>3128</v>
      </c>
      <c r="C253" s="3324" t="s">
        <v>3331</v>
      </c>
      <c r="D253" s="3324" t="s">
        <v>3332</v>
      </c>
      <c r="E253" s="3325">
        <v>52.4</v>
      </c>
      <c r="F253" s="3325">
        <v>240</v>
      </c>
      <c r="G253" s="3326">
        <v>42005</v>
      </c>
      <c r="H253" s="3326">
        <v>42093</v>
      </c>
      <c r="I253" s="3326">
        <v>42094</v>
      </c>
      <c r="J253" s="3324"/>
    </row>
    <row r="254" spans="1:12" s="3327" customFormat="1" ht="12.75" customHeight="1">
      <c r="A254" s="3323"/>
      <c r="B254" s="3336" t="s">
        <v>3128</v>
      </c>
      <c r="C254" s="3336" t="s">
        <v>3333</v>
      </c>
      <c r="D254" s="3336" t="s">
        <v>3332</v>
      </c>
      <c r="E254" s="3339">
        <v>52.4</v>
      </c>
      <c r="F254" s="3339">
        <v>240</v>
      </c>
      <c r="G254" s="3340">
        <v>42095</v>
      </c>
      <c r="H254" s="3340">
        <v>42459</v>
      </c>
      <c r="I254" s="3340">
        <v>42460</v>
      </c>
      <c r="J254" s="3324"/>
    </row>
    <row r="255" spans="1:12" s="3327" customFormat="1" ht="12.75" customHeight="1">
      <c r="A255" s="3323"/>
      <c r="B255" s="3336" t="s">
        <v>3128</v>
      </c>
      <c r="C255" s="3336" t="s">
        <v>3333</v>
      </c>
      <c r="D255" s="3336" t="s">
        <v>3332</v>
      </c>
      <c r="E255" s="3338">
        <v>55.8</v>
      </c>
      <c r="F255" s="3339">
        <v>240</v>
      </c>
      <c r="G255" s="3340">
        <v>42461</v>
      </c>
      <c r="H255" s="3340">
        <v>42824</v>
      </c>
      <c r="I255" s="3340">
        <v>42825</v>
      </c>
      <c r="J255" s="3324"/>
    </row>
    <row r="256" spans="1:12" s="3327" customFormat="1" ht="12.75" customHeight="1">
      <c r="A256" s="3323" t="s">
        <v>3151</v>
      </c>
      <c r="B256" s="3331" t="s">
        <v>3128</v>
      </c>
      <c r="C256" s="3331" t="s">
        <v>3333</v>
      </c>
      <c r="D256" s="3331" t="s">
        <v>3334</v>
      </c>
      <c r="E256" s="3332">
        <v>55.8</v>
      </c>
      <c r="F256" s="3332">
        <v>270</v>
      </c>
      <c r="G256" s="3333">
        <v>42826</v>
      </c>
      <c r="H256" s="3333">
        <v>43130</v>
      </c>
      <c r="I256" s="3333">
        <v>43190</v>
      </c>
      <c r="J256" s="3324"/>
      <c r="K256" s="3334">
        <f>E256</f>
        <v>55.8</v>
      </c>
      <c r="L256" s="3334">
        <f>F256/30</f>
        <v>9</v>
      </c>
    </row>
    <row r="257" spans="1:12" s="3327" customFormat="1" ht="13.5" customHeight="1">
      <c r="A257" s="3323"/>
      <c r="B257" s="3324" t="s">
        <v>3128</v>
      </c>
      <c r="C257" s="3324" t="s">
        <v>3335</v>
      </c>
      <c r="D257" s="3324" t="s">
        <v>3336</v>
      </c>
      <c r="E257" s="3325">
        <v>40.5</v>
      </c>
      <c r="F257" s="3325">
        <v>240</v>
      </c>
      <c r="G257" s="3326">
        <v>41699</v>
      </c>
      <c r="H257" s="3326">
        <v>42003</v>
      </c>
      <c r="I257" s="3326">
        <v>42094</v>
      </c>
      <c r="J257" s="3324"/>
    </row>
    <row r="258" spans="1:12" s="3327" customFormat="1" ht="13.5" customHeight="1">
      <c r="A258" s="3323"/>
      <c r="B258" s="3324" t="s">
        <v>3128</v>
      </c>
      <c r="C258" s="3324" t="s">
        <v>3335</v>
      </c>
      <c r="D258" s="3324" t="s">
        <v>3336</v>
      </c>
      <c r="E258" s="3325">
        <v>40.5</v>
      </c>
      <c r="F258" s="3325">
        <v>250</v>
      </c>
      <c r="G258" s="3326">
        <v>42005</v>
      </c>
      <c r="H258" s="3326">
        <v>42093</v>
      </c>
      <c r="I258" s="3326">
        <v>42094</v>
      </c>
      <c r="J258" s="3324"/>
    </row>
    <row r="259" spans="1:12" s="3327" customFormat="1" ht="13.5" customHeight="1">
      <c r="A259" s="3323"/>
      <c r="B259" s="3336" t="s">
        <v>3128</v>
      </c>
      <c r="C259" s="3336" t="s">
        <v>3335</v>
      </c>
      <c r="D259" s="3336" t="s">
        <v>3336</v>
      </c>
      <c r="E259" s="3339">
        <v>40.5</v>
      </c>
      <c r="F259" s="3339">
        <v>250</v>
      </c>
      <c r="G259" s="3340">
        <v>42095</v>
      </c>
      <c r="H259" s="3340">
        <v>42459</v>
      </c>
      <c r="I259" s="3340">
        <v>42460</v>
      </c>
      <c r="J259" s="3324"/>
    </row>
    <row r="260" spans="1:12" s="3327" customFormat="1" ht="13.5" customHeight="1">
      <c r="A260" s="3323"/>
      <c r="B260" s="3336" t="s">
        <v>3128</v>
      </c>
      <c r="C260" s="3336" t="s">
        <v>3335</v>
      </c>
      <c r="D260" s="3336" t="s">
        <v>3336</v>
      </c>
      <c r="E260" s="3339">
        <v>40.5</v>
      </c>
      <c r="F260" s="3339">
        <v>250</v>
      </c>
      <c r="G260" s="3340">
        <v>42461</v>
      </c>
      <c r="H260" s="3340">
        <v>42824</v>
      </c>
      <c r="I260" s="3340">
        <v>42825</v>
      </c>
      <c r="J260" s="3324"/>
    </row>
    <row r="261" spans="1:12" s="3327" customFormat="1" ht="13.5" customHeight="1">
      <c r="A261" s="3323"/>
      <c r="B261" s="3331" t="s">
        <v>3128</v>
      </c>
      <c r="C261" s="3331" t="s">
        <v>3335</v>
      </c>
      <c r="D261" s="3331" t="s">
        <v>3327</v>
      </c>
      <c r="E261" s="3332">
        <v>40.5</v>
      </c>
      <c r="F261" s="3332">
        <v>280</v>
      </c>
      <c r="G261" s="3333">
        <v>42826</v>
      </c>
      <c r="H261" s="3333">
        <v>42986</v>
      </c>
      <c r="I261" s="3333">
        <v>43190</v>
      </c>
      <c r="J261" s="3324"/>
      <c r="K261" s="3334">
        <f t="shared" ref="K261:K262" si="1">E261</f>
        <v>40.5</v>
      </c>
      <c r="L261" s="3334">
        <f t="shared" ref="L261:L262" si="2">F261/30</f>
        <v>9.3333333333333339</v>
      </c>
    </row>
    <row r="262" spans="1:12" s="3327" customFormat="1" ht="13.5" customHeight="1">
      <c r="A262" s="3323" t="s">
        <v>3151</v>
      </c>
      <c r="B262" s="3331" t="s">
        <v>3128</v>
      </c>
      <c r="C262" s="3331" t="s">
        <v>3335</v>
      </c>
      <c r="D262" s="3331" t="s">
        <v>3327</v>
      </c>
      <c r="E262" s="3332">
        <v>40.5</v>
      </c>
      <c r="F262" s="3332">
        <v>280</v>
      </c>
      <c r="G262" s="3333">
        <v>42987</v>
      </c>
      <c r="H262" s="3333">
        <v>43130</v>
      </c>
      <c r="I262" s="3333">
        <v>43190</v>
      </c>
      <c r="J262" s="3324"/>
      <c r="K262" s="3334">
        <f t="shared" si="1"/>
        <v>40.5</v>
      </c>
      <c r="L262" s="3334">
        <f t="shared" si="2"/>
        <v>9.3333333333333339</v>
      </c>
    </row>
    <row r="263" spans="1:12" s="3327" customFormat="1" ht="13.5" customHeight="1">
      <c r="A263" s="3323"/>
      <c r="B263" s="3324" t="s">
        <v>3128</v>
      </c>
      <c r="C263" s="3324" t="s">
        <v>3337</v>
      </c>
      <c r="D263" s="3324" t="s">
        <v>3155</v>
      </c>
      <c r="E263" s="3325">
        <v>79.3</v>
      </c>
      <c r="F263" s="3325">
        <v>230</v>
      </c>
      <c r="G263" s="3326">
        <v>41365</v>
      </c>
      <c r="H263" s="3326">
        <v>41698</v>
      </c>
      <c r="I263" s="3326">
        <v>41729</v>
      </c>
      <c r="J263" s="3324"/>
    </row>
    <row r="264" spans="1:12" s="3327" customFormat="1" ht="13.5" customHeight="1">
      <c r="A264" s="3323"/>
      <c r="B264" s="3324" t="s">
        <v>3128</v>
      </c>
      <c r="C264" s="3324" t="s">
        <v>3338</v>
      </c>
      <c r="D264" s="3324" t="s">
        <v>3339</v>
      </c>
      <c r="E264" s="3325">
        <v>41.3</v>
      </c>
      <c r="F264" s="3325">
        <v>260</v>
      </c>
      <c r="G264" s="3326">
        <v>41699</v>
      </c>
      <c r="H264" s="3326">
        <v>42003</v>
      </c>
      <c r="I264" s="3326">
        <v>42094</v>
      </c>
      <c r="J264" s="3324"/>
    </row>
    <row r="265" spans="1:12" s="3327" customFormat="1" ht="13.5" customHeight="1">
      <c r="A265" s="3323"/>
      <c r="B265" s="3324" t="s">
        <v>3128</v>
      </c>
      <c r="C265" s="3324" t="s">
        <v>3338</v>
      </c>
      <c r="D265" s="3324" t="s">
        <v>3339</v>
      </c>
      <c r="E265" s="3325">
        <v>41.3</v>
      </c>
      <c r="F265" s="3325">
        <v>280</v>
      </c>
      <c r="G265" s="3326">
        <v>42005</v>
      </c>
      <c r="H265" s="3326">
        <v>42093</v>
      </c>
      <c r="I265" s="3326">
        <v>42094</v>
      </c>
      <c r="J265" s="3324"/>
    </row>
    <row r="266" spans="1:12" s="3327" customFormat="1" ht="13.5" customHeight="1">
      <c r="A266" s="3323"/>
      <c r="B266" s="3336" t="s">
        <v>3128</v>
      </c>
      <c r="C266" s="3336" t="s">
        <v>3338</v>
      </c>
      <c r="D266" s="3336" t="s">
        <v>3339</v>
      </c>
      <c r="E266" s="3339">
        <v>41.3</v>
      </c>
      <c r="F266" s="3339">
        <v>280</v>
      </c>
      <c r="G266" s="3340">
        <v>42095</v>
      </c>
      <c r="H266" s="3340">
        <v>42154</v>
      </c>
      <c r="I266" s="3340">
        <v>42155</v>
      </c>
      <c r="J266" s="3324"/>
    </row>
    <row r="267" spans="1:12" s="3327" customFormat="1" ht="13.5" customHeight="1">
      <c r="A267" s="3323"/>
      <c r="B267" s="3336" t="s">
        <v>3128</v>
      </c>
      <c r="C267" s="3336" t="s">
        <v>3340</v>
      </c>
      <c r="D267" s="3336" t="s">
        <v>3341</v>
      </c>
      <c r="E267" s="3339">
        <v>80.900000000000006</v>
      </c>
      <c r="F267" s="3339">
        <v>270</v>
      </c>
      <c r="G267" s="3340">
        <v>42186</v>
      </c>
      <c r="H267" s="3340">
        <v>42459</v>
      </c>
      <c r="I267" s="3340">
        <v>42460</v>
      </c>
      <c r="J267" s="3324"/>
    </row>
    <row r="268" spans="1:12" s="3327" customFormat="1" ht="13.5" customHeight="1">
      <c r="A268" s="3323"/>
      <c r="B268" s="3336" t="s">
        <v>3128</v>
      </c>
      <c r="C268" s="3336" t="s">
        <v>3340</v>
      </c>
      <c r="D268" s="3336" t="s">
        <v>3341</v>
      </c>
      <c r="E268" s="3339">
        <v>80.900000000000006</v>
      </c>
      <c r="F268" s="3339">
        <v>270</v>
      </c>
      <c r="G268" s="3340">
        <v>42461</v>
      </c>
      <c r="H268" s="3340">
        <v>42824</v>
      </c>
      <c r="I268" s="3340">
        <v>42825</v>
      </c>
      <c r="J268" s="3324"/>
    </row>
    <row r="269" spans="1:12" s="3327" customFormat="1" ht="13.5" customHeight="1">
      <c r="A269" s="3323" t="s">
        <v>3151</v>
      </c>
      <c r="B269" s="3331" t="s">
        <v>3128</v>
      </c>
      <c r="C269" s="3331" t="s">
        <v>3340</v>
      </c>
      <c r="D269" s="3331" t="s">
        <v>3130</v>
      </c>
      <c r="E269" s="3332">
        <v>80.900000000000006</v>
      </c>
      <c r="F269" s="3332">
        <v>280</v>
      </c>
      <c r="G269" s="3333">
        <v>42826</v>
      </c>
      <c r="H269" s="3333">
        <v>43130</v>
      </c>
      <c r="I269" s="3333">
        <v>43190</v>
      </c>
      <c r="J269" s="3324"/>
      <c r="K269" s="3334">
        <f>E269</f>
        <v>80.900000000000006</v>
      </c>
      <c r="L269" s="3334">
        <f>F269/30</f>
        <v>9.3333333333333339</v>
      </c>
    </row>
    <row r="270" spans="1:12" s="3327" customFormat="1" ht="13.5" customHeight="1">
      <c r="A270" s="3323"/>
      <c r="B270" s="3324" t="s">
        <v>3128</v>
      </c>
      <c r="C270" s="3324" t="s">
        <v>3342</v>
      </c>
      <c r="D270" s="3324" t="s">
        <v>3343</v>
      </c>
      <c r="E270" s="3325">
        <v>38</v>
      </c>
      <c r="F270" s="3325">
        <v>260</v>
      </c>
      <c r="G270" s="3326">
        <v>41699</v>
      </c>
      <c r="H270" s="3326">
        <v>42003</v>
      </c>
      <c r="I270" s="3326">
        <v>42094</v>
      </c>
      <c r="J270" s="3324"/>
    </row>
    <row r="271" spans="1:12" s="3327" customFormat="1" ht="13.5" customHeight="1">
      <c r="A271" s="3323"/>
      <c r="B271" s="3324" t="s">
        <v>3128</v>
      </c>
      <c r="C271" s="3324" t="s">
        <v>3342</v>
      </c>
      <c r="D271" s="3324" t="s">
        <v>3343</v>
      </c>
      <c r="E271" s="3325">
        <v>38</v>
      </c>
      <c r="F271" s="3325">
        <v>280</v>
      </c>
      <c r="G271" s="3326">
        <v>42005</v>
      </c>
      <c r="H271" s="3326">
        <v>42093</v>
      </c>
      <c r="I271" s="3326">
        <v>42094</v>
      </c>
      <c r="J271" s="3324"/>
    </row>
    <row r="272" spans="1:12" s="3327" customFormat="1" ht="13.5" customHeight="1">
      <c r="A272" s="3323"/>
      <c r="B272" s="3336" t="s">
        <v>3128</v>
      </c>
      <c r="C272" s="3336" t="s">
        <v>3342</v>
      </c>
      <c r="D272" s="3336" t="s">
        <v>3343</v>
      </c>
      <c r="E272" s="3339">
        <v>38</v>
      </c>
      <c r="F272" s="3339">
        <v>280</v>
      </c>
      <c r="G272" s="3340">
        <v>42095</v>
      </c>
      <c r="H272" s="3340">
        <v>42154</v>
      </c>
      <c r="I272" s="3340">
        <v>42155</v>
      </c>
      <c r="J272" s="3324"/>
    </row>
    <row r="273" spans="1:12" s="3327" customFormat="1" ht="13.5" customHeight="1">
      <c r="A273" s="3335"/>
      <c r="B273" s="3336" t="s">
        <v>3128</v>
      </c>
      <c r="C273" s="3336" t="s">
        <v>3344</v>
      </c>
      <c r="D273" s="3336" t="s">
        <v>3345</v>
      </c>
      <c r="E273" s="3339">
        <v>111</v>
      </c>
      <c r="F273" s="3339">
        <v>250</v>
      </c>
      <c r="G273" s="3340">
        <v>41000</v>
      </c>
      <c r="H273" s="3340">
        <v>41363</v>
      </c>
      <c r="I273" s="3340">
        <v>41364</v>
      </c>
      <c r="J273" s="3336"/>
    </row>
    <row r="274" spans="1:12" s="3327" customFormat="1" ht="13.5" customHeight="1">
      <c r="A274" s="3323"/>
      <c r="B274" s="3324" t="s">
        <v>3128</v>
      </c>
      <c r="C274" s="3324" t="s">
        <v>3346</v>
      </c>
      <c r="D274" s="3324" t="s">
        <v>3347</v>
      </c>
      <c r="E274" s="3325">
        <v>45.5</v>
      </c>
      <c r="F274" s="3325">
        <v>270</v>
      </c>
      <c r="G274" s="3326">
        <v>41699</v>
      </c>
      <c r="H274" s="3326">
        <v>42003</v>
      </c>
      <c r="I274" s="3326">
        <v>42094</v>
      </c>
      <c r="J274" s="3324"/>
    </row>
    <row r="275" spans="1:12" s="3327" customFormat="1" ht="13.5" customHeight="1">
      <c r="A275" s="3323"/>
      <c r="B275" s="3324" t="s">
        <v>3128</v>
      </c>
      <c r="C275" s="3324" t="s">
        <v>3346</v>
      </c>
      <c r="D275" s="3324" t="s">
        <v>3347</v>
      </c>
      <c r="E275" s="3325">
        <v>45.5</v>
      </c>
      <c r="F275" s="3325">
        <v>290</v>
      </c>
      <c r="G275" s="3326">
        <v>42005</v>
      </c>
      <c r="H275" s="3326">
        <v>42093</v>
      </c>
      <c r="I275" s="3326">
        <v>42094</v>
      </c>
      <c r="J275" s="3324"/>
    </row>
    <row r="276" spans="1:12" s="3327" customFormat="1" ht="13.5" customHeight="1">
      <c r="A276" s="3323"/>
      <c r="B276" s="3336" t="s">
        <v>3128</v>
      </c>
      <c r="C276" s="3336" t="s">
        <v>3346</v>
      </c>
      <c r="D276" s="3336" t="s">
        <v>3347</v>
      </c>
      <c r="E276" s="3339">
        <v>45.5</v>
      </c>
      <c r="F276" s="3339">
        <v>290</v>
      </c>
      <c r="G276" s="3340">
        <v>42095</v>
      </c>
      <c r="H276" s="3340">
        <v>42154</v>
      </c>
      <c r="I276" s="3340">
        <v>42155</v>
      </c>
      <c r="J276" s="3324"/>
    </row>
    <row r="277" spans="1:12" s="3327" customFormat="1" ht="13.5" customHeight="1">
      <c r="A277" s="3323"/>
      <c r="B277" s="3336" t="s">
        <v>3128</v>
      </c>
      <c r="C277" s="3336" t="s">
        <v>3348</v>
      </c>
      <c r="D277" s="3336" t="s">
        <v>3349</v>
      </c>
      <c r="E277" s="3339">
        <v>83.5</v>
      </c>
      <c r="F277" s="3339">
        <v>290</v>
      </c>
      <c r="G277" s="3340">
        <v>42156</v>
      </c>
      <c r="H277" s="3340">
        <v>42215</v>
      </c>
      <c r="I277" s="3340">
        <v>42460</v>
      </c>
      <c r="J277" s="3324"/>
    </row>
    <row r="278" spans="1:12" s="3327" customFormat="1" ht="13.5" customHeight="1">
      <c r="A278" s="3323"/>
      <c r="B278" s="3336" t="s">
        <v>3128</v>
      </c>
      <c r="C278" s="3336" t="s">
        <v>3350</v>
      </c>
      <c r="D278" s="3336" t="s">
        <v>3349</v>
      </c>
      <c r="E278" s="3339">
        <v>83.5</v>
      </c>
      <c r="F278" s="3339">
        <v>270</v>
      </c>
      <c r="G278" s="3340">
        <v>42217</v>
      </c>
      <c r="H278" s="3340">
        <v>42459</v>
      </c>
      <c r="I278" s="3340">
        <v>42460</v>
      </c>
      <c r="J278" s="3324"/>
    </row>
    <row r="279" spans="1:12" s="3327" customFormat="1" ht="15.75" customHeight="1">
      <c r="A279" s="3323"/>
      <c r="B279" s="3336" t="s">
        <v>3128</v>
      </c>
      <c r="C279" s="3336" t="s">
        <v>3351</v>
      </c>
      <c r="D279" s="3336" t="s">
        <v>3352</v>
      </c>
      <c r="E279" s="3339">
        <v>82.11</v>
      </c>
      <c r="F279" s="3339">
        <v>340</v>
      </c>
      <c r="G279" s="3340">
        <v>42461</v>
      </c>
      <c r="H279" s="3340">
        <v>42824</v>
      </c>
      <c r="I279" s="3340">
        <v>42825</v>
      </c>
      <c r="J279" s="3324"/>
    </row>
    <row r="280" spans="1:12" s="3327" customFormat="1" ht="15.75" customHeight="1">
      <c r="A280" s="3323" t="s">
        <v>3151</v>
      </c>
      <c r="B280" s="3331" t="s">
        <v>3128</v>
      </c>
      <c r="C280" s="3331" t="s">
        <v>3351</v>
      </c>
      <c r="D280" s="3331" t="s">
        <v>3352</v>
      </c>
      <c r="E280" s="3332">
        <v>82.11</v>
      </c>
      <c r="F280" s="3332">
        <v>360</v>
      </c>
      <c r="G280" s="3333">
        <v>42826</v>
      </c>
      <c r="H280" s="3333">
        <v>43130</v>
      </c>
      <c r="I280" s="3333">
        <v>43190</v>
      </c>
      <c r="J280" s="3324"/>
      <c r="K280" s="3334">
        <f>E280</f>
        <v>82.11</v>
      </c>
      <c r="L280" s="3334">
        <f>F280/30</f>
        <v>12</v>
      </c>
    </row>
    <row r="281" spans="1:12" s="3327" customFormat="1" ht="12.75" customHeight="1">
      <c r="A281" s="3323"/>
      <c r="B281" s="3324" t="s">
        <v>3128</v>
      </c>
      <c r="C281" s="3324" t="s">
        <v>3353</v>
      </c>
      <c r="D281" s="3324" t="s">
        <v>3354</v>
      </c>
      <c r="E281" s="3325">
        <v>48.7</v>
      </c>
      <c r="F281" s="3325">
        <v>290</v>
      </c>
      <c r="G281" s="3326">
        <v>41699</v>
      </c>
      <c r="H281" s="3326">
        <v>42003</v>
      </c>
      <c r="I281" s="3326">
        <v>42094</v>
      </c>
      <c r="J281" s="3324"/>
    </row>
    <row r="282" spans="1:12" s="3327" customFormat="1" ht="12.75" customHeight="1">
      <c r="A282" s="3323"/>
      <c r="B282" s="3324" t="s">
        <v>3128</v>
      </c>
      <c r="C282" s="3324" t="s">
        <v>3353</v>
      </c>
      <c r="D282" s="3324" t="s">
        <v>3354</v>
      </c>
      <c r="E282" s="3325">
        <v>48.7</v>
      </c>
      <c r="F282" s="3325">
        <v>310</v>
      </c>
      <c r="G282" s="3326">
        <v>42005</v>
      </c>
      <c r="H282" s="3326">
        <v>42093</v>
      </c>
      <c r="I282" s="3326">
        <v>42094</v>
      </c>
      <c r="J282" s="3324"/>
    </row>
    <row r="283" spans="1:12" s="3327" customFormat="1" ht="12.75" customHeight="1">
      <c r="A283" s="3323"/>
      <c r="B283" s="3336" t="s">
        <v>3128</v>
      </c>
      <c r="C283" s="3336" t="s">
        <v>3353</v>
      </c>
      <c r="D283" s="3336" t="s">
        <v>3354</v>
      </c>
      <c r="E283" s="3339">
        <v>48.7</v>
      </c>
      <c r="F283" s="3339">
        <v>310</v>
      </c>
      <c r="G283" s="3340">
        <v>42095</v>
      </c>
      <c r="H283" s="3340">
        <v>42154</v>
      </c>
      <c r="I283" s="3340">
        <v>42155</v>
      </c>
      <c r="J283" s="3324"/>
    </row>
    <row r="284" spans="1:12" s="3343" customFormat="1" ht="12.75" customHeight="1">
      <c r="A284" s="3335"/>
      <c r="B284" s="3336" t="s">
        <v>3128</v>
      </c>
      <c r="C284" s="3336" t="s">
        <v>3355</v>
      </c>
      <c r="D284" s="3336" t="s">
        <v>3356</v>
      </c>
      <c r="E284" s="3339">
        <v>72.599999999999994</v>
      </c>
      <c r="F284" s="3339">
        <v>250</v>
      </c>
      <c r="G284" s="3340">
        <v>41000</v>
      </c>
      <c r="H284" s="3340">
        <v>41363</v>
      </c>
      <c r="I284" s="3340">
        <v>41364</v>
      </c>
      <c r="J284" s="3336"/>
    </row>
    <row r="285" spans="1:12" s="3343" customFormat="1" ht="12.75" customHeight="1">
      <c r="A285" s="3323"/>
      <c r="B285" s="3324" t="s">
        <v>3128</v>
      </c>
      <c r="C285" s="3324" t="s">
        <v>3357</v>
      </c>
      <c r="D285" s="3324" t="s">
        <v>3358</v>
      </c>
      <c r="E285" s="3325">
        <v>54</v>
      </c>
      <c r="F285" s="3325">
        <v>280</v>
      </c>
      <c r="G285" s="3326">
        <v>41699</v>
      </c>
      <c r="H285" s="3326">
        <v>42003</v>
      </c>
      <c r="I285" s="3326">
        <v>42094</v>
      </c>
      <c r="J285" s="3324"/>
    </row>
    <row r="286" spans="1:12" s="3343" customFormat="1" ht="12.75" customHeight="1">
      <c r="A286" s="3323"/>
      <c r="B286" s="3324" t="s">
        <v>3128</v>
      </c>
      <c r="C286" s="3324" t="s">
        <v>3357</v>
      </c>
      <c r="D286" s="3324" t="s">
        <v>3358</v>
      </c>
      <c r="E286" s="3325">
        <v>54</v>
      </c>
      <c r="F286" s="3325">
        <v>300</v>
      </c>
      <c r="G286" s="3326">
        <v>42005</v>
      </c>
      <c r="H286" s="3326">
        <v>42093</v>
      </c>
      <c r="I286" s="3326">
        <v>42094</v>
      </c>
      <c r="J286" s="3324"/>
    </row>
    <row r="287" spans="1:12" s="3343" customFormat="1" ht="12.75" customHeight="1">
      <c r="A287" s="3323"/>
      <c r="B287" s="3336" t="s">
        <v>3128</v>
      </c>
      <c r="C287" s="3336" t="s">
        <v>3357</v>
      </c>
      <c r="D287" s="3336" t="s">
        <v>3358</v>
      </c>
      <c r="E287" s="3339">
        <v>54</v>
      </c>
      <c r="F287" s="3339">
        <v>300</v>
      </c>
      <c r="G287" s="3340">
        <v>42095</v>
      </c>
      <c r="H287" s="3340">
        <v>42154</v>
      </c>
      <c r="I287" s="3340">
        <v>42155</v>
      </c>
      <c r="J287" s="3324"/>
    </row>
    <row r="288" spans="1:12" s="3343" customFormat="1" ht="12.75" customHeight="1">
      <c r="A288" s="3323"/>
      <c r="B288" s="3336" t="s">
        <v>3128</v>
      </c>
      <c r="C288" s="3336" t="s">
        <v>3359</v>
      </c>
      <c r="D288" s="3336" t="s">
        <v>3360</v>
      </c>
      <c r="E288" s="3339">
        <v>102.7</v>
      </c>
      <c r="F288" s="3339">
        <v>330</v>
      </c>
      <c r="G288" s="3340">
        <v>42156</v>
      </c>
      <c r="H288" s="3340">
        <v>42157</v>
      </c>
      <c r="I288" s="3340">
        <v>42460</v>
      </c>
      <c r="J288" s="3324"/>
    </row>
    <row r="289" spans="1:12" s="3343" customFormat="1" ht="13.5" customHeight="1">
      <c r="A289" s="3323"/>
      <c r="B289" s="3336" t="s">
        <v>3128</v>
      </c>
      <c r="C289" s="3336" t="s">
        <v>3359</v>
      </c>
      <c r="D289" s="3336" t="s">
        <v>3360</v>
      </c>
      <c r="E289" s="3339">
        <v>102.7</v>
      </c>
      <c r="F289" s="3339">
        <v>330</v>
      </c>
      <c r="G289" s="3340">
        <v>42173</v>
      </c>
      <c r="H289" s="3340">
        <v>42459</v>
      </c>
      <c r="I289" s="3340">
        <v>42460</v>
      </c>
      <c r="J289" s="3324"/>
    </row>
    <row r="290" spans="1:12" s="3343" customFormat="1" ht="13.5" customHeight="1">
      <c r="A290" s="3323"/>
      <c r="B290" s="3336" t="s">
        <v>3128</v>
      </c>
      <c r="C290" s="3336" t="s">
        <v>3361</v>
      </c>
      <c r="D290" s="3336" t="s">
        <v>3362</v>
      </c>
      <c r="E290" s="3339">
        <v>31.51</v>
      </c>
      <c r="F290" s="3339">
        <v>286</v>
      </c>
      <c r="G290" s="3340">
        <v>42461</v>
      </c>
      <c r="H290" s="3340">
        <v>42824</v>
      </c>
      <c r="I290" s="3340">
        <v>42825</v>
      </c>
      <c r="J290" s="3324"/>
    </row>
    <row r="291" spans="1:12" s="3343" customFormat="1" ht="13.5" customHeight="1">
      <c r="A291" s="3323" t="s">
        <v>3151</v>
      </c>
      <c r="B291" s="3331" t="s">
        <v>3128</v>
      </c>
      <c r="C291" s="3331" t="s">
        <v>3361</v>
      </c>
      <c r="D291" s="3331" t="s">
        <v>3363</v>
      </c>
      <c r="E291" s="3332">
        <v>31.51</v>
      </c>
      <c r="F291" s="3332">
        <v>310</v>
      </c>
      <c r="G291" s="3333">
        <v>42826</v>
      </c>
      <c r="H291" s="3333">
        <v>43130</v>
      </c>
      <c r="I291" s="3333">
        <v>43190</v>
      </c>
      <c r="J291" s="3324"/>
      <c r="K291" s="3334">
        <f>E291</f>
        <v>31.51</v>
      </c>
      <c r="L291" s="3334">
        <f>F291/30</f>
        <v>10.333333333333334</v>
      </c>
    </row>
    <row r="292" spans="1:12" s="3343" customFormat="1" ht="13.5" customHeight="1">
      <c r="A292" s="3323"/>
      <c r="B292" s="3336" t="s">
        <v>3128</v>
      </c>
      <c r="C292" s="3336" t="s">
        <v>3364</v>
      </c>
      <c r="D292" s="3336" t="s">
        <v>3365</v>
      </c>
      <c r="E292" s="3339">
        <v>74.12</v>
      </c>
      <c r="F292" s="3339">
        <v>340</v>
      </c>
      <c r="G292" s="3340">
        <v>42461</v>
      </c>
      <c r="H292" s="3340">
        <v>42824</v>
      </c>
      <c r="I292" s="3340">
        <v>42825</v>
      </c>
      <c r="J292" s="3324"/>
    </row>
    <row r="293" spans="1:12" s="3343" customFormat="1" ht="13.5" customHeight="1">
      <c r="A293" s="3323" t="s">
        <v>3151</v>
      </c>
      <c r="B293" s="3331" t="s">
        <v>3128</v>
      </c>
      <c r="C293" s="3331" t="s">
        <v>3364</v>
      </c>
      <c r="D293" s="3331" t="s">
        <v>3366</v>
      </c>
      <c r="E293" s="3332">
        <v>74.12</v>
      </c>
      <c r="F293" s="3332">
        <v>360</v>
      </c>
      <c r="G293" s="3333">
        <v>42826</v>
      </c>
      <c r="H293" s="3333">
        <v>43130</v>
      </c>
      <c r="I293" s="3333">
        <v>43190</v>
      </c>
      <c r="J293" s="3324"/>
      <c r="K293" s="3334">
        <f>E293</f>
        <v>74.12</v>
      </c>
      <c r="L293" s="3334">
        <f>F293/30</f>
        <v>12</v>
      </c>
    </row>
    <row r="294" spans="1:12" s="3343" customFormat="1" ht="12.75" customHeight="1">
      <c r="A294" s="3323"/>
      <c r="B294" s="3324" t="s">
        <v>3128</v>
      </c>
      <c r="C294" s="3324" t="s">
        <v>3367</v>
      </c>
      <c r="D294" s="3324" t="s">
        <v>3368</v>
      </c>
      <c r="E294" s="3325">
        <v>92.6</v>
      </c>
      <c r="F294" s="3325">
        <v>0</v>
      </c>
      <c r="G294" s="3326">
        <v>41730</v>
      </c>
      <c r="H294" s="3326">
        <v>42093</v>
      </c>
      <c r="I294" s="3326">
        <v>42094</v>
      </c>
      <c r="J294" s="3324"/>
    </row>
    <row r="295" spans="1:12" s="3343" customFormat="1" ht="13.5" customHeight="1">
      <c r="A295" s="3323"/>
      <c r="B295" s="3336" t="s">
        <v>3128</v>
      </c>
      <c r="C295" s="3336" t="s">
        <v>3367</v>
      </c>
      <c r="D295" s="3336" t="s">
        <v>3368</v>
      </c>
      <c r="E295" s="3339">
        <v>92.6</v>
      </c>
      <c r="F295" s="3339">
        <v>120</v>
      </c>
      <c r="G295" s="3340">
        <v>42095</v>
      </c>
      <c r="H295" s="3340">
        <v>42459</v>
      </c>
      <c r="I295" s="3340">
        <v>42460</v>
      </c>
      <c r="J295" s="3324"/>
    </row>
    <row r="296" spans="1:12" s="3343" customFormat="1" ht="12.75" customHeight="1">
      <c r="A296" s="3323"/>
      <c r="B296" s="3336" t="s">
        <v>3128</v>
      </c>
      <c r="C296" s="3336" t="s">
        <v>3367</v>
      </c>
      <c r="D296" s="3336" t="s">
        <v>3368</v>
      </c>
      <c r="E296" s="3339">
        <v>92.6</v>
      </c>
      <c r="F296" s="3339">
        <v>120</v>
      </c>
      <c r="G296" s="3340">
        <v>42461</v>
      </c>
      <c r="H296" s="3340">
        <v>42824</v>
      </c>
      <c r="I296" s="3340">
        <v>42825</v>
      </c>
      <c r="J296" s="3324"/>
    </row>
    <row r="297" spans="1:12" s="3343" customFormat="1" ht="12.75" customHeight="1">
      <c r="A297" s="3323" t="s">
        <v>3151</v>
      </c>
      <c r="B297" s="3331" t="s">
        <v>3128</v>
      </c>
      <c r="C297" s="3331" t="s">
        <v>3367</v>
      </c>
      <c r="D297" s="3331" t="s">
        <v>3369</v>
      </c>
      <c r="E297" s="3332">
        <v>92.6</v>
      </c>
      <c r="F297" s="3332">
        <v>145</v>
      </c>
      <c r="G297" s="3333">
        <v>42826</v>
      </c>
      <c r="H297" s="3333">
        <v>43130</v>
      </c>
      <c r="I297" s="3333">
        <v>43190</v>
      </c>
      <c r="J297" s="3324"/>
      <c r="K297" s="3334">
        <f>E297</f>
        <v>92.6</v>
      </c>
      <c r="L297" s="3334">
        <f>F297/30</f>
        <v>4.833333333333333</v>
      </c>
    </row>
    <row r="298" spans="1:12" s="3343" customFormat="1" ht="12.75" customHeight="1">
      <c r="A298" s="3335"/>
      <c r="B298" s="3336" t="s">
        <v>3128</v>
      </c>
      <c r="C298" s="3336" t="s">
        <v>3370</v>
      </c>
      <c r="D298" s="3336" t="s">
        <v>3371</v>
      </c>
      <c r="E298" s="3339">
        <v>69.5</v>
      </c>
      <c r="F298" s="3339">
        <v>200</v>
      </c>
      <c r="G298" s="3340">
        <v>41365</v>
      </c>
      <c r="H298" s="3340">
        <v>41698</v>
      </c>
      <c r="I298" s="3340">
        <v>41729</v>
      </c>
      <c r="J298" s="3336"/>
    </row>
    <row r="299" spans="1:12" s="3343" customFormat="1" ht="12.75" customHeight="1">
      <c r="A299" s="3323"/>
      <c r="B299" s="3324" t="s">
        <v>3128</v>
      </c>
      <c r="C299" s="3324" t="s">
        <v>3372</v>
      </c>
      <c r="D299" s="3324" t="s">
        <v>3373</v>
      </c>
      <c r="E299" s="3325">
        <v>21</v>
      </c>
      <c r="F299" s="3325">
        <v>280</v>
      </c>
      <c r="G299" s="3326">
        <v>41699</v>
      </c>
      <c r="H299" s="3326">
        <v>42003</v>
      </c>
      <c r="I299" s="3326">
        <v>42094</v>
      </c>
      <c r="J299" s="3324"/>
    </row>
    <row r="300" spans="1:12" s="3343" customFormat="1" ht="12.75" customHeight="1">
      <c r="A300" s="3323"/>
      <c r="B300" s="3324" t="s">
        <v>3128</v>
      </c>
      <c r="C300" s="3324" t="s">
        <v>3372</v>
      </c>
      <c r="D300" s="3324" t="s">
        <v>3373</v>
      </c>
      <c r="E300" s="3325">
        <v>21</v>
      </c>
      <c r="F300" s="3325">
        <v>285</v>
      </c>
      <c r="G300" s="3326">
        <v>42005</v>
      </c>
      <c r="H300" s="3326">
        <v>42093</v>
      </c>
      <c r="I300" s="3326">
        <v>42094</v>
      </c>
      <c r="J300" s="3324"/>
    </row>
    <row r="301" spans="1:12" s="3343" customFormat="1" ht="12.75" customHeight="1">
      <c r="A301" s="3323"/>
      <c r="B301" s="3336" t="s">
        <v>3128</v>
      </c>
      <c r="C301" s="3336" t="s">
        <v>3372</v>
      </c>
      <c r="D301" s="3336" t="s">
        <v>3373</v>
      </c>
      <c r="E301" s="3339">
        <v>21</v>
      </c>
      <c r="F301" s="3339">
        <v>285</v>
      </c>
      <c r="G301" s="3340">
        <v>42095</v>
      </c>
      <c r="H301" s="3340">
        <v>42459</v>
      </c>
      <c r="I301" s="3340">
        <v>42460</v>
      </c>
      <c r="J301" s="3324"/>
    </row>
    <row r="302" spans="1:12" s="3343" customFormat="1" ht="12.75" customHeight="1">
      <c r="A302" s="3323"/>
      <c r="B302" s="3336" t="s">
        <v>3128</v>
      </c>
      <c r="C302" s="3336" t="s">
        <v>3372</v>
      </c>
      <c r="D302" s="3336" t="s">
        <v>3373</v>
      </c>
      <c r="E302" s="3339">
        <v>21</v>
      </c>
      <c r="F302" s="3339">
        <v>305</v>
      </c>
      <c r="G302" s="3340">
        <v>42461</v>
      </c>
      <c r="H302" s="3340">
        <v>42824</v>
      </c>
      <c r="I302" s="3340">
        <v>42825</v>
      </c>
      <c r="J302" s="3324"/>
    </row>
    <row r="303" spans="1:12" s="3343" customFormat="1" ht="12.75" customHeight="1">
      <c r="A303" s="3323"/>
      <c r="B303" s="3331" t="s">
        <v>3128</v>
      </c>
      <c r="C303" s="3331" t="s">
        <v>3372</v>
      </c>
      <c r="D303" s="3331" t="s">
        <v>3374</v>
      </c>
      <c r="E303" s="3332">
        <v>21</v>
      </c>
      <c r="F303" s="3332">
        <v>380</v>
      </c>
      <c r="G303" s="3333">
        <v>42826</v>
      </c>
      <c r="H303" s="3333">
        <v>42983</v>
      </c>
      <c r="I303" s="3333">
        <v>43190</v>
      </c>
      <c r="J303" s="3324"/>
      <c r="K303" s="3334">
        <f t="shared" ref="K303:K304" si="3">E303</f>
        <v>21</v>
      </c>
      <c r="L303" s="3334">
        <f t="shared" ref="L303:L304" si="4">F303/30</f>
        <v>12.666666666666666</v>
      </c>
    </row>
    <row r="304" spans="1:12" s="3343" customFormat="1" ht="12.75" customHeight="1">
      <c r="A304" s="3323" t="s">
        <v>3151</v>
      </c>
      <c r="B304" s="3331" t="s">
        <v>3128</v>
      </c>
      <c r="C304" s="3331" t="s">
        <v>3372</v>
      </c>
      <c r="D304" s="3331" t="s">
        <v>3374</v>
      </c>
      <c r="E304" s="3332">
        <v>21</v>
      </c>
      <c r="F304" s="3332">
        <v>380</v>
      </c>
      <c r="G304" s="3333">
        <v>42984</v>
      </c>
      <c r="H304" s="3333">
        <v>43130</v>
      </c>
      <c r="I304" s="3333">
        <v>43190</v>
      </c>
      <c r="J304" s="3324"/>
      <c r="K304" s="3334">
        <f t="shared" si="3"/>
        <v>21</v>
      </c>
      <c r="L304" s="3334">
        <f t="shared" si="4"/>
        <v>12.666666666666666</v>
      </c>
    </row>
    <row r="305" spans="1:12" s="3343" customFormat="1" ht="13.5" customHeight="1">
      <c r="A305" s="3323"/>
      <c r="B305" s="3324" t="s">
        <v>3128</v>
      </c>
      <c r="C305" s="3324" t="s">
        <v>3375</v>
      </c>
      <c r="D305" s="3324" t="s">
        <v>3376</v>
      </c>
      <c r="E305" s="3325">
        <v>19.8</v>
      </c>
      <c r="F305" s="3325">
        <v>300</v>
      </c>
      <c r="G305" s="3326">
        <v>41699</v>
      </c>
      <c r="H305" s="3326">
        <v>42093</v>
      </c>
      <c r="I305" s="3326">
        <v>42094</v>
      </c>
      <c r="J305" s="3324"/>
    </row>
    <row r="306" spans="1:12" s="3343" customFormat="1" ht="13.5" customHeight="1">
      <c r="A306" s="3323"/>
      <c r="B306" s="3336" t="s">
        <v>3128</v>
      </c>
      <c r="C306" s="3336" t="s">
        <v>3375</v>
      </c>
      <c r="D306" s="3336" t="s">
        <v>3376</v>
      </c>
      <c r="E306" s="3339">
        <v>19.8</v>
      </c>
      <c r="F306" s="3339">
        <v>305</v>
      </c>
      <c r="G306" s="3340">
        <v>42095</v>
      </c>
      <c r="H306" s="3340">
        <v>42185</v>
      </c>
      <c r="I306" s="3340">
        <v>42460</v>
      </c>
      <c r="J306" s="3324"/>
    </row>
    <row r="307" spans="1:12" s="3343" customFormat="1" ht="13.5" customHeight="1">
      <c r="A307" s="3323"/>
      <c r="B307" s="3336" t="s">
        <v>3128</v>
      </c>
      <c r="C307" s="3336" t="s">
        <v>3375</v>
      </c>
      <c r="D307" s="3336" t="s">
        <v>3376</v>
      </c>
      <c r="E307" s="3339">
        <v>19.8</v>
      </c>
      <c r="F307" s="3339">
        <v>330</v>
      </c>
      <c r="G307" s="3340">
        <v>42186</v>
      </c>
      <c r="H307" s="3340">
        <v>42459</v>
      </c>
      <c r="I307" s="3340">
        <v>42460</v>
      </c>
      <c r="J307" s="3324"/>
    </row>
    <row r="308" spans="1:12" s="3343" customFormat="1" ht="13.5" customHeight="1">
      <c r="A308" s="3323"/>
      <c r="B308" s="3336" t="s">
        <v>3128</v>
      </c>
      <c r="C308" s="3336" t="s">
        <v>3375</v>
      </c>
      <c r="D308" s="3336" t="s">
        <v>3376</v>
      </c>
      <c r="E308" s="3339">
        <v>19.8</v>
      </c>
      <c r="F308" s="3339">
        <v>340</v>
      </c>
      <c r="G308" s="3340">
        <v>42461</v>
      </c>
      <c r="H308" s="3340">
        <v>42824</v>
      </c>
      <c r="I308" s="3340">
        <v>42825</v>
      </c>
      <c r="J308" s="3324"/>
    </row>
    <row r="309" spans="1:12" s="3343" customFormat="1" ht="13.5" customHeight="1">
      <c r="A309" s="3323" t="s">
        <v>3151</v>
      </c>
      <c r="B309" s="3331" t="s">
        <v>3128</v>
      </c>
      <c r="C309" s="3331" t="s">
        <v>3377</v>
      </c>
      <c r="D309" s="3331" t="s">
        <v>3378</v>
      </c>
      <c r="E309" s="3332">
        <v>19.8</v>
      </c>
      <c r="F309" s="3332">
        <v>380</v>
      </c>
      <c r="G309" s="3333">
        <v>42826</v>
      </c>
      <c r="H309" s="3333">
        <v>43130</v>
      </c>
      <c r="I309" s="3333">
        <v>43190</v>
      </c>
      <c r="J309" s="3324"/>
      <c r="K309" s="3334">
        <f>E309</f>
        <v>19.8</v>
      </c>
      <c r="L309" s="3334">
        <f>F309/30</f>
        <v>12.666666666666666</v>
      </c>
    </row>
    <row r="310" spans="1:12" s="3343" customFormat="1" ht="13.5" customHeight="1">
      <c r="A310" s="3323"/>
      <c r="B310" s="3324" t="s">
        <v>3128</v>
      </c>
      <c r="C310" s="3324" t="s">
        <v>3379</v>
      </c>
      <c r="D310" s="3324" t="s">
        <v>3380</v>
      </c>
      <c r="E310" s="3325">
        <v>22.1</v>
      </c>
      <c r="F310" s="3325">
        <v>310</v>
      </c>
      <c r="G310" s="3326">
        <v>41699</v>
      </c>
      <c r="H310" s="3326">
        <v>42003</v>
      </c>
      <c r="I310" s="3326">
        <v>42094</v>
      </c>
      <c r="J310" s="3324"/>
    </row>
    <row r="311" spans="1:12" s="3343" customFormat="1" ht="13.5" customHeight="1">
      <c r="A311" s="3323"/>
      <c r="B311" s="3324" t="s">
        <v>3128</v>
      </c>
      <c r="C311" s="3324" t="s">
        <v>3379</v>
      </c>
      <c r="D311" s="3324" t="s">
        <v>3380</v>
      </c>
      <c r="E311" s="3325">
        <v>22.1</v>
      </c>
      <c r="F311" s="3325">
        <v>315</v>
      </c>
      <c r="G311" s="3326">
        <v>42005</v>
      </c>
      <c r="H311" s="3326">
        <v>42093</v>
      </c>
      <c r="I311" s="3326">
        <v>42094</v>
      </c>
      <c r="J311" s="3324"/>
    </row>
    <row r="312" spans="1:12" s="3343" customFormat="1" ht="13.5" customHeight="1">
      <c r="A312" s="3323"/>
      <c r="B312" s="3336" t="s">
        <v>3128</v>
      </c>
      <c r="C312" s="3336" t="s">
        <v>3379</v>
      </c>
      <c r="D312" s="3336" t="s">
        <v>3380</v>
      </c>
      <c r="E312" s="3339">
        <v>22.1</v>
      </c>
      <c r="F312" s="3339">
        <v>315</v>
      </c>
      <c r="G312" s="3340">
        <v>42095</v>
      </c>
      <c r="H312" s="3340">
        <v>42459</v>
      </c>
      <c r="I312" s="3340">
        <v>42460</v>
      </c>
      <c r="J312" s="3324"/>
    </row>
    <row r="313" spans="1:12" s="3343" customFormat="1" ht="13.5" customHeight="1">
      <c r="A313" s="3323"/>
      <c r="B313" s="3336" t="s">
        <v>3128</v>
      </c>
      <c r="C313" s="3336" t="s">
        <v>3379</v>
      </c>
      <c r="D313" s="3336" t="s">
        <v>3380</v>
      </c>
      <c r="E313" s="3339">
        <v>22.1</v>
      </c>
      <c r="F313" s="3339">
        <v>335</v>
      </c>
      <c r="G313" s="3340">
        <v>42461</v>
      </c>
      <c r="H313" s="3340">
        <v>42824</v>
      </c>
      <c r="I313" s="3340">
        <v>42825</v>
      </c>
      <c r="J313" s="3324"/>
    </row>
    <row r="314" spans="1:12" s="3343" customFormat="1" ht="13.5" customHeight="1">
      <c r="A314" s="3323"/>
      <c r="B314" s="3331" t="s">
        <v>3128</v>
      </c>
      <c r="C314" s="3331" t="s">
        <v>3379</v>
      </c>
      <c r="D314" s="3331" t="s">
        <v>3175</v>
      </c>
      <c r="E314" s="3332">
        <v>22.1</v>
      </c>
      <c r="F314" s="3332">
        <v>380</v>
      </c>
      <c r="G314" s="3333">
        <v>42826</v>
      </c>
      <c r="H314" s="3333">
        <v>42983</v>
      </c>
      <c r="I314" s="3333">
        <v>43190</v>
      </c>
      <c r="J314" s="3324"/>
      <c r="K314" s="3334">
        <f t="shared" ref="K314:K315" si="5">E314</f>
        <v>22.1</v>
      </c>
      <c r="L314" s="3334">
        <f t="shared" ref="L314:L315" si="6">F314/30</f>
        <v>12.666666666666666</v>
      </c>
    </row>
    <row r="315" spans="1:12" s="3343" customFormat="1" ht="13.5" customHeight="1">
      <c r="A315" s="3323" t="s">
        <v>3151</v>
      </c>
      <c r="B315" s="3331" t="s">
        <v>3128</v>
      </c>
      <c r="C315" s="3331" t="s">
        <v>3379</v>
      </c>
      <c r="D315" s="3331" t="s">
        <v>3175</v>
      </c>
      <c r="E315" s="3332">
        <v>22.1</v>
      </c>
      <c r="F315" s="3332">
        <v>380</v>
      </c>
      <c r="G315" s="3333">
        <v>42984</v>
      </c>
      <c r="H315" s="3333">
        <v>43130</v>
      </c>
      <c r="I315" s="3333">
        <v>43190</v>
      </c>
      <c r="J315" s="3324"/>
      <c r="K315" s="3334">
        <f t="shared" si="5"/>
        <v>22.1</v>
      </c>
      <c r="L315" s="3334">
        <f t="shared" si="6"/>
        <v>12.666666666666666</v>
      </c>
    </row>
    <row r="316" spans="1:12" s="3343" customFormat="1" ht="13.5" customHeight="1">
      <c r="A316" s="3323"/>
      <c r="B316" s="3324" t="s">
        <v>3128</v>
      </c>
      <c r="C316" s="3324" t="s">
        <v>3328</v>
      </c>
      <c r="D316" s="3324" t="s">
        <v>3381</v>
      </c>
      <c r="E316" s="3325">
        <v>21.9</v>
      </c>
      <c r="F316" s="3325">
        <v>300</v>
      </c>
      <c r="G316" s="3326">
        <v>41699</v>
      </c>
      <c r="H316" s="3326">
        <v>42003</v>
      </c>
      <c r="I316" s="3326">
        <v>42094</v>
      </c>
      <c r="J316" s="3324"/>
    </row>
    <row r="317" spans="1:12" s="3343" customFormat="1" ht="13.5" customHeight="1">
      <c r="A317" s="3323"/>
      <c r="B317" s="3324" t="s">
        <v>3128</v>
      </c>
      <c r="C317" s="3324" t="s">
        <v>3328</v>
      </c>
      <c r="D317" s="3324" t="s">
        <v>3381</v>
      </c>
      <c r="E317" s="3325">
        <v>21.9</v>
      </c>
      <c r="F317" s="3325">
        <v>220</v>
      </c>
      <c r="G317" s="3326">
        <v>42005</v>
      </c>
      <c r="H317" s="3326">
        <v>42093</v>
      </c>
      <c r="I317" s="3326">
        <v>42094</v>
      </c>
      <c r="J317" s="3324"/>
    </row>
    <row r="318" spans="1:12" s="3343" customFormat="1" ht="13.5" customHeight="1">
      <c r="A318" s="3323"/>
      <c r="B318" s="3336" t="s">
        <v>3128</v>
      </c>
      <c r="C318" s="3336" t="s">
        <v>3328</v>
      </c>
      <c r="D318" s="3336" t="s">
        <v>3381</v>
      </c>
      <c r="E318" s="3339">
        <v>21.9</v>
      </c>
      <c r="F318" s="3339">
        <v>300</v>
      </c>
      <c r="G318" s="3340">
        <v>42095</v>
      </c>
      <c r="H318" s="3340">
        <v>42459</v>
      </c>
      <c r="I318" s="3340">
        <v>42460</v>
      </c>
      <c r="J318" s="3324"/>
    </row>
    <row r="319" spans="1:12" s="3343" customFormat="1" ht="13.5" customHeight="1">
      <c r="A319" s="3323"/>
      <c r="B319" s="3336" t="s">
        <v>3128</v>
      </c>
      <c r="C319" s="3336" t="s">
        <v>3328</v>
      </c>
      <c r="D319" s="3336" t="s">
        <v>3381</v>
      </c>
      <c r="E319" s="3339">
        <v>21.9</v>
      </c>
      <c r="F319" s="3339">
        <v>320</v>
      </c>
      <c r="G319" s="3340">
        <v>42461</v>
      </c>
      <c r="H319" s="3340">
        <v>42824</v>
      </c>
      <c r="I319" s="3340">
        <v>42825</v>
      </c>
      <c r="J319" s="3324"/>
    </row>
    <row r="320" spans="1:12" s="3343" customFormat="1" ht="13.5" customHeight="1">
      <c r="A320" s="3323" t="s">
        <v>3151</v>
      </c>
      <c r="B320" s="3331" t="s">
        <v>3128</v>
      </c>
      <c r="C320" s="3331" t="s">
        <v>3328</v>
      </c>
      <c r="D320" s="3331" t="s">
        <v>3382</v>
      </c>
      <c r="E320" s="3332">
        <v>21.9</v>
      </c>
      <c r="F320" s="3332">
        <v>380</v>
      </c>
      <c r="G320" s="3333">
        <v>42826</v>
      </c>
      <c r="H320" s="3333">
        <v>43130</v>
      </c>
      <c r="I320" s="3333">
        <v>43190</v>
      </c>
      <c r="J320" s="3324"/>
      <c r="K320" s="3334">
        <f>E320</f>
        <v>21.9</v>
      </c>
      <c r="L320" s="3334">
        <f>F320/30</f>
        <v>12.666666666666666</v>
      </c>
    </row>
    <row r="321" spans="1:12" s="3343" customFormat="1" ht="13.5" customHeight="1">
      <c r="A321" s="3323"/>
      <c r="B321" s="3324" t="s">
        <v>3128</v>
      </c>
      <c r="C321" s="3324" t="s">
        <v>3383</v>
      </c>
      <c r="D321" s="3324" t="s">
        <v>3384</v>
      </c>
      <c r="E321" s="3325">
        <v>22.3</v>
      </c>
      <c r="F321" s="3325">
        <v>330</v>
      </c>
      <c r="G321" s="3326">
        <v>41699</v>
      </c>
      <c r="H321" s="3326">
        <v>42003</v>
      </c>
      <c r="I321" s="3326">
        <v>42094</v>
      </c>
      <c r="J321" s="3324"/>
    </row>
    <row r="322" spans="1:12" s="3343" customFormat="1" ht="13.5" customHeight="1">
      <c r="A322" s="3323"/>
      <c r="B322" s="3324" t="s">
        <v>3128</v>
      </c>
      <c r="C322" s="3324" t="s">
        <v>3383</v>
      </c>
      <c r="D322" s="3324" t="s">
        <v>3384</v>
      </c>
      <c r="E322" s="3325">
        <v>22.3</v>
      </c>
      <c r="F322" s="3325">
        <v>335</v>
      </c>
      <c r="G322" s="3326">
        <v>42005</v>
      </c>
      <c r="H322" s="3326">
        <v>42093</v>
      </c>
      <c r="I322" s="3326">
        <v>42094</v>
      </c>
      <c r="J322" s="3324"/>
    </row>
    <row r="323" spans="1:12" s="3343" customFormat="1" ht="13.5" customHeight="1">
      <c r="A323" s="3323"/>
      <c r="B323" s="3336" t="s">
        <v>3128</v>
      </c>
      <c r="C323" s="3336" t="s">
        <v>3383</v>
      </c>
      <c r="D323" s="3336" t="s">
        <v>3384</v>
      </c>
      <c r="E323" s="3339">
        <v>22.3</v>
      </c>
      <c r="F323" s="3339">
        <v>335</v>
      </c>
      <c r="G323" s="3340">
        <v>42095</v>
      </c>
      <c r="H323" s="3340">
        <v>42459</v>
      </c>
      <c r="I323" s="3340">
        <v>42460</v>
      </c>
      <c r="J323" s="3324"/>
    </row>
    <row r="324" spans="1:12" s="3343" customFormat="1" ht="13.5" customHeight="1">
      <c r="A324" s="3323"/>
      <c r="B324" s="3336" t="s">
        <v>3128</v>
      </c>
      <c r="C324" s="3336" t="s">
        <v>3383</v>
      </c>
      <c r="D324" s="3336" t="s">
        <v>3384</v>
      </c>
      <c r="E324" s="3339">
        <v>22.3</v>
      </c>
      <c r="F324" s="3339">
        <v>355</v>
      </c>
      <c r="G324" s="3340">
        <v>42461</v>
      </c>
      <c r="H324" s="3340">
        <v>42824</v>
      </c>
      <c r="I324" s="3340">
        <v>42825</v>
      </c>
      <c r="J324" s="3324"/>
    </row>
    <row r="325" spans="1:12" s="3343" customFormat="1" ht="13.5" customHeight="1">
      <c r="A325" s="3323"/>
      <c r="B325" s="3331" t="s">
        <v>3128</v>
      </c>
      <c r="C325" s="3331" t="s">
        <v>3385</v>
      </c>
      <c r="D325" s="3331" t="s">
        <v>3386</v>
      </c>
      <c r="E325" s="3332">
        <v>22.3</v>
      </c>
      <c r="F325" s="3332">
        <v>380</v>
      </c>
      <c r="G325" s="3333">
        <v>42826</v>
      </c>
      <c r="H325" s="3333">
        <v>42983</v>
      </c>
      <c r="I325" s="3333">
        <v>43190</v>
      </c>
      <c r="J325" s="3324"/>
      <c r="K325" s="3334">
        <f t="shared" ref="K325:K326" si="7">E325</f>
        <v>22.3</v>
      </c>
      <c r="L325" s="3334">
        <f t="shared" ref="L325:L326" si="8">F325/30</f>
        <v>12.666666666666666</v>
      </c>
    </row>
    <row r="326" spans="1:12" s="3343" customFormat="1" ht="13.5" customHeight="1">
      <c r="A326" s="3323" t="s">
        <v>3151</v>
      </c>
      <c r="B326" s="3331" t="s">
        <v>3128</v>
      </c>
      <c r="C326" s="3331" t="s">
        <v>3385</v>
      </c>
      <c r="D326" s="3331" t="s">
        <v>3386</v>
      </c>
      <c r="E326" s="3332">
        <v>22.3</v>
      </c>
      <c r="F326" s="3332">
        <v>380</v>
      </c>
      <c r="G326" s="3333">
        <v>42984</v>
      </c>
      <c r="H326" s="3333">
        <v>43130</v>
      </c>
      <c r="I326" s="3333">
        <v>43190</v>
      </c>
      <c r="J326" s="3324"/>
      <c r="K326" s="3334">
        <f t="shared" si="7"/>
        <v>22.3</v>
      </c>
      <c r="L326" s="3334">
        <f t="shared" si="8"/>
        <v>12.666666666666666</v>
      </c>
    </row>
    <row r="327" spans="1:12" s="3327" customFormat="1" ht="13.5" customHeight="1">
      <c r="A327" s="3335"/>
      <c r="B327" s="3336" t="s">
        <v>3128</v>
      </c>
      <c r="C327" s="3336" t="s">
        <v>3387</v>
      </c>
      <c r="D327" s="3336" t="s">
        <v>3388</v>
      </c>
      <c r="E327" s="3339">
        <v>28.7</v>
      </c>
      <c r="F327" s="3339">
        <v>380</v>
      </c>
      <c r="G327" s="3340">
        <v>41000</v>
      </c>
      <c r="H327" s="3340">
        <v>41363</v>
      </c>
      <c r="I327" s="3340">
        <v>41364</v>
      </c>
      <c r="J327" s="3336"/>
    </row>
    <row r="328" spans="1:12" s="3327" customFormat="1" ht="13.5" customHeight="1">
      <c r="A328" s="3335"/>
      <c r="B328" s="3336" t="s">
        <v>3128</v>
      </c>
      <c r="C328" s="3336" t="s">
        <v>3389</v>
      </c>
      <c r="D328" s="3336" t="s">
        <v>3165</v>
      </c>
      <c r="E328" s="3339">
        <v>28.7</v>
      </c>
      <c r="F328" s="3339">
        <v>380</v>
      </c>
      <c r="G328" s="3340">
        <v>41365</v>
      </c>
      <c r="H328" s="3340">
        <v>41698</v>
      </c>
      <c r="I328" s="3340">
        <v>41729</v>
      </c>
      <c r="J328" s="3336"/>
    </row>
    <row r="329" spans="1:12" s="3327" customFormat="1" ht="13.5" customHeight="1">
      <c r="A329" s="3323"/>
      <c r="B329" s="3324" t="s">
        <v>3128</v>
      </c>
      <c r="C329" s="3324" t="s">
        <v>3390</v>
      </c>
      <c r="D329" s="3324" t="s">
        <v>3391</v>
      </c>
      <c r="E329" s="3325">
        <v>22.3</v>
      </c>
      <c r="F329" s="3325">
        <v>330</v>
      </c>
      <c r="G329" s="3326">
        <v>41699</v>
      </c>
      <c r="H329" s="3326">
        <v>42093</v>
      </c>
      <c r="I329" s="3326">
        <v>42094</v>
      </c>
      <c r="J329" s="3324"/>
    </row>
    <row r="330" spans="1:12" s="3327" customFormat="1" ht="13.5" customHeight="1">
      <c r="A330" s="3323"/>
      <c r="B330" s="3336" t="s">
        <v>3128</v>
      </c>
      <c r="C330" s="3336" t="s">
        <v>3390</v>
      </c>
      <c r="D330" s="3336" t="s">
        <v>3391</v>
      </c>
      <c r="E330" s="3339">
        <v>22.3</v>
      </c>
      <c r="F330" s="3339">
        <v>335</v>
      </c>
      <c r="G330" s="3340">
        <v>42095</v>
      </c>
      <c r="H330" s="3340">
        <v>42459</v>
      </c>
      <c r="I330" s="3340">
        <v>42460</v>
      </c>
      <c r="J330" s="3324"/>
    </row>
    <row r="331" spans="1:12" s="3327" customFormat="1" ht="13.5" customHeight="1">
      <c r="A331" s="3323"/>
      <c r="B331" s="3336" t="s">
        <v>3128</v>
      </c>
      <c r="C331" s="3336" t="s">
        <v>3390</v>
      </c>
      <c r="D331" s="3336" t="s">
        <v>3391</v>
      </c>
      <c r="E331" s="3339">
        <v>22.3</v>
      </c>
      <c r="F331" s="3339">
        <v>355</v>
      </c>
      <c r="G331" s="3340">
        <v>42461</v>
      </c>
      <c r="H331" s="3340">
        <v>42824</v>
      </c>
      <c r="I331" s="3340">
        <v>42825</v>
      </c>
      <c r="J331" s="3324"/>
    </row>
    <row r="332" spans="1:12" s="3327" customFormat="1" ht="13.5" customHeight="1">
      <c r="A332" s="3323" t="s">
        <v>3151</v>
      </c>
      <c r="B332" s="3331" t="s">
        <v>3128</v>
      </c>
      <c r="C332" s="3331" t="s">
        <v>3392</v>
      </c>
      <c r="D332" s="3331" t="s">
        <v>3371</v>
      </c>
      <c r="E332" s="3332">
        <v>22.3</v>
      </c>
      <c r="F332" s="3332">
        <v>380</v>
      </c>
      <c r="G332" s="3333">
        <v>42826</v>
      </c>
      <c r="H332" s="3333">
        <v>43130</v>
      </c>
      <c r="I332" s="3333">
        <v>43190</v>
      </c>
      <c r="J332" s="3324"/>
      <c r="K332" s="3334">
        <f>E332</f>
        <v>22.3</v>
      </c>
      <c r="L332" s="3334">
        <f>F332/30</f>
        <v>12.666666666666666</v>
      </c>
    </row>
    <row r="333" spans="1:12" s="3327" customFormat="1" ht="13.5" customHeight="1">
      <c r="A333" s="3323"/>
      <c r="B333" s="3324" t="s">
        <v>3128</v>
      </c>
      <c r="C333" s="3324" t="s">
        <v>3393</v>
      </c>
      <c r="D333" s="3324" t="s">
        <v>3394</v>
      </c>
      <c r="E333" s="3325">
        <v>22.3</v>
      </c>
      <c r="F333" s="3325">
        <v>380</v>
      </c>
      <c r="G333" s="3326">
        <v>41000</v>
      </c>
      <c r="H333" s="3326">
        <v>41363</v>
      </c>
      <c r="I333" s="3326">
        <v>41364</v>
      </c>
      <c r="J333" s="3324"/>
    </row>
    <row r="334" spans="1:12" s="3327" customFormat="1" ht="13.5" customHeight="1">
      <c r="A334" s="3335"/>
      <c r="B334" s="3336" t="s">
        <v>3128</v>
      </c>
      <c r="C334" s="3336" t="s">
        <v>3338</v>
      </c>
      <c r="D334" s="3336" t="s">
        <v>3382</v>
      </c>
      <c r="E334" s="3339">
        <v>22.3</v>
      </c>
      <c r="F334" s="3339">
        <v>380</v>
      </c>
      <c r="G334" s="3340">
        <v>41374</v>
      </c>
      <c r="H334" s="3340">
        <v>41698</v>
      </c>
      <c r="I334" s="3340">
        <v>41729</v>
      </c>
      <c r="J334" s="3336"/>
    </row>
    <row r="335" spans="1:12" s="3327" customFormat="1" ht="13.5" customHeight="1">
      <c r="A335" s="3323"/>
      <c r="B335" s="3324" t="s">
        <v>3128</v>
      </c>
      <c r="C335" s="3324" t="s">
        <v>3395</v>
      </c>
      <c r="D335" s="3344" t="s">
        <v>3396</v>
      </c>
      <c r="E335" s="3325">
        <v>22.3</v>
      </c>
      <c r="F335" s="3325">
        <v>350</v>
      </c>
      <c r="G335" s="3326">
        <v>41699</v>
      </c>
      <c r="H335" s="3326">
        <v>42003</v>
      </c>
      <c r="I335" s="3326">
        <v>42094</v>
      </c>
      <c r="J335" s="3324"/>
    </row>
    <row r="336" spans="1:12" s="3327" customFormat="1" ht="13.5" customHeight="1">
      <c r="A336" s="3323"/>
      <c r="B336" s="3324" t="s">
        <v>3128</v>
      </c>
      <c r="C336" s="3324" t="s">
        <v>3395</v>
      </c>
      <c r="D336" s="3344" t="s">
        <v>3396</v>
      </c>
      <c r="E336" s="3325">
        <v>22.3</v>
      </c>
      <c r="F336" s="3325">
        <v>355</v>
      </c>
      <c r="G336" s="3326">
        <v>42005</v>
      </c>
      <c r="H336" s="3326">
        <v>42093</v>
      </c>
      <c r="I336" s="3326">
        <v>42094</v>
      </c>
      <c r="J336" s="3324"/>
    </row>
    <row r="337" spans="1:12" s="3327" customFormat="1" ht="13.5" customHeight="1">
      <c r="A337" s="3323"/>
      <c r="B337" s="3336" t="s">
        <v>3128</v>
      </c>
      <c r="C337" s="3336" t="s">
        <v>3395</v>
      </c>
      <c r="D337" s="3345" t="s">
        <v>3396</v>
      </c>
      <c r="E337" s="3339">
        <v>22.3</v>
      </c>
      <c r="F337" s="3339">
        <v>355</v>
      </c>
      <c r="G337" s="3340">
        <v>42095</v>
      </c>
      <c r="H337" s="3340">
        <v>42459</v>
      </c>
      <c r="I337" s="3340">
        <v>42460</v>
      </c>
      <c r="J337" s="3324"/>
    </row>
    <row r="338" spans="1:12" s="3327" customFormat="1" ht="13.5" customHeight="1">
      <c r="A338" s="3323"/>
      <c r="B338" s="3336" t="s">
        <v>3128</v>
      </c>
      <c r="C338" s="3336" t="s">
        <v>3395</v>
      </c>
      <c r="D338" s="3345" t="s">
        <v>3396</v>
      </c>
      <c r="E338" s="3339">
        <v>22.3</v>
      </c>
      <c r="F338" s="3339">
        <v>375</v>
      </c>
      <c r="G338" s="3340">
        <v>42461</v>
      </c>
      <c r="H338" s="3340">
        <v>42824</v>
      </c>
      <c r="I338" s="3340">
        <v>42825</v>
      </c>
      <c r="J338" s="3324"/>
    </row>
    <row r="339" spans="1:12" s="3327" customFormat="1" ht="13.5" customHeight="1">
      <c r="A339" s="3323"/>
      <c r="B339" s="3331" t="s">
        <v>3128</v>
      </c>
      <c r="C339" s="3331" t="s">
        <v>3397</v>
      </c>
      <c r="D339" s="3346" t="s">
        <v>3368</v>
      </c>
      <c r="E339" s="3332">
        <v>22.3</v>
      </c>
      <c r="F339" s="3332">
        <v>410</v>
      </c>
      <c r="G339" s="3333">
        <v>42826</v>
      </c>
      <c r="H339" s="3333">
        <v>42983</v>
      </c>
      <c r="I339" s="3333">
        <v>43190</v>
      </c>
      <c r="J339" s="3324"/>
      <c r="K339" s="3334">
        <f t="shared" ref="K339:K340" si="9">E339</f>
        <v>22.3</v>
      </c>
      <c r="L339" s="3334">
        <f t="shared" ref="L339:L340" si="10">F339/30</f>
        <v>13.666666666666666</v>
      </c>
    </row>
    <row r="340" spans="1:12" s="3327" customFormat="1" ht="13.5" customHeight="1">
      <c r="A340" s="3323" t="s">
        <v>3151</v>
      </c>
      <c r="B340" s="3331" t="s">
        <v>3128</v>
      </c>
      <c r="C340" s="3331" t="s">
        <v>3397</v>
      </c>
      <c r="D340" s="3346" t="s">
        <v>3368</v>
      </c>
      <c r="E340" s="3332">
        <v>22.3</v>
      </c>
      <c r="F340" s="3332">
        <v>410</v>
      </c>
      <c r="G340" s="3333">
        <v>42984</v>
      </c>
      <c r="H340" s="3333">
        <v>43130</v>
      </c>
      <c r="I340" s="3333">
        <v>43190</v>
      </c>
      <c r="J340" s="3324"/>
      <c r="K340" s="3334">
        <f t="shared" si="9"/>
        <v>22.3</v>
      </c>
      <c r="L340" s="3334">
        <f t="shared" si="10"/>
        <v>13.666666666666666</v>
      </c>
    </row>
    <row r="341" spans="1:12" s="3327" customFormat="1" ht="13.5" customHeight="1">
      <c r="A341" s="3323"/>
      <c r="B341" s="3324" t="s">
        <v>3128</v>
      </c>
      <c r="C341" s="3324" t="s">
        <v>3398</v>
      </c>
      <c r="D341" s="3324" t="s">
        <v>3399</v>
      </c>
      <c r="E341" s="3325">
        <v>21.9</v>
      </c>
      <c r="F341" s="3325">
        <v>360</v>
      </c>
      <c r="G341" s="3326">
        <v>41699</v>
      </c>
      <c r="H341" s="3326">
        <v>42003</v>
      </c>
      <c r="I341" s="3326">
        <v>42094</v>
      </c>
      <c r="J341" s="3324"/>
    </row>
    <row r="342" spans="1:12" s="3327" customFormat="1" ht="13.5" customHeight="1">
      <c r="A342" s="3323"/>
      <c r="B342" s="3324" t="s">
        <v>3128</v>
      </c>
      <c r="C342" s="3324" t="s">
        <v>3398</v>
      </c>
      <c r="D342" s="3324" t="s">
        <v>3399</v>
      </c>
      <c r="E342" s="3325">
        <v>21.9</v>
      </c>
      <c r="F342" s="3325">
        <v>365</v>
      </c>
      <c r="G342" s="3326">
        <v>42005</v>
      </c>
      <c r="H342" s="3326">
        <v>42093</v>
      </c>
      <c r="I342" s="3326">
        <v>42094</v>
      </c>
      <c r="J342" s="3324"/>
    </row>
    <row r="343" spans="1:12" s="3327" customFormat="1" ht="13.5" customHeight="1">
      <c r="A343" s="3323"/>
      <c r="B343" s="3336" t="s">
        <v>3128</v>
      </c>
      <c r="C343" s="3336" t="s">
        <v>3398</v>
      </c>
      <c r="D343" s="3336" t="s">
        <v>3399</v>
      </c>
      <c r="E343" s="3339">
        <v>21.9</v>
      </c>
      <c r="F343" s="3339">
        <v>365</v>
      </c>
      <c r="G343" s="3340">
        <v>42095</v>
      </c>
      <c r="H343" s="3340">
        <v>42459</v>
      </c>
      <c r="I343" s="3340">
        <v>42460</v>
      </c>
      <c r="J343" s="3324"/>
    </row>
    <row r="344" spans="1:12" s="3327" customFormat="1" ht="13.5" customHeight="1">
      <c r="A344" s="3323"/>
      <c r="B344" s="3336" t="s">
        <v>3128</v>
      </c>
      <c r="C344" s="3336" t="s">
        <v>3398</v>
      </c>
      <c r="D344" s="3336" t="s">
        <v>3399</v>
      </c>
      <c r="E344" s="3339">
        <v>21.9</v>
      </c>
      <c r="F344" s="3339">
        <v>385</v>
      </c>
      <c r="G344" s="3340">
        <v>42461</v>
      </c>
      <c r="H344" s="3340">
        <v>42824</v>
      </c>
      <c r="I344" s="3340">
        <v>42825</v>
      </c>
      <c r="J344" s="3324"/>
    </row>
    <row r="345" spans="1:12" s="3327" customFormat="1" ht="13.5" customHeight="1">
      <c r="A345" s="3323" t="s">
        <v>3151</v>
      </c>
      <c r="B345" s="3331" t="s">
        <v>3128</v>
      </c>
      <c r="C345" s="3331" t="s">
        <v>3400</v>
      </c>
      <c r="D345" s="3331" t="s">
        <v>3165</v>
      </c>
      <c r="E345" s="3332">
        <v>21.9</v>
      </c>
      <c r="F345" s="3332">
        <v>410</v>
      </c>
      <c r="G345" s="3333">
        <v>42826</v>
      </c>
      <c r="H345" s="3333">
        <v>43130</v>
      </c>
      <c r="I345" s="3333">
        <v>43190</v>
      </c>
      <c r="J345" s="3324"/>
      <c r="K345" s="3334">
        <f>E345</f>
        <v>21.9</v>
      </c>
      <c r="L345" s="3334">
        <f>F345/30</f>
        <v>13.666666666666666</v>
      </c>
    </row>
    <row r="346" spans="1:12" s="3327" customFormat="1" ht="13.5" customHeight="1">
      <c r="A346" s="3323"/>
      <c r="B346" s="3324" t="s">
        <v>3128</v>
      </c>
      <c r="C346" s="3324" t="s">
        <v>3401</v>
      </c>
      <c r="D346" s="3324" t="s">
        <v>3402</v>
      </c>
      <c r="E346" s="3325">
        <v>19</v>
      </c>
      <c r="F346" s="3325">
        <v>360</v>
      </c>
      <c r="G346" s="3326">
        <v>41699</v>
      </c>
      <c r="H346" s="3326">
        <v>42003</v>
      </c>
      <c r="I346" s="3326">
        <v>42094</v>
      </c>
      <c r="J346" s="3324"/>
    </row>
    <row r="347" spans="1:12" s="3327" customFormat="1" ht="13.5" customHeight="1">
      <c r="A347" s="3323"/>
      <c r="B347" s="3324" t="s">
        <v>3128</v>
      </c>
      <c r="C347" s="3324" t="s">
        <v>3401</v>
      </c>
      <c r="D347" s="3324" t="s">
        <v>3402</v>
      </c>
      <c r="E347" s="3325">
        <v>19</v>
      </c>
      <c r="F347" s="3325">
        <v>365</v>
      </c>
      <c r="G347" s="3326">
        <v>42005</v>
      </c>
      <c r="H347" s="3326">
        <v>42093</v>
      </c>
      <c r="I347" s="3326">
        <v>42094</v>
      </c>
      <c r="J347" s="3324"/>
    </row>
    <row r="348" spans="1:12" s="3327" customFormat="1" ht="13.5" customHeight="1">
      <c r="A348" s="3323"/>
      <c r="B348" s="3336" t="s">
        <v>3128</v>
      </c>
      <c r="C348" s="3336" t="s">
        <v>3401</v>
      </c>
      <c r="D348" s="3336" t="s">
        <v>3402</v>
      </c>
      <c r="E348" s="3339">
        <v>19</v>
      </c>
      <c r="F348" s="3339">
        <v>365</v>
      </c>
      <c r="G348" s="3340">
        <v>42095</v>
      </c>
      <c r="H348" s="3340">
        <v>42459</v>
      </c>
      <c r="I348" s="3340">
        <v>42460</v>
      </c>
      <c r="J348" s="3324"/>
    </row>
    <row r="349" spans="1:12" s="3327" customFormat="1" ht="13.5" customHeight="1">
      <c r="A349" s="3323"/>
      <c r="B349" s="3336" t="s">
        <v>3128</v>
      </c>
      <c r="C349" s="3336" t="s">
        <v>3401</v>
      </c>
      <c r="D349" s="3336" t="s">
        <v>3402</v>
      </c>
      <c r="E349" s="3339">
        <v>19</v>
      </c>
      <c r="F349" s="3339">
        <v>385</v>
      </c>
      <c r="G349" s="3340">
        <v>42461</v>
      </c>
      <c r="H349" s="3340">
        <v>42824</v>
      </c>
      <c r="I349" s="3340">
        <v>42825</v>
      </c>
      <c r="J349" s="3324"/>
    </row>
    <row r="350" spans="1:12" s="3327" customFormat="1" ht="13.5" customHeight="1">
      <c r="A350" s="3323" t="s">
        <v>3151</v>
      </c>
      <c r="B350" s="3331" t="s">
        <v>3128</v>
      </c>
      <c r="C350" s="3331" t="s">
        <v>3403</v>
      </c>
      <c r="D350" s="3331" t="s">
        <v>3404</v>
      </c>
      <c r="E350" s="3332">
        <v>19</v>
      </c>
      <c r="F350" s="3332">
        <v>410</v>
      </c>
      <c r="G350" s="3333">
        <v>42826</v>
      </c>
      <c r="H350" s="3333">
        <v>43130</v>
      </c>
      <c r="I350" s="3333">
        <v>43190</v>
      </c>
      <c r="J350" s="3324"/>
      <c r="K350" s="3334">
        <f>E350</f>
        <v>19</v>
      </c>
      <c r="L350" s="3334">
        <f>F350/30</f>
        <v>13.666666666666666</v>
      </c>
    </row>
    <row r="351" spans="1:12" s="3327" customFormat="1" ht="13.5" customHeight="1">
      <c r="A351" s="3335"/>
      <c r="B351" s="3336" t="s">
        <v>3128</v>
      </c>
      <c r="C351" s="3336" t="s">
        <v>3300</v>
      </c>
      <c r="D351" s="3336" t="s">
        <v>3405</v>
      </c>
      <c r="E351" s="3339">
        <v>37.1</v>
      </c>
      <c r="F351" s="3339">
        <v>400</v>
      </c>
      <c r="G351" s="3340">
        <v>41000</v>
      </c>
      <c r="H351" s="3340">
        <v>41363</v>
      </c>
      <c r="I351" s="3340">
        <v>41364</v>
      </c>
      <c r="J351" s="3336"/>
    </row>
    <row r="352" spans="1:12" s="3327" customFormat="1" ht="13.5" customHeight="1">
      <c r="A352" s="3323"/>
      <c r="B352" s="3324" t="s">
        <v>3128</v>
      </c>
      <c r="C352" s="3324" t="s">
        <v>3406</v>
      </c>
      <c r="D352" s="3324" t="s">
        <v>3407</v>
      </c>
      <c r="E352" s="3325">
        <v>18.899999999999999</v>
      </c>
      <c r="F352" s="3325">
        <v>360</v>
      </c>
      <c r="G352" s="3326">
        <v>41699</v>
      </c>
      <c r="H352" s="3326">
        <v>42003</v>
      </c>
      <c r="I352" s="3326">
        <v>42094</v>
      </c>
      <c r="J352" s="3324"/>
    </row>
    <row r="353" spans="1:12" s="3327" customFormat="1" ht="13.5" customHeight="1">
      <c r="A353" s="3323"/>
      <c r="B353" s="3324" t="s">
        <v>3128</v>
      </c>
      <c r="C353" s="3324" t="s">
        <v>3406</v>
      </c>
      <c r="D353" s="3324" t="s">
        <v>3407</v>
      </c>
      <c r="E353" s="3325">
        <v>18.899999999999999</v>
      </c>
      <c r="F353" s="3325">
        <v>365</v>
      </c>
      <c r="G353" s="3326">
        <v>42005</v>
      </c>
      <c r="H353" s="3326">
        <v>42093</v>
      </c>
      <c r="I353" s="3326">
        <v>42094</v>
      </c>
      <c r="J353" s="3324"/>
    </row>
    <row r="354" spans="1:12" s="3327" customFormat="1" ht="13.5" customHeight="1">
      <c r="A354" s="3323"/>
      <c r="B354" s="3336" t="s">
        <v>3128</v>
      </c>
      <c r="C354" s="3336" t="s">
        <v>3406</v>
      </c>
      <c r="D354" s="3336" t="s">
        <v>3407</v>
      </c>
      <c r="E354" s="3339">
        <v>18.899999999999999</v>
      </c>
      <c r="F354" s="3339">
        <v>365</v>
      </c>
      <c r="G354" s="3340">
        <v>42095</v>
      </c>
      <c r="H354" s="3340">
        <v>42459</v>
      </c>
      <c r="I354" s="3340">
        <v>42460</v>
      </c>
      <c r="J354" s="3324"/>
    </row>
    <row r="355" spans="1:12" s="3327" customFormat="1" ht="13.5" customHeight="1">
      <c r="A355" s="3323"/>
      <c r="B355" s="3336" t="s">
        <v>3128</v>
      </c>
      <c r="C355" s="3336" t="s">
        <v>3406</v>
      </c>
      <c r="D355" s="3336" t="s">
        <v>3407</v>
      </c>
      <c r="E355" s="3339">
        <v>18.899999999999999</v>
      </c>
      <c r="F355" s="3339">
        <v>385</v>
      </c>
      <c r="G355" s="3340">
        <v>42461</v>
      </c>
      <c r="H355" s="3340">
        <v>42824</v>
      </c>
      <c r="I355" s="3340">
        <v>42825</v>
      </c>
      <c r="J355" s="3324"/>
    </row>
    <row r="356" spans="1:12" s="3327" customFormat="1" ht="13.5" customHeight="1">
      <c r="A356" s="3323" t="s">
        <v>3151</v>
      </c>
      <c r="B356" s="3331" t="s">
        <v>3128</v>
      </c>
      <c r="C356" s="3331" t="s">
        <v>3408</v>
      </c>
      <c r="D356" s="3331" t="s">
        <v>3409</v>
      </c>
      <c r="E356" s="3332">
        <v>18.899999999999999</v>
      </c>
      <c r="F356" s="3332">
        <v>410</v>
      </c>
      <c r="G356" s="3333">
        <v>42826</v>
      </c>
      <c r="H356" s="3333">
        <v>43130</v>
      </c>
      <c r="I356" s="3333">
        <v>43190</v>
      </c>
      <c r="J356" s="3324"/>
      <c r="K356" s="3334">
        <f>E356</f>
        <v>18.899999999999999</v>
      </c>
      <c r="L356" s="3334">
        <f>F356/30</f>
        <v>13.666666666666666</v>
      </c>
    </row>
    <row r="357" spans="1:12" s="3327" customFormat="1" ht="13.5" customHeight="1">
      <c r="A357" s="3335"/>
      <c r="B357" s="3336" t="s">
        <v>3128</v>
      </c>
      <c r="C357" s="3336" t="s">
        <v>3410</v>
      </c>
      <c r="D357" s="3336" t="s">
        <v>3179</v>
      </c>
      <c r="E357" s="3339">
        <v>42.6</v>
      </c>
      <c r="F357" s="3339">
        <v>400</v>
      </c>
      <c r="G357" s="3340">
        <v>41365</v>
      </c>
      <c r="H357" s="3340">
        <v>41698</v>
      </c>
      <c r="I357" s="3340">
        <v>41729</v>
      </c>
      <c r="J357" s="3336"/>
    </row>
    <row r="358" spans="1:12" s="3327" customFormat="1" ht="13.5" customHeight="1">
      <c r="A358" s="3323"/>
      <c r="B358" s="3324" t="s">
        <v>3128</v>
      </c>
      <c r="C358" s="3324" t="s">
        <v>3411</v>
      </c>
      <c r="D358" s="3324" t="s">
        <v>3412</v>
      </c>
      <c r="E358" s="3325">
        <v>42.6</v>
      </c>
      <c r="F358" s="3325">
        <v>400</v>
      </c>
      <c r="G358" s="3326">
        <v>41699</v>
      </c>
      <c r="H358" s="3326">
        <v>42093</v>
      </c>
      <c r="I358" s="3326">
        <v>42094</v>
      </c>
      <c r="J358" s="3324"/>
    </row>
    <row r="359" spans="1:12" s="3327" customFormat="1" ht="13.5" customHeight="1">
      <c r="A359" s="3323"/>
      <c r="B359" s="3336" t="s">
        <v>3128</v>
      </c>
      <c r="C359" s="3336" t="s">
        <v>3413</v>
      </c>
      <c r="D359" s="3336" t="s">
        <v>3412</v>
      </c>
      <c r="E359" s="3339">
        <v>42.6</v>
      </c>
      <c r="F359" s="3339">
        <v>400</v>
      </c>
      <c r="G359" s="3340">
        <v>42095</v>
      </c>
      <c r="H359" s="3340">
        <v>42215</v>
      </c>
      <c r="I359" s="3340">
        <v>42460</v>
      </c>
      <c r="J359" s="3324"/>
    </row>
    <row r="360" spans="1:12" s="3327" customFormat="1" ht="13.5" customHeight="1">
      <c r="A360" s="3323"/>
      <c r="B360" s="3336" t="s">
        <v>3128</v>
      </c>
      <c r="C360" s="3336" t="s">
        <v>3357</v>
      </c>
      <c r="D360" s="3336" t="s">
        <v>3412</v>
      </c>
      <c r="E360" s="3339">
        <v>42.6</v>
      </c>
      <c r="F360" s="3339">
        <v>371</v>
      </c>
      <c r="G360" s="3340">
        <v>42217</v>
      </c>
      <c r="H360" s="3340">
        <v>42459</v>
      </c>
      <c r="I360" s="3340">
        <v>42460</v>
      </c>
      <c r="J360" s="3324"/>
    </row>
    <row r="361" spans="1:12" s="3327" customFormat="1" ht="13.5" customHeight="1">
      <c r="A361" s="3323"/>
      <c r="B361" s="3336" t="s">
        <v>3128</v>
      </c>
      <c r="C361" s="3336" t="s">
        <v>3357</v>
      </c>
      <c r="D361" s="3336" t="s">
        <v>3412</v>
      </c>
      <c r="E361" s="3339">
        <v>42.6</v>
      </c>
      <c r="F361" s="3339">
        <v>380</v>
      </c>
      <c r="G361" s="3340">
        <v>42461</v>
      </c>
      <c r="H361" s="3340">
        <v>42824</v>
      </c>
      <c r="I361" s="3340">
        <v>42825</v>
      </c>
      <c r="J361" s="3324"/>
    </row>
    <row r="362" spans="1:12" s="3327" customFormat="1" ht="13.5" customHeight="1">
      <c r="A362" s="3323" t="s">
        <v>3151</v>
      </c>
      <c r="B362" s="3331" t="s">
        <v>3128</v>
      </c>
      <c r="C362" s="3331" t="s">
        <v>3414</v>
      </c>
      <c r="D362" s="3331" t="s">
        <v>3415</v>
      </c>
      <c r="E362" s="3332">
        <v>42.6</v>
      </c>
      <c r="F362" s="3332">
        <v>410</v>
      </c>
      <c r="G362" s="3333">
        <v>42826</v>
      </c>
      <c r="H362" s="3333">
        <v>43130</v>
      </c>
      <c r="I362" s="3333">
        <v>43190</v>
      </c>
      <c r="J362" s="3324"/>
      <c r="K362" s="3334">
        <f>E362</f>
        <v>42.6</v>
      </c>
      <c r="L362" s="3334">
        <f>F362/30</f>
        <v>13.666666666666666</v>
      </c>
    </row>
    <row r="363" spans="1:12" s="3327" customFormat="1" ht="13.5" customHeight="1">
      <c r="A363" s="3335"/>
      <c r="B363" s="3336" t="s">
        <v>3128</v>
      </c>
      <c r="C363" s="3336" t="s">
        <v>3416</v>
      </c>
      <c r="D363" s="3336" t="s">
        <v>3417</v>
      </c>
      <c r="E363" s="3339">
        <v>29</v>
      </c>
      <c r="F363" s="3339">
        <v>400</v>
      </c>
      <c r="G363" s="3340">
        <v>41000</v>
      </c>
      <c r="H363" s="3340">
        <v>41363</v>
      </c>
      <c r="I363" s="3340">
        <v>41364</v>
      </c>
      <c r="J363" s="3336"/>
    </row>
    <row r="364" spans="1:12" s="3327" customFormat="1" ht="13.5" customHeight="1">
      <c r="A364" s="3323"/>
      <c r="B364" s="3324" t="s">
        <v>3128</v>
      </c>
      <c r="C364" s="3324" t="s">
        <v>3418</v>
      </c>
      <c r="D364" s="3324" t="s">
        <v>3419</v>
      </c>
      <c r="E364" s="3325">
        <v>78.7</v>
      </c>
      <c r="F364" s="3325">
        <v>400</v>
      </c>
      <c r="G364" s="3326">
        <v>41699</v>
      </c>
      <c r="H364" s="3326">
        <v>42093</v>
      </c>
      <c r="I364" s="3326">
        <v>42094</v>
      </c>
      <c r="J364" s="3324"/>
    </row>
    <row r="365" spans="1:12" s="3327" customFormat="1" ht="13.5" customHeight="1">
      <c r="A365" s="3323"/>
      <c r="B365" s="3336" t="s">
        <v>3128</v>
      </c>
      <c r="C365" s="3336" t="s">
        <v>3418</v>
      </c>
      <c r="D365" s="3336" t="s">
        <v>3419</v>
      </c>
      <c r="E365" s="3339">
        <v>78.7</v>
      </c>
      <c r="F365" s="3339">
        <v>405</v>
      </c>
      <c r="G365" s="3340">
        <v>42095</v>
      </c>
      <c r="H365" s="3340">
        <v>42154</v>
      </c>
      <c r="I365" s="3340">
        <v>42155</v>
      </c>
      <c r="J365" s="3324"/>
    </row>
    <row r="366" spans="1:12" s="3327" customFormat="1" ht="13.5" customHeight="1">
      <c r="A366" s="3323"/>
      <c r="B366" s="3336" t="s">
        <v>3128</v>
      </c>
      <c r="C366" s="3336" t="s">
        <v>3420</v>
      </c>
      <c r="D366" s="3336" t="s">
        <v>3419</v>
      </c>
      <c r="E366" s="3339">
        <v>39.4</v>
      </c>
      <c r="F366" s="3339">
        <v>400</v>
      </c>
      <c r="G366" s="3340">
        <v>42156</v>
      </c>
      <c r="H366" s="3340">
        <v>42459</v>
      </c>
      <c r="I366" s="3340">
        <v>42460</v>
      </c>
      <c r="J366" s="3324"/>
    </row>
    <row r="367" spans="1:12" s="3327" customFormat="1" ht="13.5" customHeight="1">
      <c r="A367" s="3323"/>
      <c r="B367" s="3336" t="s">
        <v>3128</v>
      </c>
      <c r="C367" s="3336" t="s">
        <v>3420</v>
      </c>
      <c r="D367" s="3336" t="s">
        <v>3419</v>
      </c>
      <c r="E367" s="3339">
        <v>39.4</v>
      </c>
      <c r="F367" s="3339">
        <v>370</v>
      </c>
      <c r="G367" s="3340">
        <v>42461</v>
      </c>
      <c r="H367" s="3340">
        <v>42520</v>
      </c>
      <c r="I367" s="3340">
        <v>42825</v>
      </c>
      <c r="J367" s="3324"/>
    </row>
    <row r="368" spans="1:12" s="3327" customFormat="1" ht="13.5" customHeight="1">
      <c r="A368" s="3323"/>
      <c r="B368" s="3336" t="s">
        <v>3128</v>
      </c>
      <c r="C368" s="3336" t="s">
        <v>3421</v>
      </c>
      <c r="D368" s="3336" t="s">
        <v>3419</v>
      </c>
      <c r="E368" s="3339">
        <v>39.4</v>
      </c>
      <c r="F368" s="3339">
        <v>370</v>
      </c>
      <c r="G368" s="3340">
        <v>42522</v>
      </c>
      <c r="H368" s="3340">
        <v>42824</v>
      </c>
      <c r="I368" s="3340">
        <v>42825</v>
      </c>
      <c r="J368" s="3324"/>
    </row>
    <row r="369" spans="1:12" s="3327" customFormat="1" ht="13.5" customHeight="1">
      <c r="A369" s="3323" t="s">
        <v>3151</v>
      </c>
      <c r="B369" s="3331" t="s">
        <v>3128</v>
      </c>
      <c r="C369" s="3331" t="s">
        <v>3421</v>
      </c>
      <c r="D369" s="3331" t="s">
        <v>3186</v>
      </c>
      <c r="E369" s="3332">
        <v>39.4</v>
      </c>
      <c r="F369" s="3332">
        <v>400</v>
      </c>
      <c r="G369" s="3333">
        <v>42826</v>
      </c>
      <c r="H369" s="3333">
        <v>43130</v>
      </c>
      <c r="I369" s="3333">
        <v>43190</v>
      </c>
      <c r="J369" s="3324"/>
      <c r="K369" s="3334">
        <f>E369</f>
        <v>39.4</v>
      </c>
      <c r="L369" s="3334">
        <f>F369/30</f>
        <v>13.333333333333334</v>
      </c>
    </row>
    <row r="370" spans="1:12" s="3327" customFormat="1" ht="13.5" customHeight="1">
      <c r="A370" s="3323"/>
      <c r="B370" s="3336" t="s">
        <v>3128</v>
      </c>
      <c r="C370" s="3336" t="s">
        <v>3338</v>
      </c>
      <c r="D370" s="3336" t="s">
        <v>3412</v>
      </c>
      <c r="E370" s="3339">
        <v>39.299999999999997</v>
      </c>
      <c r="F370" s="3339">
        <v>400</v>
      </c>
      <c r="G370" s="3340">
        <v>42156</v>
      </c>
      <c r="H370" s="3340">
        <v>42459</v>
      </c>
      <c r="I370" s="3340">
        <v>42460</v>
      </c>
      <c r="J370" s="3324"/>
    </row>
    <row r="371" spans="1:12" s="3327" customFormat="1" ht="13.5" customHeight="1">
      <c r="A371" s="3323"/>
      <c r="B371" s="3336" t="s">
        <v>3128</v>
      </c>
      <c r="C371" s="3336" t="s">
        <v>3338</v>
      </c>
      <c r="D371" s="3336" t="s">
        <v>3412</v>
      </c>
      <c r="E371" s="3339">
        <v>39.299999999999997</v>
      </c>
      <c r="F371" s="3339">
        <v>370</v>
      </c>
      <c r="G371" s="3340">
        <v>42461</v>
      </c>
      <c r="H371" s="3340">
        <v>42824</v>
      </c>
      <c r="I371" s="3340">
        <v>42825</v>
      </c>
      <c r="J371" s="3324"/>
    </row>
    <row r="372" spans="1:12" s="3327" customFormat="1" ht="13.5" customHeight="1">
      <c r="A372" s="3323" t="s">
        <v>3151</v>
      </c>
      <c r="B372" s="3331" t="s">
        <v>3128</v>
      </c>
      <c r="C372" s="3331" t="s">
        <v>3338</v>
      </c>
      <c r="D372" s="3331" t="s">
        <v>3422</v>
      </c>
      <c r="E372" s="3332">
        <v>39.299999999999997</v>
      </c>
      <c r="F372" s="3332">
        <v>410</v>
      </c>
      <c r="G372" s="3333">
        <v>42826</v>
      </c>
      <c r="H372" s="3333">
        <v>43130</v>
      </c>
      <c r="I372" s="3333">
        <v>43190</v>
      </c>
      <c r="J372" s="3324"/>
      <c r="K372" s="3334">
        <f>E372</f>
        <v>39.299999999999997</v>
      </c>
      <c r="L372" s="3334">
        <f>F372/30</f>
        <v>13.666666666666666</v>
      </c>
    </row>
    <row r="373" spans="1:12" s="3327" customFormat="1" ht="13.5" customHeight="1">
      <c r="A373" s="3335"/>
      <c r="B373" s="3336" t="s">
        <v>3128</v>
      </c>
      <c r="C373" s="3336" t="s">
        <v>3293</v>
      </c>
      <c r="D373" s="3336" t="s">
        <v>3423</v>
      </c>
      <c r="E373" s="3339">
        <v>26</v>
      </c>
      <c r="F373" s="3339">
        <v>400</v>
      </c>
      <c r="G373" s="3340">
        <v>40984</v>
      </c>
      <c r="H373" s="3340">
        <v>41363</v>
      </c>
      <c r="I373" s="3340">
        <v>41364</v>
      </c>
      <c r="J373" s="3336"/>
    </row>
    <row r="374" spans="1:12" s="3327" customFormat="1" ht="13.5" customHeight="1">
      <c r="A374" s="3323"/>
      <c r="B374" s="3324" t="s">
        <v>3128</v>
      </c>
      <c r="C374" s="3324" t="s">
        <v>3424</v>
      </c>
      <c r="D374" s="3324" t="s">
        <v>3425</v>
      </c>
      <c r="E374" s="3325">
        <v>75.7</v>
      </c>
      <c r="F374" s="3325">
        <v>400</v>
      </c>
      <c r="G374" s="3326">
        <v>41699</v>
      </c>
      <c r="H374" s="3326">
        <v>42093</v>
      </c>
      <c r="I374" s="3326">
        <v>42094</v>
      </c>
      <c r="J374" s="3324"/>
    </row>
    <row r="375" spans="1:12" s="3327" customFormat="1" ht="13.5" customHeight="1">
      <c r="A375" s="3323"/>
      <c r="B375" s="3336" t="s">
        <v>3128</v>
      </c>
      <c r="C375" s="3336" t="s">
        <v>3424</v>
      </c>
      <c r="D375" s="3336" t="s">
        <v>3425</v>
      </c>
      <c r="E375" s="3339">
        <v>75.7</v>
      </c>
      <c r="F375" s="3339">
        <v>405</v>
      </c>
      <c r="G375" s="3340">
        <v>42095</v>
      </c>
      <c r="H375" s="3340">
        <v>42154</v>
      </c>
      <c r="I375" s="3340">
        <v>42155</v>
      </c>
      <c r="J375" s="3324"/>
    </row>
    <row r="376" spans="1:12" s="3327" customFormat="1" ht="13.5" customHeight="1">
      <c r="A376" s="3323"/>
      <c r="B376" s="3336" t="s">
        <v>3128</v>
      </c>
      <c r="C376" s="3336" t="s">
        <v>3346</v>
      </c>
      <c r="D376" s="3336" t="s">
        <v>3425</v>
      </c>
      <c r="E376" s="3339">
        <v>75.7</v>
      </c>
      <c r="F376" s="3339">
        <v>340</v>
      </c>
      <c r="G376" s="3340">
        <v>42156</v>
      </c>
      <c r="H376" s="3340">
        <v>42459</v>
      </c>
      <c r="I376" s="3340">
        <v>42460</v>
      </c>
      <c r="J376" s="3324"/>
    </row>
    <row r="377" spans="1:12" s="3327" customFormat="1" ht="13.5" customHeight="1">
      <c r="A377" s="3323"/>
      <c r="B377" s="3336" t="s">
        <v>3128</v>
      </c>
      <c r="C377" s="3336" t="s">
        <v>3346</v>
      </c>
      <c r="D377" s="3336" t="s">
        <v>3425</v>
      </c>
      <c r="E377" s="3339">
        <v>75.7</v>
      </c>
      <c r="F377" s="3339">
        <v>330</v>
      </c>
      <c r="G377" s="3340">
        <v>42461</v>
      </c>
      <c r="H377" s="3340">
        <v>42673</v>
      </c>
      <c r="I377" s="3340">
        <v>42825</v>
      </c>
      <c r="J377" s="3324"/>
    </row>
    <row r="378" spans="1:12" s="3327" customFormat="1" ht="13.5" customHeight="1">
      <c r="A378" s="3323"/>
      <c r="B378" s="3336" t="s">
        <v>3128</v>
      </c>
      <c r="C378" s="3336" t="s">
        <v>3426</v>
      </c>
      <c r="D378" s="3336" t="s">
        <v>3425</v>
      </c>
      <c r="E378" s="3339">
        <v>36.229999999999997</v>
      </c>
      <c r="F378" s="3339">
        <v>330</v>
      </c>
      <c r="G378" s="3340">
        <v>42675</v>
      </c>
      <c r="H378" s="3340">
        <v>42824</v>
      </c>
      <c r="I378" s="3340">
        <v>42825</v>
      </c>
      <c r="J378" s="3324"/>
    </row>
    <row r="379" spans="1:12" s="3327" customFormat="1" ht="13.5" customHeight="1">
      <c r="A379" s="3323"/>
      <c r="B379" s="3331" t="s">
        <v>3128</v>
      </c>
      <c r="C379" s="3331" t="s">
        <v>3426</v>
      </c>
      <c r="D379" s="3331" t="s">
        <v>3425</v>
      </c>
      <c r="E379" s="3332">
        <v>36.229999999999997</v>
      </c>
      <c r="F379" s="3332">
        <v>355</v>
      </c>
      <c r="G379" s="3333">
        <v>42826</v>
      </c>
      <c r="H379" s="3333">
        <v>42887</v>
      </c>
      <c r="I379" s="3333">
        <v>43190</v>
      </c>
      <c r="J379" s="3324"/>
      <c r="K379" s="3334">
        <f>E379</f>
        <v>36.229999999999997</v>
      </c>
      <c r="L379" s="3334">
        <f>F379/30</f>
        <v>11.833333333333334</v>
      </c>
    </row>
    <row r="380" spans="1:12" s="3327" customFormat="1" ht="13.5" customHeight="1">
      <c r="A380" s="3323"/>
      <c r="B380" s="3336" t="s">
        <v>3128</v>
      </c>
      <c r="C380" s="3336" t="s">
        <v>3427</v>
      </c>
      <c r="D380" s="3336" t="s">
        <v>3425</v>
      </c>
      <c r="E380" s="3339">
        <v>39.479999999999997</v>
      </c>
      <c r="F380" s="3339">
        <v>330</v>
      </c>
      <c r="G380" s="3340">
        <v>42675</v>
      </c>
      <c r="H380" s="3340">
        <v>42824</v>
      </c>
      <c r="I380" s="3340">
        <v>42825</v>
      </c>
      <c r="J380" s="3324"/>
    </row>
    <row r="381" spans="1:12" s="3327" customFormat="1" ht="13.5" customHeight="1">
      <c r="A381" s="3323"/>
      <c r="B381" s="3331" t="s">
        <v>3128</v>
      </c>
      <c r="C381" s="3331" t="s">
        <v>3427</v>
      </c>
      <c r="D381" s="3331" t="s">
        <v>3428</v>
      </c>
      <c r="E381" s="3332">
        <v>39.479999999999997</v>
      </c>
      <c r="F381" s="3332">
        <v>335</v>
      </c>
      <c r="G381" s="3333">
        <v>42826</v>
      </c>
      <c r="H381" s="3333">
        <v>42887</v>
      </c>
      <c r="I381" s="3333">
        <v>43190</v>
      </c>
      <c r="J381" s="3324"/>
      <c r="K381" s="3334">
        <f t="shared" ref="K381:K382" si="11">E381</f>
        <v>39.479999999999997</v>
      </c>
      <c r="L381" s="3334">
        <f t="shared" ref="L381:L382" si="12">F381/30</f>
        <v>11.166666666666666</v>
      </c>
    </row>
    <row r="382" spans="1:12" s="3327" customFormat="1" ht="13.5" customHeight="1">
      <c r="A382" s="3323" t="s">
        <v>3151</v>
      </c>
      <c r="B382" s="3331" t="s">
        <v>3128</v>
      </c>
      <c r="C382" s="3331" t="s">
        <v>3427</v>
      </c>
      <c r="D382" s="3331" t="s">
        <v>3428</v>
      </c>
      <c r="E382" s="3332">
        <v>23.48</v>
      </c>
      <c r="F382" s="3332">
        <v>360</v>
      </c>
      <c r="G382" s="3333">
        <v>42888</v>
      </c>
      <c r="H382" s="3333">
        <v>43130</v>
      </c>
      <c r="I382" s="3333">
        <v>43190</v>
      </c>
      <c r="J382" s="3324"/>
      <c r="K382" s="3334">
        <f t="shared" si="11"/>
        <v>23.48</v>
      </c>
      <c r="L382" s="3334">
        <f t="shared" si="12"/>
        <v>12</v>
      </c>
    </row>
    <row r="383" spans="1:12" s="3327" customFormat="1" ht="13.5" customHeight="1">
      <c r="A383" s="3335"/>
      <c r="B383" s="3336" t="s">
        <v>3128</v>
      </c>
      <c r="C383" s="3336" t="s">
        <v>3180</v>
      </c>
      <c r="D383" s="3336" t="s">
        <v>3429</v>
      </c>
      <c r="E383" s="3339">
        <v>33</v>
      </c>
      <c r="F383" s="3339">
        <v>330</v>
      </c>
      <c r="G383" s="3340">
        <v>41061</v>
      </c>
      <c r="H383" s="3340">
        <v>41363</v>
      </c>
      <c r="I383" s="3340">
        <v>41364</v>
      </c>
      <c r="J383" s="3336"/>
    </row>
    <row r="384" spans="1:12" s="3327" customFormat="1" ht="13.5" customHeight="1">
      <c r="A384" s="3335"/>
      <c r="B384" s="3336" t="s">
        <v>3128</v>
      </c>
      <c r="C384" s="3336" t="s">
        <v>3335</v>
      </c>
      <c r="D384" s="3336" t="s">
        <v>3430</v>
      </c>
      <c r="E384" s="3339">
        <v>28.8</v>
      </c>
      <c r="F384" s="3339">
        <v>285</v>
      </c>
      <c r="G384" s="3340">
        <v>41000</v>
      </c>
      <c r="H384" s="3340">
        <v>41363</v>
      </c>
      <c r="I384" s="3340">
        <v>41364</v>
      </c>
      <c r="J384" s="3336"/>
    </row>
    <row r="385" spans="1:12" s="3327" customFormat="1" ht="13.5" customHeight="1">
      <c r="A385" s="3323"/>
      <c r="B385" s="3324" t="s">
        <v>3128</v>
      </c>
      <c r="C385" s="3324" t="s">
        <v>3431</v>
      </c>
      <c r="D385" s="3324" t="s">
        <v>3374</v>
      </c>
      <c r="E385" s="3325">
        <v>61.8</v>
      </c>
      <c r="F385" s="3325">
        <v>330</v>
      </c>
      <c r="G385" s="3326">
        <v>41699</v>
      </c>
      <c r="H385" s="3326">
        <v>41820</v>
      </c>
      <c r="I385" s="3326">
        <v>42094</v>
      </c>
      <c r="J385" s="3324"/>
    </row>
    <row r="386" spans="1:12" s="3327" customFormat="1" ht="13.5" customHeight="1">
      <c r="A386" s="3323"/>
      <c r="B386" s="3324" t="s">
        <v>3128</v>
      </c>
      <c r="C386" s="3324" t="s">
        <v>3431</v>
      </c>
      <c r="D386" s="3324" t="s">
        <v>3432</v>
      </c>
      <c r="E386" s="3325">
        <v>28.8</v>
      </c>
      <c r="F386" s="3325">
        <v>330</v>
      </c>
      <c r="G386" s="3326">
        <v>41821</v>
      </c>
      <c r="H386" s="3326">
        <v>42003</v>
      </c>
      <c r="I386" s="3326">
        <v>42094</v>
      </c>
      <c r="J386" s="3324"/>
    </row>
    <row r="387" spans="1:12" s="3327" customFormat="1" ht="13.5" customHeight="1">
      <c r="A387" s="3323"/>
      <c r="B387" s="3324" t="s">
        <v>3128</v>
      </c>
      <c r="C387" s="3324" t="s">
        <v>3431</v>
      </c>
      <c r="D387" s="3324" t="s">
        <v>3432</v>
      </c>
      <c r="E387" s="3325">
        <v>28.8</v>
      </c>
      <c r="F387" s="3325">
        <v>360</v>
      </c>
      <c r="G387" s="3326">
        <v>42005</v>
      </c>
      <c r="H387" s="3326">
        <v>42093</v>
      </c>
      <c r="I387" s="3326">
        <v>42094</v>
      </c>
      <c r="J387" s="3324"/>
    </row>
    <row r="388" spans="1:12" s="3327" customFormat="1" ht="13.5" customHeight="1">
      <c r="A388" s="3323"/>
      <c r="B388" s="3336" t="s">
        <v>3128</v>
      </c>
      <c r="C388" s="3336" t="s">
        <v>3431</v>
      </c>
      <c r="D388" s="3336" t="s">
        <v>3432</v>
      </c>
      <c r="E388" s="3339">
        <v>28.8</v>
      </c>
      <c r="F388" s="3339">
        <v>360</v>
      </c>
      <c r="G388" s="3340">
        <v>42095</v>
      </c>
      <c r="H388" s="3340">
        <v>42154</v>
      </c>
      <c r="I388" s="3340">
        <v>42155</v>
      </c>
      <c r="J388" s="3324"/>
    </row>
    <row r="389" spans="1:12" s="3327" customFormat="1" ht="13.5" customHeight="1">
      <c r="A389" s="3323"/>
      <c r="B389" s="3336" t="s">
        <v>3128</v>
      </c>
      <c r="C389" s="3336" t="s">
        <v>3433</v>
      </c>
      <c r="D389" s="3336" t="s">
        <v>3432</v>
      </c>
      <c r="E389" s="3339">
        <v>31.8</v>
      </c>
      <c r="F389" s="3339">
        <v>350</v>
      </c>
      <c r="G389" s="3340">
        <v>42156</v>
      </c>
      <c r="H389" s="3340">
        <v>42459</v>
      </c>
      <c r="I389" s="3340">
        <v>42460</v>
      </c>
      <c r="J389" s="3324"/>
    </row>
    <row r="390" spans="1:12" s="3327" customFormat="1" ht="13.5" customHeight="1">
      <c r="A390" s="3323"/>
      <c r="B390" s="3336" t="s">
        <v>3128</v>
      </c>
      <c r="C390" s="3336" t="s">
        <v>3433</v>
      </c>
      <c r="D390" s="3336" t="s">
        <v>3432</v>
      </c>
      <c r="E390" s="3339">
        <v>31.8</v>
      </c>
      <c r="F390" s="3339">
        <v>350</v>
      </c>
      <c r="G390" s="3340">
        <v>42461</v>
      </c>
      <c r="H390" s="3340">
        <v>42581</v>
      </c>
      <c r="I390" s="3340">
        <v>42825</v>
      </c>
      <c r="J390" s="3324"/>
    </row>
    <row r="391" spans="1:12" s="3327" customFormat="1" ht="13.5" customHeight="1">
      <c r="A391" s="3323"/>
      <c r="B391" s="3336" t="s">
        <v>3128</v>
      </c>
      <c r="C391" s="3336" t="s">
        <v>3434</v>
      </c>
      <c r="D391" s="3336" t="s">
        <v>3432</v>
      </c>
      <c r="E391" s="3339">
        <v>31.8</v>
      </c>
      <c r="F391" s="3339">
        <v>350</v>
      </c>
      <c r="G391" s="3340">
        <v>42583</v>
      </c>
      <c r="H391" s="3340">
        <v>42824</v>
      </c>
      <c r="I391" s="3340">
        <v>42825</v>
      </c>
      <c r="J391" s="3324"/>
    </row>
    <row r="392" spans="1:12" s="3327" customFormat="1" ht="13.5" customHeight="1">
      <c r="A392" s="3323"/>
      <c r="B392" s="3331" t="s">
        <v>3128</v>
      </c>
      <c r="C392" s="3331" t="s">
        <v>3434</v>
      </c>
      <c r="D392" s="3331" t="s">
        <v>3435</v>
      </c>
      <c r="E392" s="3332">
        <v>31.8</v>
      </c>
      <c r="F392" s="3332">
        <v>360</v>
      </c>
      <c r="G392" s="3333">
        <v>42826</v>
      </c>
      <c r="H392" s="3333">
        <v>42885</v>
      </c>
      <c r="I392" s="3333">
        <v>43190</v>
      </c>
      <c r="J392" s="3324"/>
      <c r="K392" s="3334">
        <f t="shared" ref="K392:K393" si="13">E392</f>
        <v>31.8</v>
      </c>
      <c r="L392" s="3334">
        <f t="shared" ref="L392:L393" si="14">F392/30</f>
        <v>12</v>
      </c>
    </row>
    <row r="393" spans="1:12" s="3327" customFormat="1" ht="13.5" customHeight="1">
      <c r="A393" s="3323" t="s">
        <v>3151</v>
      </c>
      <c r="B393" s="3331" t="s">
        <v>3128</v>
      </c>
      <c r="C393" s="3331" t="s">
        <v>3346</v>
      </c>
      <c r="D393" s="3331" t="s">
        <v>3435</v>
      </c>
      <c r="E393" s="3332">
        <v>31.8</v>
      </c>
      <c r="F393" s="3332">
        <v>360</v>
      </c>
      <c r="G393" s="3333">
        <v>42887</v>
      </c>
      <c r="H393" s="3333">
        <v>43130</v>
      </c>
      <c r="I393" s="3333">
        <v>43190</v>
      </c>
      <c r="J393" s="3324"/>
      <c r="K393" s="3334">
        <f t="shared" si="13"/>
        <v>31.8</v>
      </c>
      <c r="L393" s="3334">
        <f t="shared" si="14"/>
        <v>12</v>
      </c>
    </row>
    <row r="394" spans="1:12" s="3327" customFormat="1" ht="12.75" customHeight="1">
      <c r="A394" s="3323"/>
      <c r="B394" s="3324" t="s">
        <v>3128</v>
      </c>
      <c r="C394" s="3324" t="s">
        <v>3431</v>
      </c>
      <c r="D394" s="3324" t="s">
        <v>3435</v>
      </c>
      <c r="E394" s="3325">
        <v>33</v>
      </c>
      <c r="F394" s="3325">
        <v>330</v>
      </c>
      <c r="G394" s="3326">
        <v>41821</v>
      </c>
      <c r="H394" s="3326">
        <v>42003</v>
      </c>
      <c r="I394" s="3326">
        <v>42094</v>
      </c>
      <c r="J394" s="3324"/>
    </row>
    <row r="395" spans="1:12" s="3327" customFormat="1" ht="12.75" customHeight="1">
      <c r="A395" s="3323"/>
      <c r="B395" s="3324" t="s">
        <v>3128</v>
      </c>
      <c r="C395" s="3324" t="s">
        <v>3431</v>
      </c>
      <c r="D395" s="3324" t="s">
        <v>3435</v>
      </c>
      <c r="E395" s="3325">
        <v>33</v>
      </c>
      <c r="F395" s="3325">
        <v>360</v>
      </c>
      <c r="G395" s="3326">
        <v>42005</v>
      </c>
      <c r="H395" s="3326">
        <v>42093</v>
      </c>
      <c r="I395" s="3326">
        <v>42094</v>
      </c>
      <c r="J395" s="3324"/>
    </row>
    <row r="396" spans="1:12" s="3327" customFormat="1" ht="12.75" customHeight="1">
      <c r="A396" s="3323"/>
      <c r="B396" s="3336" t="s">
        <v>3128</v>
      </c>
      <c r="C396" s="3336" t="s">
        <v>3431</v>
      </c>
      <c r="D396" s="3336" t="s">
        <v>3435</v>
      </c>
      <c r="E396" s="3339">
        <v>33</v>
      </c>
      <c r="F396" s="3339">
        <v>360</v>
      </c>
      <c r="G396" s="3340">
        <v>42095</v>
      </c>
      <c r="H396" s="3340">
        <v>42154</v>
      </c>
      <c r="I396" s="3340">
        <v>42155</v>
      </c>
      <c r="J396" s="3324"/>
    </row>
    <row r="397" spans="1:12" s="3327" customFormat="1" ht="12.75" customHeight="1">
      <c r="A397" s="3323"/>
      <c r="B397" s="3336" t="s">
        <v>3128</v>
      </c>
      <c r="C397" s="3336" t="s">
        <v>3436</v>
      </c>
      <c r="D397" s="3336" t="s">
        <v>3435</v>
      </c>
      <c r="E397" s="3339">
        <v>30</v>
      </c>
      <c r="F397" s="3339">
        <v>360</v>
      </c>
      <c r="G397" s="3340">
        <v>42156</v>
      </c>
      <c r="H397" s="3340">
        <v>42459</v>
      </c>
      <c r="I397" s="3340">
        <v>42460</v>
      </c>
      <c r="J397" s="3324"/>
    </row>
    <row r="398" spans="1:12" s="3327" customFormat="1" ht="12.75" customHeight="1">
      <c r="A398" s="3323"/>
      <c r="B398" s="3336" t="s">
        <v>3128</v>
      </c>
      <c r="C398" s="3336" t="s">
        <v>3436</v>
      </c>
      <c r="D398" s="3336" t="s">
        <v>3435</v>
      </c>
      <c r="E398" s="3339">
        <v>30</v>
      </c>
      <c r="F398" s="3339">
        <v>360</v>
      </c>
      <c r="G398" s="3340">
        <v>42461</v>
      </c>
      <c r="H398" s="3340">
        <v>42824</v>
      </c>
      <c r="I398" s="3340">
        <v>42825</v>
      </c>
      <c r="J398" s="3324"/>
    </row>
    <row r="399" spans="1:12" s="3327" customFormat="1" ht="12.75" customHeight="1">
      <c r="A399" s="3323" t="s">
        <v>3151</v>
      </c>
      <c r="B399" s="3331" t="s">
        <v>3128</v>
      </c>
      <c r="C399" s="3331" t="s">
        <v>3436</v>
      </c>
      <c r="D399" s="3331" t="s">
        <v>3432</v>
      </c>
      <c r="E399" s="3332">
        <v>30</v>
      </c>
      <c r="F399" s="3332">
        <v>380</v>
      </c>
      <c r="G399" s="3333">
        <v>42826</v>
      </c>
      <c r="H399" s="3333">
        <v>43130</v>
      </c>
      <c r="I399" s="3333">
        <v>43190</v>
      </c>
      <c r="J399" s="3324"/>
      <c r="K399" s="3334">
        <f>E399</f>
        <v>30</v>
      </c>
      <c r="L399" s="3334">
        <f>F399/30</f>
        <v>12.666666666666666</v>
      </c>
    </row>
    <row r="400" spans="1:12" s="3327" customFormat="1" ht="12.75" customHeight="1">
      <c r="A400" s="3335"/>
      <c r="B400" s="3336" t="s">
        <v>3128</v>
      </c>
      <c r="C400" s="3336" t="s">
        <v>3437</v>
      </c>
      <c r="D400" s="3336" t="s">
        <v>3438</v>
      </c>
      <c r="E400" s="3339">
        <v>59.5</v>
      </c>
      <c r="F400" s="3339">
        <v>340</v>
      </c>
      <c r="G400" s="3340">
        <v>41000</v>
      </c>
      <c r="H400" s="3340">
        <v>41363</v>
      </c>
      <c r="I400" s="3340">
        <v>41364</v>
      </c>
      <c r="J400" s="3336"/>
    </row>
    <row r="401" spans="1:12" s="3327" customFormat="1" ht="12.75" customHeight="1">
      <c r="A401" s="3323"/>
      <c r="B401" s="3324" t="s">
        <v>3128</v>
      </c>
      <c r="C401" s="3324" t="s">
        <v>3439</v>
      </c>
      <c r="D401" s="3324" t="s">
        <v>3256</v>
      </c>
      <c r="E401" s="3325">
        <v>59.5</v>
      </c>
      <c r="F401" s="3325">
        <v>340</v>
      </c>
      <c r="G401" s="3326">
        <v>41699</v>
      </c>
      <c r="H401" s="3326">
        <v>42093</v>
      </c>
      <c r="I401" s="3326">
        <v>42094</v>
      </c>
      <c r="J401" s="3324"/>
    </row>
    <row r="402" spans="1:12" s="3327" customFormat="1" ht="12.75" customHeight="1">
      <c r="A402" s="3323"/>
      <c r="B402" s="3336" t="s">
        <v>3128</v>
      </c>
      <c r="C402" s="3336" t="s">
        <v>3439</v>
      </c>
      <c r="D402" s="3336" t="s">
        <v>3256</v>
      </c>
      <c r="E402" s="3339">
        <v>59.5</v>
      </c>
      <c r="F402" s="3339">
        <v>370</v>
      </c>
      <c r="G402" s="3340">
        <v>42095</v>
      </c>
      <c r="H402" s="3340">
        <v>42154</v>
      </c>
      <c r="I402" s="3340">
        <v>42155</v>
      </c>
      <c r="J402" s="3324"/>
    </row>
    <row r="403" spans="1:12" s="3327" customFormat="1" ht="12.75" customHeight="1">
      <c r="A403" s="3323"/>
      <c r="B403" s="3336" t="s">
        <v>3128</v>
      </c>
      <c r="C403" s="3336" t="s">
        <v>3440</v>
      </c>
      <c r="D403" s="3336" t="s">
        <v>3256</v>
      </c>
      <c r="E403" s="3339">
        <v>59.5</v>
      </c>
      <c r="F403" s="3339">
        <v>370</v>
      </c>
      <c r="G403" s="3340">
        <v>42156</v>
      </c>
      <c r="H403" s="3340">
        <v>42185</v>
      </c>
      <c r="I403" s="3340">
        <v>42460</v>
      </c>
      <c r="J403" s="3324"/>
    </row>
    <row r="404" spans="1:12" s="3327" customFormat="1" ht="12.75" customHeight="1">
      <c r="A404" s="3323"/>
      <c r="B404" s="3336" t="s">
        <v>3128</v>
      </c>
      <c r="C404" s="3336" t="s">
        <v>3441</v>
      </c>
      <c r="D404" s="3336" t="s">
        <v>3256</v>
      </c>
      <c r="E404" s="3339">
        <v>59.5</v>
      </c>
      <c r="F404" s="3339">
        <v>370</v>
      </c>
      <c r="G404" s="3340">
        <v>42186</v>
      </c>
      <c r="H404" s="3340">
        <v>42459</v>
      </c>
      <c r="I404" s="3340">
        <v>42460</v>
      </c>
      <c r="J404" s="3324"/>
    </row>
    <row r="405" spans="1:12" s="3327" customFormat="1" ht="12.75" customHeight="1">
      <c r="A405" s="3323"/>
      <c r="B405" s="3336" t="s">
        <v>3128</v>
      </c>
      <c r="C405" s="3336" t="s">
        <v>3441</v>
      </c>
      <c r="D405" s="3336" t="s">
        <v>3256</v>
      </c>
      <c r="E405" s="3339">
        <v>59.5</v>
      </c>
      <c r="F405" s="3339">
        <v>385</v>
      </c>
      <c r="G405" s="3340">
        <v>42461</v>
      </c>
      <c r="H405" s="3340">
        <v>42824</v>
      </c>
      <c r="I405" s="3340">
        <v>42825</v>
      </c>
      <c r="J405" s="3324"/>
    </row>
    <row r="406" spans="1:12" s="3327" customFormat="1" ht="12.75" customHeight="1">
      <c r="A406" s="3323" t="s">
        <v>3151</v>
      </c>
      <c r="B406" s="3331" t="s">
        <v>3128</v>
      </c>
      <c r="C406" s="3331" t="s">
        <v>3441</v>
      </c>
      <c r="D406" s="3331" t="s">
        <v>3442</v>
      </c>
      <c r="E406" s="3332">
        <v>59.5</v>
      </c>
      <c r="F406" s="3332">
        <v>410</v>
      </c>
      <c r="G406" s="3333">
        <v>42826</v>
      </c>
      <c r="H406" s="3333">
        <v>43130</v>
      </c>
      <c r="I406" s="3333">
        <v>43190</v>
      </c>
      <c r="J406" s="3324"/>
      <c r="K406" s="3334">
        <f>E406</f>
        <v>59.5</v>
      </c>
      <c r="L406" s="3334">
        <f>F406/30</f>
        <v>13.666666666666666</v>
      </c>
    </row>
    <row r="407" spans="1:12" s="3327" customFormat="1" ht="13.5" customHeight="1">
      <c r="A407" s="3335"/>
      <c r="B407" s="3336" t="s">
        <v>3128</v>
      </c>
      <c r="C407" s="3336" t="s">
        <v>3443</v>
      </c>
      <c r="D407" s="3336" t="s">
        <v>3444</v>
      </c>
      <c r="E407" s="3339">
        <v>160</v>
      </c>
      <c r="F407" s="3339">
        <v>400</v>
      </c>
      <c r="G407" s="3340">
        <v>41000</v>
      </c>
      <c r="H407" s="3340">
        <v>41363</v>
      </c>
      <c r="I407" s="3340">
        <v>41364</v>
      </c>
      <c r="J407" s="3336"/>
    </row>
    <row r="408" spans="1:12" s="3327" customFormat="1" ht="13.5" customHeight="1">
      <c r="A408" s="3323"/>
      <c r="B408" s="3324" t="s">
        <v>3128</v>
      </c>
      <c r="C408" s="3324" t="s">
        <v>3443</v>
      </c>
      <c r="D408" s="3324" t="s">
        <v>3445</v>
      </c>
      <c r="E408" s="3325">
        <v>160</v>
      </c>
      <c r="F408" s="3325">
        <v>400</v>
      </c>
      <c r="G408" s="3326">
        <v>41730</v>
      </c>
      <c r="H408" s="3326">
        <v>42093</v>
      </c>
      <c r="I408" s="3326">
        <v>42094</v>
      </c>
      <c r="J408" s="3324"/>
    </row>
    <row r="409" spans="1:12" s="3327" customFormat="1" ht="13.5" customHeight="1">
      <c r="A409" s="3323"/>
      <c r="B409" s="3336" t="s">
        <v>3128</v>
      </c>
      <c r="C409" s="3336" t="s">
        <v>3443</v>
      </c>
      <c r="D409" s="3336" t="s">
        <v>3445</v>
      </c>
      <c r="E409" s="3339">
        <v>160</v>
      </c>
      <c r="F409" s="3339">
        <v>405</v>
      </c>
      <c r="G409" s="3340">
        <v>42095</v>
      </c>
      <c r="H409" s="3340">
        <v>42194</v>
      </c>
      <c r="I409" s="3340">
        <v>42460</v>
      </c>
      <c r="J409" s="3324"/>
    </row>
    <row r="410" spans="1:12" s="3327" customFormat="1" ht="13.5" customHeight="1">
      <c r="A410" s="3323"/>
      <c r="B410" s="3336" t="s">
        <v>3128</v>
      </c>
      <c r="C410" s="3336" t="s">
        <v>3443</v>
      </c>
      <c r="D410" s="3336" t="s">
        <v>3445</v>
      </c>
      <c r="E410" s="3339">
        <v>160</v>
      </c>
      <c r="F410" s="3339">
        <v>405</v>
      </c>
      <c r="G410" s="3340">
        <v>42195</v>
      </c>
      <c r="H410" s="3340">
        <v>42459</v>
      </c>
      <c r="I410" s="3340">
        <v>42460</v>
      </c>
      <c r="J410" s="3324"/>
    </row>
    <row r="411" spans="1:12" s="3327" customFormat="1" ht="13.5" customHeight="1">
      <c r="A411" s="3323"/>
      <c r="B411" s="3336" t="s">
        <v>3128</v>
      </c>
      <c r="C411" s="3336" t="s">
        <v>3443</v>
      </c>
      <c r="D411" s="3336" t="s">
        <v>3445</v>
      </c>
      <c r="E411" s="3339">
        <v>160</v>
      </c>
      <c r="F411" s="3339">
        <v>410</v>
      </c>
      <c r="G411" s="3340">
        <v>42461</v>
      </c>
      <c r="H411" s="3340">
        <v>42520</v>
      </c>
      <c r="I411" s="3340">
        <v>42825</v>
      </c>
      <c r="J411" s="3324"/>
    </row>
    <row r="412" spans="1:12" s="3327" customFormat="1" ht="13.5" customHeight="1">
      <c r="A412" s="3323"/>
      <c r="B412" s="3336" t="s">
        <v>3128</v>
      </c>
      <c r="C412" s="3336" t="s">
        <v>3446</v>
      </c>
      <c r="D412" s="3336" t="s">
        <v>3447</v>
      </c>
      <c r="E412" s="3339">
        <v>102.3</v>
      </c>
      <c r="F412" s="3339">
        <v>410</v>
      </c>
      <c r="G412" s="3340">
        <v>42522</v>
      </c>
      <c r="H412" s="3340">
        <v>42734</v>
      </c>
      <c r="I412" s="3340">
        <v>42825</v>
      </c>
      <c r="J412" s="3324"/>
    </row>
    <row r="413" spans="1:12" s="3327" customFormat="1" ht="13.5" customHeight="1">
      <c r="A413" s="3323"/>
      <c r="B413" s="3336" t="s">
        <v>3128</v>
      </c>
      <c r="C413" s="3336" t="s">
        <v>3448</v>
      </c>
      <c r="D413" s="3336" t="s">
        <v>3447</v>
      </c>
      <c r="E413" s="3339">
        <v>102.3</v>
      </c>
      <c r="F413" s="3339">
        <v>410</v>
      </c>
      <c r="G413" s="3340">
        <v>42736</v>
      </c>
      <c r="H413" s="3340">
        <v>42824</v>
      </c>
      <c r="I413" s="3340">
        <v>42825</v>
      </c>
      <c r="J413" s="3324"/>
    </row>
    <row r="414" spans="1:12" s="3327" customFormat="1" ht="13.5" customHeight="1">
      <c r="A414" s="3323"/>
      <c r="B414" s="3331" t="s">
        <v>3128</v>
      </c>
      <c r="C414" s="3331" t="s">
        <v>3448</v>
      </c>
      <c r="D414" s="3331" t="s">
        <v>3447</v>
      </c>
      <c r="E414" s="3332">
        <v>102.3</v>
      </c>
      <c r="F414" s="3332">
        <v>410</v>
      </c>
      <c r="G414" s="3333">
        <v>42826</v>
      </c>
      <c r="H414" s="3333">
        <v>42983</v>
      </c>
      <c r="I414" s="3333">
        <v>43190</v>
      </c>
      <c r="J414" s="3324"/>
      <c r="K414" s="3334">
        <f t="shared" ref="K414:K415" si="15">E414</f>
        <v>102.3</v>
      </c>
      <c r="L414" s="3334">
        <f t="shared" ref="L414:L415" si="16">F414/30</f>
        <v>13.666666666666666</v>
      </c>
    </row>
    <row r="415" spans="1:12" s="3327" customFormat="1" ht="13.5" customHeight="1">
      <c r="A415" s="3323" t="s">
        <v>3151</v>
      </c>
      <c r="B415" s="3331" t="s">
        <v>3128</v>
      </c>
      <c r="C415" s="3331" t="s">
        <v>3448</v>
      </c>
      <c r="D415" s="3331" t="s">
        <v>3447</v>
      </c>
      <c r="E415" s="3332">
        <v>102.3</v>
      </c>
      <c r="F415" s="3332">
        <v>410</v>
      </c>
      <c r="G415" s="3333">
        <v>42984</v>
      </c>
      <c r="H415" s="3333">
        <v>43130</v>
      </c>
      <c r="I415" s="3333">
        <v>43190</v>
      </c>
      <c r="J415" s="3324"/>
      <c r="K415" s="3334">
        <f t="shared" si="15"/>
        <v>102.3</v>
      </c>
      <c r="L415" s="3334">
        <f t="shared" si="16"/>
        <v>13.666666666666666</v>
      </c>
    </row>
    <row r="416" spans="1:12" s="3327" customFormat="1" ht="13.5" customHeight="1">
      <c r="A416" s="3323"/>
      <c r="B416" s="3336" t="s">
        <v>3128</v>
      </c>
      <c r="C416" s="3336" t="s">
        <v>3449</v>
      </c>
      <c r="D416" s="3336" t="s">
        <v>3450</v>
      </c>
      <c r="E416" s="3339">
        <v>57.7</v>
      </c>
      <c r="F416" s="3339">
        <v>410</v>
      </c>
      <c r="G416" s="3340">
        <v>42522</v>
      </c>
      <c r="H416" s="3340">
        <v>42824</v>
      </c>
      <c r="I416" s="3340">
        <v>42825</v>
      </c>
      <c r="J416" s="3324"/>
    </row>
    <row r="417" spans="1:12" s="3327" customFormat="1" ht="13.5" customHeight="1">
      <c r="A417" s="3323" t="s">
        <v>3151</v>
      </c>
      <c r="B417" s="3331" t="s">
        <v>3128</v>
      </c>
      <c r="C417" s="3331" t="s">
        <v>3218</v>
      </c>
      <c r="D417" s="3331" t="s">
        <v>3450</v>
      </c>
      <c r="E417" s="3332">
        <v>57.7</v>
      </c>
      <c r="F417" s="3332">
        <v>410</v>
      </c>
      <c r="G417" s="3333">
        <v>42826</v>
      </c>
      <c r="H417" s="3333">
        <v>43130</v>
      </c>
      <c r="I417" s="3333">
        <v>43190</v>
      </c>
      <c r="J417" s="3324"/>
      <c r="K417" s="3334">
        <f>E417</f>
        <v>57.7</v>
      </c>
      <c r="L417" s="3334">
        <f>F417/30</f>
        <v>13.666666666666666</v>
      </c>
    </row>
    <row r="418" spans="1:12" s="3327" customFormat="1" ht="13.5" customHeight="1">
      <c r="A418" s="3323"/>
      <c r="B418" s="3324" t="s">
        <v>3128</v>
      </c>
      <c r="C418" s="3324" t="s">
        <v>3451</v>
      </c>
      <c r="D418" s="3324" t="s">
        <v>3452</v>
      </c>
      <c r="E418" s="3325">
        <v>118.1</v>
      </c>
      <c r="F418" s="3325">
        <v>300</v>
      </c>
      <c r="G418" s="3326">
        <v>41730</v>
      </c>
      <c r="H418" s="3326">
        <v>42093</v>
      </c>
      <c r="I418" s="3326">
        <v>42094</v>
      </c>
      <c r="J418" s="3324"/>
    </row>
    <row r="419" spans="1:12" s="3327" customFormat="1" ht="13.5" customHeight="1">
      <c r="A419" s="3323"/>
      <c r="B419" s="3336" t="s">
        <v>3128</v>
      </c>
      <c r="C419" s="3336" t="s">
        <v>3451</v>
      </c>
      <c r="D419" s="3336" t="s">
        <v>3452</v>
      </c>
      <c r="E419" s="3339">
        <v>118.1</v>
      </c>
      <c r="F419" s="3339">
        <v>300</v>
      </c>
      <c r="G419" s="3340">
        <v>42095</v>
      </c>
      <c r="H419" s="3340">
        <v>42154</v>
      </c>
      <c r="I419" s="3340">
        <v>42155</v>
      </c>
      <c r="J419" s="3324"/>
    </row>
    <row r="420" spans="1:12" s="3327" customFormat="1" ht="13.5" customHeight="1">
      <c r="A420" s="3323"/>
      <c r="B420" s="3336" t="s">
        <v>3128</v>
      </c>
      <c r="C420" s="3336" t="s">
        <v>3453</v>
      </c>
      <c r="D420" s="3336" t="s">
        <v>3452</v>
      </c>
      <c r="E420" s="3339">
        <v>118.1</v>
      </c>
      <c r="F420" s="3339">
        <v>360</v>
      </c>
      <c r="G420" s="3340">
        <v>42156</v>
      </c>
      <c r="H420" s="3340">
        <v>42215</v>
      </c>
      <c r="I420" s="3340">
        <v>42460</v>
      </c>
      <c r="J420" s="3324"/>
    </row>
    <row r="421" spans="1:12" s="3327" customFormat="1" ht="13.5" customHeight="1">
      <c r="A421" s="3323"/>
      <c r="B421" s="3336" t="s">
        <v>3128</v>
      </c>
      <c r="C421" s="3336" t="s">
        <v>3453</v>
      </c>
      <c r="D421" s="3336" t="s">
        <v>3452</v>
      </c>
      <c r="E421" s="3338">
        <v>104</v>
      </c>
      <c r="F421" s="3339">
        <v>360</v>
      </c>
      <c r="G421" s="3340">
        <v>42217</v>
      </c>
      <c r="H421" s="3340">
        <v>42459</v>
      </c>
      <c r="I421" s="3340">
        <v>42460</v>
      </c>
      <c r="J421" s="3324"/>
    </row>
    <row r="422" spans="1:12" s="3327" customFormat="1" ht="13.5" customHeight="1">
      <c r="A422" s="3323"/>
      <c r="B422" s="3336" t="s">
        <v>3128</v>
      </c>
      <c r="C422" s="3336" t="s">
        <v>3453</v>
      </c>
      <c r="D422" s="3336" t="s">
        <v>3452</v>
      </c>
      <c r="E422" s="3339">
        <v>104</v>
      </c>
      <c r="F422" s="3339">
        <v>375</v>
      </c>
      <c r="G422" s="3340">
        <v>42461</v>
      </c>
      <c r="H422" s="3340">
        <v>42824</v>
      </c>
      <c r="I422" s="3340">
        <v>42825</v>
      </c>
      <c r="J422" s="3324"/>
    </row>
    <row r="423" spans="1:12" s="3327" customFormat="1" ht="13.5" customHeight="1">
      <c r="A423" s="3323" t="s">
        <v>3151</v>
      </c>
      <c r="B423" s="3331" t="s">
        <v>3128</v>
      </c>
      <c r="C423" s="3331" t="s">
        <v>3453</v>
      </c>
      <c r="D423" s="3331" t="s">
        <v>3452</v>
      </c>
      <c r="E423" s="3332">
        <v>104</v>
      </c>
      <c r="F423" s="3332">
        <v>410</v>
      </c>
      <c r="G423" s="3333">
        <v>42826</v>
      </c>
      <c r="H423" s="3333">
        <v>43130</v>
      </c>
      <c r="I423" s="3333">
        <v>43190</v>
      </c>
      <c r="J423" s="3324"/>
      <c r="K423" s="3334">
        <f>E423</f>
        <v>104</v>
      </c>
      <c r="L423" s="3334">
        <f>F423/30</f>
        <v>13.666666666666666</v>
      </c>
    </row>
    <row r="424" spans="1:12" s="3327" customFormat="1" ht="13.5" customHeight="1">
      <c r="A424" s="3335"/>
      <c r="B424" s="3336" t="s">
        <v>3128</v>
      </c>
      <c r="C424" s="3336" t="s">
        <v>3454</v>
      </c>
      <c r="D424" s="3336" t="s">
        <v>3455</v>
      </c>
      <c r="E424" s="3339">
        <v>106.8</v>
      </c>
      <c r="F424" s="3339">
        <v>345</v>
      </c>
      <c r="G424" s="3340">
        <v>41365</v>
      </c>
      <c r="H424" s="3340">
        <v>41728</v>
      </c>
      <c r="I424" s="3340">
        <v>41729</v>
      </c>
      <c r="J424" s="3336"/>
    </row>
    <row r="425" spans="1:12" s="3327" customFormat="1" ht="12.75" customHeight="1">
      <c r="A425" s="3323"/>
      <c r="B425" s="3324" t="s">
        <v>3128</v>
      </c>
      <c r="C425" s="3324" t="s">
        <v>3454</v>
      </c>
      <c r="D425" s="3324" t="s">
        <v>3455</v>
      </c>
      <c r="E425" s="3325">
        <v>106.8</v>
      </c>
      <c r="F425" s="3325">
        <v>345</v>
      </c>
      <c r="G425" s="3326">
        <v>41730</v>
      </c>
      <c r="H425" s="3326">
        <v>42003</v>
      </c>
      <c r="I425" s="3326">
        <v>42094</v>
      </c>
      <c r="J425" s="3324"/>
    </row>
    <row r="426" spans="1:12" s="3327" customFormat="1" ht="12.75" customHeight="1">
      <c r="A426" s="3323"/>
      <c r="B426" s="3324" t="s">
        <v>3128</v>
      </c>
      <c r="C426" s="3324" t="s">
        <v>3454</v>
      </c>
      <c r="D426" s="3324" t="s">
        <v>3455</v>
      </c>
      <c r="E426" s="3325">
        <v>106.8</v>
      </c>
      <c r="F426" s="3325">
        <v>350</v>
      </c>
      <c r="G426" s="3326">
        <v>42005</v>
      </c>
      <c r="H426" s="3326">
        <v>42093</v>
      </c>
      <c r="I426" s="3326">
        <v>42094</v>
      </c>
      <c r="J426" s="3324"/>
    </row>
    <row r="427" spans="1:12" s="3327" customFormat="1" ht="12.75" customHeight="1">
      <c r="A427" s="3323"/>
      <c r="B427" s="3336" t="s">
        <v>3128</v>
      </c>
      <c r="C427" s="3336" t="s">
        <v>3454</v>
      </c>
      <c r="D427" s="3336" t="s">
        <v>3455</v>
      </c>
      <c r="E427" s="3339">
        <v>106.8</v>
      </c>
      <c r="F427" s="3339">
        <v>350</v>
      </c>
      <c r="G427" s="3340">
        <v>42095</v>
      </c>
      <c r="H427" s="3340">
        <v>42154</v>
      </c>
      <c r="I427" s="3340">
        <v>42155</v>
      </c>
      <c r="J427" s="3324"/>
    </row>
    <row r="428" spans="1:12" s="3327" customFormat="1" ht="14.25" customHeight="1">
      <c r="A428" s="3323"/>
      <c r="B428" s="3336" t="s">
        <v>3128</v>
      </c>
      <c r="C428" s="3336" t="s">
        <v>3456</v>
      </c>
      <c r="D428" s="3336" t="s">
        <v>3455</v>
      </c>
      <c r="E428" s="3339">
        <v>53.8</v>
      </c>
      <c r="F428" s="3339">
        <v>360</v>
      </c>
      <c r="G428" s="3340">
        <v>42156</v>
      </c>
      <c r="H428" s="3340">
        <v>42187</v>
      </c>
      <c r="I428" s="3340">
        <v>42460</v>
      </c>
      <c r="J428" s="3324"/>
    </row>
    <row r="429" spans="1:12" s="3327" customFormat="1" ht="12.75" customHeight="1">
      <c r="A429" s="3323"/>
      <c r="B429" s="3336" t="s">
        <v>3128</v>
      </c>
      <c r="C429" s="3336" t="s">
        <v>3457</v>
      </c>
      <c r="D429" s="3336" t="s">
        <v>3455</v>
      </c>
      <c r="E429" s="3339">
        <v>53.8</v>
      </c>
      <c r="F429" s="3339">
        <v>360</v>
      </c>
      <c r="G429" s="3340">
        <v>42188</v>
      </c>
      <c r="H429" s="3340">
        <v>42459</v>
      </c>
      <c r="I429" s="3340">
        <v>42460</v>
      </c>
      <c r="J429" s="3324"/>
    </row>
    <row r="430" spans="1:12" s="3327" customFormat="1" ht="12.75" customHeight="1">
      <c r="A430" s="3323"/>
      <c r="B430" s="3336" t="s">
        <v>3128</v>
      </c>
      <c r="C430" s="3336" t="s">
        <v>3457</v>
      </c>
      <c r="D430" s="3336" t="s">
        <v>3455</v>
      </c>
      <c r="E430" s="3339">
        <v>53.8</v>
      </c>
      <c r="F430" s="3339">
        <v>370</v>
      </c>
      <c r="G430" s="3340">
        <v>42461</v>
      </c>
      <c r="H430" s="3340">
        <v>42520</v>
      </c>
      <c r="I430" s="3340">
        <v>42825</v>
      </c>
      <c r="J430" s="3324"/>
    </row>
    <row r="431" spans="1:12" s="3327" customFormat="1" ht="12.75" customHeight="1">
      <c r="A431" s="3323"/>
      <c r="B431" s="3336" t="s">
        <v>3128</v>
      </c>
      <c r="C431" s="3336" t="s">
        <v>3458</v>
      </c>
      <c r="D431" s="3336" t="s">
        <v>3455</v>
      </c>
      <c r="E431" s="3339">
        <v>53.8</v>
      </c>
      <c r="F431" s="3339">
        <v>370</v>
      </c>
      <c r="G431" s="3340">
        <v>42522</v>
      </c>
      <c r="H431" s="3340">
        <v>42810</v>
      </c>
      <c r="I431" s="3340">
        <v>42825</v>
      </c>
      <c r="J431" s="3324"/>
    </row>
    <row r="432" spans="1:12" s="3327" customFormat="1" ht="12.75" customHeight="1">
      <c r="A432" s="3323" t="s">
        <v>3151</v>
      </c>
      <c r="B432" s="3331" t="s">
        <v>3128</v>
      </c>
      <c r="C432" s="3331" t="s">
        <v>3459</v>
      </c>
      <c r="D432" s="3331" t="s">
        <v>3455</v>
      </c>
      <c r="E432" s="3332">
        <v>53.8</v>
      </c>
      <c r="F432" s="3332">
        <v>370</v>
      </c>
      <c r="G432" s="3333">
        <v>42841</v>
      </c>
      <c r="H432" s="3333">
        <v>43130</v>
      </c>
      <c r="I432" s="3333">
        <v>43190</v>
      </c>
      <c r="J432" s="3324"/>
      <c r="K432" s="3334">
        <f>E432</f>
        <v>53.8</v>
      </c>
      <c r="L432" s="3334">
        <f>F432/30</f>
        <v>12.333333333333334</v>
      </c>
    </row>
    <row r="433" spans="1:12" s="3327" customFormat="1" ht="12.75" customHeight="1">
      <c r="A433" s="3323"/>
      <c r="B433" s="3336" t="s">
        <v>3128</v>
      </c>
      <c r="C433" s="3336" t="s">
        <v>3460</v>
      </c>
      <c r="D433" s="3336" t="s">
        <v>3461</v>
      </c>
      <c r="E433" s="3339">
        <v>53</v>
      </c>
      <c r="F433" s="3339">
        <v>370</v>
      </c>
      <c r="G433" s="3340">
        <v>42156</v>
      </c>
      <c r="H433" s="3340">
        <v>42215</v>
      </c>
      <c r="I433" s="3340">
        <v>42460</v>
      </c>
      <c r="J433" s="3324"/>
    </row>
    <row r="434" spans="1:12" s="3327" customFormat="1" ht="12.75" customHeight="1">
      <c r="A434" s="3323"/>
      <c r="B434" s="3336" t="s">
        <v>3128</v>
      </c>
      <c r="C434" s="3336" t="s">
        <v>3158</v>
      </c>
      <c r="D434" s="3336" t="s">
        <v>3461</v>
      </c>
      <c r="E434" s="3339">
        <v>53</v>
      </c>
      <c r="F434" s="3339">
        <v>370</v>
      </c>
      <c r="G434" s="3340">
        <v>42217</v>
      </c>
      <c r="H434" s="3340">
        <v>42459</v>
      </c>
      <c r="I434" s="3340">
        <v>42460</v>
      </c>
      <c r="J434" s="3324"/>
    </row>
    <row r="435" spans="1:12" s="3327" customFormat="1" ht="12.75" customHeight="1">
      <c r="A435" s="3323"/>
      <c r="B435" s="3336" t="s">
        <v>3128</v>
      </c>
      <c r="C435" s="3336" t="s">
        <v>3158</v>
      </c>
      <c r="D435" s="3336" t="s">
        <v>3461</v>
      </c>
      <c r="E435" s="3339">
        <v>53</v>
      </c>
      <c r="F435" s="3339">
        <v>385</v>
      </c>
      <c r="G435" s="3340">
        <v>42461</v>
      </c>
      <c r="H435" s="3340">
        <v>42520</v>
      </c>
      <c r="I435" s="3340">
        <v>42825</v>
      </c>
      <c r="J435" s="3324"/>
    </row>
    <row r="436" spans="1:12" s="3327" customFormat="1" ht="12.75" customHeight="1">
      <c r="A436" s="3323"/>
      <c r="B436" s="3336" t="s">
        <v>3128</v>
      </c>
      <c r="C436" s="3336" t="s">
        <v>3462</v>
      </c>
      <c r="D436" s="3336" t="s">
        <v>3461</v>
      </c>
      <c r="E436" s="3339">
        <v>53</v>
      </c>
      <c r="F436" s="3339">
        <v>385</v>
      </c>
      <c r="G436" s="3340">
        <v>42522</v>
      </c>
      <c r="H436" s="3340">
        <v>42824</v>
      </c>
      <c r="I436" s="3340">
        <v>42825</v>
      </c>
      <c r="J436" s="3324"/>
    </row>
    <row r="437" spans="1:12" s="3327" customFormat="1" ht="12.75" customHeight="1">
      <c r="A437" s="3323" t="s">
        <v>3151</v>
      </c>
      <c r="B437" s="3331" t="s">
        <v>3128</v>
      </c>
      <c r="C437" s="3331" t="s">
        <v>3462</v>
      </c>
      <c r="D437" s="3331" t="s">
        <v>3461</v>
      </c>
      <c r="E437" s="3332">
        <v>53</v>
      </c>
      <c r="F437" s="3332">
        <v>390</v>
      </c>
      <c r="G437" s="3333">
        <v>42826</v>
      </c>
      <c r="H437" s="3333">
        <v>43130</v>
      </c>
      <c r="I437" s="3333">
        <v>43190</v>
      </c>
      <c r="J437" s="3324"/>
      <c r="K437" s="3334">
        <f>E437</f>
        <v>53</v>
      </c>
      <c r="L437" s="3334">
        <f>F437/30</f>
        <v>13</v>
      </c>
    </row>
    <row r="438" spans="1:12" s="3327" customFormat="1" ht="12.75" customHeight="1">
      <c r="A438" s="3335"/>
      <c r="B438" s="3336" t="s">
        <v>3128</v>
      </c>
      <c r="C438" s="3336" t="s">
        <v>3463</v>
      </c>
      <c r="D438" s="3336" t="s">
        <v>3464</v>
      </c>
      <c r="E438" s="3339">
        <v>52.3</v>
      </c>
      <c r="F438" s="3339">
        <v>360</v>
      </c>
      <c r="G438" s="3340">
        <v>41000</v>
      </c>
      <c r="H438" s="3340">
        <v>41363</v>
      </c>
      <c r="I438" s="3340">
        <v>41364</v>
      </c>
      <c r="J438" s="3336"/>
    </row>
    <row r="439" spans="1:12" s="3327" customFormat="1" ht="12.75" customHeight="1">
      <c r="A439" s="3323"/>
      <c r="B439" s="3324" t="s">
        <v>3128</v>
      </c>
      <c r="C439" s="3324" t="s">
        <v>3463</v>
      </c>
      <c r="D439" s="3324" t="s">
        <v>3465</v>
      </c>
      <c r="E439" s="3325">
        <v>52.3</v>
      </c>
      <c r="F439" s="3325">
        <v>360</v>
      </c>
      <c r="G439" s="3326">
        <v>41730</v>
      </c>
      <c r="H439" s="3326">
        <v>42003</v>
      </c>
      <c r="I439" s="3326">
        <v>42094</v>
      </c>
      <c r="J439" s="3324"/>
    </row>
    <row r="440" spans="1:12" s="3327" customFormat="1" ht="12.75" customHeight="1">
      <c r="A440" s="3323"/>
      <c r="B440" s="3324" t="s">
        <v>3128</v>
      </c>
      <c r="C440" s="3324" t="s">
        <v>3463</v>
      </c>
      <c r="D440" s="3324" t="s">
        <v>3465</v>
      </c>
      <c r="E440" s="3325">
        <v>52.3</v>
      </c>
      <c r="F440" s="3325">
        <v>370</v>
      </c>
      <c r="G440" s="3326">
        <v>42005</v>
      </c>
      <c r="H440" s="3326">
        <v>42093</v>
      </c>
      <c r="I440" s="3326">
        <v>42094</v>
      </c>
      <c r="J440" s="3324"/>
    </row>
    <row r="441" spans="1:12" s="3327" customFormat="1" ht="12.75" customHeight="1">
      <c r="A441" s="3323"/>
      <c r="B441" s="3336" t="s">
        <v>3128</v>
      </c>
      <c r="C441" s="3336" t="s">
        <v>3463</v>
      </c>
      <c r="D441" s="3336" t="s">
        <v>3465</v>
      </c>
      <c r="E441" s="3339">
        <v>52.3</v>
      </c>
      <c r="F441" s="3339">
        <v>370</v>
      </c>
      <c r="G441" s="3340">
        <v>42095</v>
      </c>
      <c r="H441" s="3340">
        <v>42338</v>
      </c>
      <c r="I441" s="3340">
        <v>42460</v>
      </c>
      <c r="J441" s="3324"/>
    </row>
    <row r="442" spans="1:12" s="3327" customFormat="1" ht="12.75" customHeight="1">
      <c r="A442" s="3323"/>
      <c r="B442" s="3336" t="s">
        <v>3128</v>
      </c>
      <c r="C442" s="3336" t="s">
        <v>3466</v>
      </c>
      <c r="D442" s="3336" t="s">
        <v>3465</v>
      </c>
      <c r="E442" s="3339">
        <v>52.3</v>
      </c>
      <c r="F442" s="3339">
        <v>370</v>
      </c>
      <c r="G442" s="3340">
        <v>42339</v>
      </c>
      <c r="H442" s="3340">
        <v>42459</v>
      </c>
      <c r="I442" s="3340">
        <v>42460</v>
      </c>
      <c r="J442" s="3324"/>
    </row>
    <row r="443" spans="1:12" s="3327" customFormat="1" ht="12.75" customHeight="1">
      <c r="A443" s="3323"/>
      <c r="B443" s="3336" t="s">
        <v>3128</v>
      </c>
      <c r="C443" s="3336" t="s">
        <v>3466</v>
      </c>
      <c r="D443" s="3336" t="s">
        <v>3465</v>
      </c>
      <c r="E443" s="3339">
        <v>52.3</v>
      </c>
      <c r="F443" s="3339">
        <v>380</v>
      </c>
      <c r="G443" s="3340">
        <v>42461</v>
      </c>
      <c r="H443" s="3340">
        <v>42824</v>
      </c>
      <c r="I443" s="3340">
        <v>42825</v>
      </c>
      <c r="J443" s="3324"/>
    </row>
    <row r="444" spans="1:12" s="3327" customFormat="1" ht="12.75" customHeight="1">
      <c r="A444" s="3323" t="s">
        <v>3151</v>
      </c>
      <c r="B444" s="3331" t="s">
        <v>3128</v>
      </c>
      <c r="C444" s="3331" t="s">
        <v>3466</v>
      </c>
      <c r="D444" s="3331" t="s">
        <v>3467</v>
      </c>
      <c r="E444" s="3332">
        <v>52.3</v>
      </c>
      <c r="F444" s="3332">
        <v>380</v>
      </c>
      <c r="G444" s="3333">
        <v>42826</v>
      </c>
      <c r="H444" s="3333">
        <v>43130</v>
      </c>
      <c r="I444" s="3333">
        <v>43190</v>
      </c>
      <c r="J444" s="3324"/>
      <c r="K444" s="3334">
        <f>E444</f>
        <v>52.3</v>
      </c>
      <c r="L444" s="3334">
        <f>F444/30</f>
        <v>12.666666666666666</v>
      </c>
    </row>
    <row r="445" spans="1:12" s="3327" customFormat="1" ht="12.75" customHeight="1">
      <c r="A445" s="3323"/>
      <c r="B445" s="3324" t="s">
        <v>3128</v>
      </c>
      <c r="C445" s="3324" t="s">
        <v>3468</v>
      </c>
      <c r="D445" s="3324" t="s">
        <v>3469</v>
      </c>
      <c r="E445" s="3325">
        <v>44</v>
      </c>
      <c r="F445" s="3325">
        <v>330</v>
      </c>
      <c r="G445" s="3326">
        <v>40264</v>
      </c>
      <c r="H445" s="3326">
        <v>40632</v>
      </c>
      <c r="I445" s="3326">
        <v>40632</v>
      </c>
      <c r="J445" s="3324"/>
    </row>
    <row r="446" spans="1:12" s="3327" customFormat="1" ht="12.75" customHeight="1">
      <c r="A446" s="3335"/>
      <c r="B446" s="3336" t="s">
        <v>3128</v>
      </c>
      <c r="C446" s="3336" t="s">
        <v>3470</v>
      </c>
      <c r="D446" s="3336" t="s">
        <v>3469</v>
      </c>
      <c r="E446" s="3339">
        <v>44</v>
      </c>
      <c r="F446" s="3339">
        <v>360</v>
      </c>
      <c r="G446" s="3340">
        <v>41000</v>
      </c>
      <c r="H446" s="3340">
        <v>41363</v>
      </c>
      <c r="I446" s="3340">
        <v>41364</v>
      </c>
      <c r="J446" s="3336"/>
    </row>
    <row r="447" spans="1:12" s="3327" customFormat="1" ht="12.75" customHeight="1">
      <c r="A447" s="3323"/>
      <c r="B447" s="3324" t="s">
        <v>3128</v>
      </c>
      <c r="C447" s="3324" t="s">
        <v>3471</v>
      </c>
      <c r="D447" s="3324" t="s">
        <v>3428</v>
      </c>
      <c r="E447" s="3325">
        <v>44</v>
      </c>
      <c r="F447" s="3325">
        <v>360</v>
      </c>
      <c r="G447" s="3326">
        <v>41699</v>
      </c>
      <c r="H447" s="3326">
        <v>41893</v>
      </c>
      <c r="I447" s="3326">
        <v>41893</v>
      </c>
      <c r="J447" s="3324"/>
    </row>
    <row r="448" spans="1:12" s="3327" customFormat="1" ht="12.75" customHeight="1">
      <c r="A448" s="3323"/>
      <c r="B448" s="3324" t="s">
        <v>3128</v>
      </c>
      <c r="C448" s="3324" t="s">
        <v>3472</v>
      </c>
      <c r="D448" s="3324" t="s">
        <v>3428</v>
      </c>
      <c r="E448" s="3325">
        <v>44</v>
      </c>
      <c r="F448" s="3325">
        <v>360</v>
      </c>
      <c r="G448" s="3326">
        <v>41894</v>
      </c>
      <c r="H448" s="3326">
        <v>42003</v>
      </c>
      <c r="I448" s="3326">
        <v>42094</v>
      </c>
      <c r="J448" s="3324"/>
    </row>
    <row r="449" spans="1:12" s="3327" customFormat="1" ht="12.75" customHeight="1">
      <c r="A449" s="3323"/>
      <c r="B449" s="3324" t="s">
        <v>3128</v>
      </c>
      <c r="C449" s="3324" t="s">
        <v>3472</v>
      </c>
      <c r="D449" s="3324" t="s">
        <v>3428</v>
      </c>
      <c r="E449" s="3325">
        <v>44</v>
      </c>
      <c r="F449" s="3325">
        <v>370</v>
      </c>
      <c r="G449" s="3326">
        <v>42005</v>
      </c>
      <c r="H449" s="3326">
        <v>42093</v>
      </c>
      <c r="I449" s="3326">
        <v>42094</v>
      </c>
      <c r="J449" s="3324"/>
    </row>
    <row r="450" spans="1:12" s="3327" customFormat="1" ht="12.75" customHeight="1">
      <c r="A450" s="3323"/>
      <c r="B450" s="3336" t="s">
        <v>3128</v>
      </c>
      <c r="C450" s="3336" t="s">
        <v>3472</v>
      </c>
      <c r="D450" s="3336" t="s">
        <v>3428</v>
      </c>
      <c r="E450" s="3339">
        <v>44</v>
      </c>
      <c r="F450" s="3339">
        <v>370</v>
      </c>
      <c r="G450" s="3340">
        <v>42095</v>
      </c>
      <c r="H450" s="3340">
        <v>42459</v>
      </c>
      <c r="I450" s="3340">
        <v>42460</v>
      </c>
      <c r="J450" s="3324"/>
    </row>
    <row r="451" spans="1:12" s="3327" customFormat="1" ht="12.75" customHeight="1">
      <c r="A451" s="3323"/>
      <c r="B451" s="3336" t="s">
        <v>3128</v>
      </c>
      <c r="C451" s="3336" t="s">
        <v>3472</v>
      </c>
      <c r="D451" s="3336" t="s">
        <v>3428</v>
      </c>
      <c r="E451" s="3339">
        <v>44</v>
      </c>
      <c r="F451" s="3339">
        <v>385</v>
      </c>
      <c r="G451" s="3340">
        <v>42461</v>
      </c>
      <c r="H451" s="3340">
        <v>42643</v>
      </c>
      <c r="I451" s="3340">
        <v>42825</v>
      </c>
      <c r="J451" s="3324"/>
    </row>
    <row r="452" spans="1:12" s="3327" customFormat="1" ht="12.75" customHeight="1">
      <c r="A452" s="3323"/>
      <c r="B452" s="3336" t="s">
        <v>3128</v>
      </c>
      <c r="C452" s="3336" t="s">
        <v>3473</v>
      </c>
      <c r="D452" s="3336" t="s">
        <v>3428</v>
      </c>
      <c r="E452" s="3339">
        <v>44</v>
      </c>
      <c r="F452" s="3339">
        <v>385</v>
      </c>
      <c r="G452" s="3340">
        <v>42644</v>
      </c>
      <c r="H452" s="3340">
        <v>42824</v>
      </c>
      <c r="I452" s="3340">
        <v>42825</v>
      </c>
      <c r="J452" s="3324"/>
    </row>
    <row r="453" spans="1:12" s="3327" customFormat="1" ht="12.75" customHeight="1">
      <c r="A453" s="3323" t="s">
        <v>3151</v>
      </c>
      <c r="B453" s="3331" t="s">
        <v>3128</v>
      </c>
      <c r="C453" s="3331" t="s">
        <v>3474</v>
      </c>
      <c r="D453" s="3331" t="s">
        <v>3475</v>
      </c>
      <c r="E453" s="3332">
        <v>44</v>
      </c>
      <c r="F453" s="3332">
        <v>400</v>
      </c>
      <c r="G453" s="3333">
        <v>42826</v>
      </c>
      <c r="H453" s="3333">
        <v>43130</v>
      </c>
      <c r="I453" s="3333">
        <v>43190</v>
      </c>
      <c r="J453" s="3324"/>
      <c r="K453" s="3334">
        <f>E453</f>
        <v>44</v>
      </c>
      <c r="L453" s="3334">
        <f>F453/30</f>
        <v>13.333333333333334</v>
      </c>
    </row>
    <row r="454" spans="1:12" s="3327" customFormat="1" ht="12.75" customHeight="1">
      <c r="A454" s="3335"/>
      <c r="B454" s="3336" t="s">
        <v>3128</v>
      </c>
      <c r="C454" s="3336" t="s">
        <v>3476</v>
      </c>
      <c r="D454" s="3336" t="s">
        <v>3477</v>
      </c>
      <c r="E454" s="3339">
        <v>99.5</v>
      </c>
      <c r="F454" s="3339">
        <v>360</v>
      </c>
      <c r="G454" s="3340">
        <v>41045</v>
      </c>
      <c r="H454" s="3340">
        <v>41363</v>
      </c>
      <c r="I454" s="3340">
        <v>41364</v>
      </c>
      <c r="J454" s="3336"/>
    </row>
    <row r="455" spans="1:12" s="3327" customFormat="1" ht="12.75" customHeight="1">
      <c r="A455" s="3323"/>
      <c r="B455" s="3324" t="s">
        <v>3128</v>
      </c>
      <c r="C455" s="3324" t="s">
        <v>3478</v>
      </c>
      <c r="D455" s="3324" t="s">
        <v>3479</v>
      </c>
      <c r="E455" s="3325">
        <v>49.7</v>
      </c>
      <c r="F455" s="3325">
        <v>350</v>
      </c>
      <c r="G455" s="3326">
        <v>41699</v>
      </c>
      <c r="H455" s="3326">
        <v>42003</v>
      </c>
      <c r="I455" s="3326">
        <v>42094</v>
      </c>
      <c r="J455" s="3324"/>
    </row>
    <row r="456" spans="1:12" s="3327" customFormat="1" ht="12.75" customHeight="1">
      <c r="A456" s="3323"/>
      <c r="B456" s="3324" t="s">
        <v>3128</v>
      </c>
      <c r="C456" s="3324" t="s">
        <v>3478</v>
      </c>
      <c r="D456" s="3324" t="s">
        <v>3479</v>
      </c>
      <c r="E456" s="3325">
        <v>49.7</v>
      </c>
      <c r="F456" s="3325">
        <v>360</v>
      </c>
      <c r="G456" s="3326">
        <v>42005</v>
      </c>
      <c r="H456" s="3326">
        <v>42093</v>
      </c>
      <c r="I456" s="3326">
        <v>42094</v>
      </c>
      <c r="J456" s="3324"/>
    </row>
    <row r="457" spans="1:12" s="3327" customFormat="1" ht="12.75" customHeight="1">
      <c r="A457" s="3323"/>
      <c r="B457" s="3336" t="s">
        <v>3128</v>
      </c>
      <c r="C457" s="3336" t="s">
        <v>3478</v>
      </c>
      <c r="D457" s="3336" t="s">
        <v>3479</v>
      </c>
      <c r="E457" s="3339">
        <v>49.7</v>
      </c>
      <c r="F457" s="3339">
        <v>360</v>
      </c>
      <c r="G457" s="3340">
        <v>42095</v>
      </c>
      <c r="H457" s="3340">
        <v>42459</v>
      </c>
      <c r="I457" s="3340">
        <v>42460</v>
      </c>
      <c r="J457" s="3324"/>
    </row>
    <row r="458" spans="1:12" s="3327" customFormat="1" ht="12.75" customHeight="1">
      <c r="A458" s="3323"/>
      <c r="B458" s="3336" t="s">
        <v>3128</v>
      </c>
      <c r="C458" s="3336" t="s">
        <v>3478</v>
      </c>
      <c r="D458" s="3336" t="s">
        <v>3479</v>
      </c>
      <c r="E458" s="3339">
        <v>49.7</v>
      </c>
      <c r="F458" s="3339">
        <v>370</v>
      </c>
      <c r="G458" s="3340">
        <v>42461</v>
      </c>
      <c r="H458" s="3340">
        <v>42824</v>
      </c>
      <c r="I458" s="3340">
        <v>42825</v>
      </c>
      <c r="J458" s="3324"/>
    </row>
    <row r="459" spans="1:12" s="3327" customFormat="1" ht="12.75" customHeight="1">
      <c r="A459" s="3323" t="s">
        <v>3151</v>
      </c>
      <c r="B459" s="3331" t="s">
        <v>3128</v>
      </c>
      <c r="C459" s="3331" t="s">
        <v>3478</v>
      </c>
      <c r="D459" s="3331" t="s">
        <v>3480</v>
      </c>
      <c r="E459" s="3332">
        <v>49.7</v>
      </c>
      <c r="F459" s="3332">
        <v>390</v>
      </c>
      <c r="G459" s="3333">
        <v>42826</v>
      </c>
      <c r="H459" s="3333">
        <v>43130</v>
      </c>
      <c r="I459" s="3333">
        <v>43190</v>
      </c>
      <c r="J459" s="3324"/>
      <c r="K459" s="3334">
        <f>E459</f>
        <v>49.7</v>
      </c>
      <c r="L459" s="3334">
        <f>F459/30</f>
        <v>13</v>
      </c>
    </row>
    <row r="460" spans="1:12" s="3327" customFormat="1" ht="12.75" customHeight="1">
      <c r="A460" s="3323"/>
      <c r="B460" s="3324" t="s">
        <v>3128</v>
      </c>
      <c r="C460" s="3324" t="s">
        <v>3481</v>
      </c>
      <c r="D460" s="3324" t="s">
        <v>3479</v>
      </c>
      <c r="E460" s="3325">
        <v>49.8</v>
      </c>
      <c r="F460" s="3325">
        <v>350</v>
      </c>
      <c r="G460" s="3326">
        <v>41699</v>
      </c>
      <c r="H460" s="3326">
        <v>41832</v>
      </c>
      <c r="I460" s="3326">
        <v>41364</v>
      </c>
      <c r="J460" s="3324"/>
    </row>
    <row r="461" spans="1:12" s="3327" customFormat="1" ht="12.75" customHeight="1">
      <c r="A461" s="3323"/>
      <c r="B461" s="3324" t="s">
        <v>3128</v>
      </c>
      <c r="C461" s="3324" t="s">
        <v>3482</v>
      </c>
      <c r="D461" s="3324" t="s">
        <v>3479</v>
      </c>
      <c r="E461" s="3325">
        <v>49.8</v>
      </c>
      <c r="F461" s="3325">
        <v>350</v>
      </c>
      <c r="G461" s="3326">
        <v>41833</v>
      </c>
      <c r="H461" s="3326">
        <v>42003</v>
      </c>
      <c r="I461" s="3326">
        <v>42094</v>
      </c>
      <c r="J461" s="3324"/>
    </row>
    <row r="462" spans="1:12" s="3327" customFormat="1" ht="12.75" customHeight="1">
      <c r="A462" s="3323"/>
      <c r="B462" s="3324" t="s">
        <v>3128</v>
      </c>
      <c r="C462" s="3324" t="s">
        <v>3482</v>
      </c>
      <c r="D462" s="3324" t="s">
        <v>3479</v>
      </c>
      <c r="E462" s="3325">
        <v>49.8</v>
      </c>
      <c r="F462" s="3325">
        <v>360</v>
      </c>
      <c r="G462" s="3326">
        <v>42005</v>
      </c>
      <c r="H462" s="3326">
        <v>42093</v>
      </c>
      <c r="I462" s="3326">
        <v>42094</v>
      </c>
      <c r="J462" s="3324"/>
    </row>
    <row r="463" spans="1:12" s="3327" customFormat="1" ht="12.75" customHeight="1">
      <c r="A463" s="3323"/>
      <c r="B463" s="3336" t="s">
        <v>3128</v>
      </c>
      <c r="C463" s="3336" t="s">
        <v>3482</v>
      </c>
      <c r="D463" s="3336" t="s">
        <v>3479</v>
      </c>
      <c r="E463" s="3339">
        <v>49.8</v>
      </c>
      <c r="F463" s="3339">
        <v>360</v>
      </c>
      <c r="G463" s="3340">
        <v>42095</v>
      </c>
      <c r="H463" s="3340">
        <v>42459</v>
      </c>
      <c r="I463" s="3340">
        <v>42460</v>
      </c>
      <c r="J463" s="3324"/>
    </row>
    <row r="464" spans="1:12" s="3327" customFormat="1" ht="12.75" customHeight="1">
      <c r="A464" s="3323"/>
      <c r="B464" s="3336" t="s">
        <v>3128</v>
      </c>
      <c r="C464" s="3336" t="s">
        <v>3482</v>
      </c>
      <c r="D464" s="3336" t="s">
        <v>3479</v>
      </c>
      <c r="E464" s="3339">
        <v>49.8</v>
      </c>
      <c r="F464" s="3339">
        <v>380</v>
      </c>
      <c r="G464" s="3340">
        <v>42461</v>
      </c>
      <c r="H464" s="3340">
        <v>42824</v>
      </c>
      <c r="I464" s="3340">
        <v>42825</v>
      </c>
      <c r="J464" s="3324"/>
    </row>
    <row r="465" spans="1:12" s="3327" customFormat="1" ht="12.75" customHeight="1">
      <c r="A465" s="3323"/>
      <c r="B465" s="3331" t="s">
        <v>3128</v>
      </c>
      <c r="C465" s="3331" t="s">
        <v>3482</v>
      </c>
      <c r="D465" s="3331" t="s">
        <v>3483</v>
      </c>
      <c r="E465" s="3332">
        <v>49.8</v>
      </c>
      <c r="F465" s="3332">
        <v>380</v>
      </c>
      <c r="G465" s="3333">
        <v>42826</v>
      </c>
      <c r="H465" s="3333">
        <v>43038</v>
      </c>
      <c r="I465" s="3333">
        <v>43190</v>
      </c>
      <c r="J465" s="3324"/>
      <c r="K465" s="3334">
        <f t="shared" ref="K465:K466" si="17">E465</f>
        <v>49.8</v>
      </c>
      <c r="L465" s="3334">
        <f t="shared" ref="L465:L466" si="18">F465/30</f>
        <v>12.666666666666666</v>
      </c>
    </row>
    <row r="466" spans="1:12" s="3327" customFormat="1" ht="12.75" customHeight="1">
      <c r="A466" s="3323" t="s">
        <v>3151</v>
      </c>
      <c r="B466" s="3331" t="s">
        <v>3128</v>
      </c>
      <c r="C466" s="3331" t="s">
        <v>3484</v>
      </c>
      <c r="D466" s="3331" t="s">
        <v>3483</v>
      </c>
      <c r="E466" s="3332">
        <v>49.8</v>
      </c>
      <c r="F466" s="3332">
        <v>380</v>
      </c>
      <c r="G466" s="3333">
        <v>43040</v>
      </c>
      <c r="H466" s="3333">
        <v>43130</v>
      </c>
      <c r="I466" s="3333">
        <v>43190</v>
      </c>
      <c r="J466" s="3324"/>
      <c r="K466" s="3334">
        <f t="shared" si="17"/>
        <v>49.8</v>
      </c>
      <c r="L466" s="3334">
        <f t="shared" si="18"/>
        <v>12.666666666666666</v>
      </c>
    </row>
    <row r="467" spans="1:12" s="3327" customFormat="1" ht="12.75" customHeight="1">
      <c r="A467" s="3335"/>
      <c r="B467" s="3336" t="s">
        <v>3128</v>
      </c>
      <c r="C467" s="3336" t="s">
        <v>3485</v>
      </c>
      <c r="D467" s="3336" t="s">
        <v>3486</v>
      </c>
      <c r="E467" s="3339">
        <v>65.7</v>
      </c>
      <c r="F467" s="3339">
        <v>370</v>
      </c>
      <c r="G467" s="3340">
        <v>41000</v>
      </c>
      <c r="H467" s="3340">
        <v>41363</v>
      </c>
      <c r="I467" s="3340">
        <v>41364</v>
      </c>
      <c r="J467" s="3336"/>
    </row>
    <row r="468" spans="1:12" s="3327" customFormat="1" ht="12.75" customHeight="1">
      <c r="A468" s="3323"/>
      <c r="B468" s="3324" t="s">
        <v>3128</v>
      </c>
      <c r="C468" s="3324" t="s">
        <v>3437</v>
      </c>
      <c r="D468" s="3324" t="s">
        <v>3487</v>
      </c>
      <c r="E468" s="3325">
        <v>65.7</v>
      </c>
      <c r="F468" s="3325">
        <v>360</v>
      </c>
      <c r="G468" s="3326">
        <v>41699</v>
      </c>
      <c r="H468" s="3326">
        <v>42003</v>
      </c>
      <c r="I468" s="3326">
        <v>42094</v>
      </c>
      <c r="J468" s="3324"/>
    </row>
    <row r="469" spans="1:12" s="3327" customFormat="1" ht="12.75" customHeight="1">
      <c r="A469" s="3323"/>
      <c r="B469" s="3324" t="s">
        <v>3128</v>
      </c>
      <c r="C469" s="3324" t="s">
        <v>3437</v>
      </c>
      <c r="D469" s="3324" t="s">
        <v>3487</v>
      </c>
      <c r="E469" s="3325">
        <v>65.7</v>
      </c>
      <c r="F469" s="3325">
        <v>370</v>
      </c>
      <c r="G469" s="3326">
        <v>42005</v>
      </c>
      <c r="H469" s="3326">
        <v>42093</v>
      </c>
      <c r="I469" s="3326">
        <v>42094</v>
      </c>
      <c r="J469" s="3324"/>
    </row>
    <row r="470" spans="1:12" s="3327" customFormat="1" ht="12.75" customHeight="1">
      <c r="A470" s="3323"/>
      <c r="B470" s="3336" t="s">
        <v>3128</v>
      </c>
      <c r="C470" s="3336" t="s">
        <v>3437</v>
      </c>
      <c r="D470" s="3336" t="s">
        <v>3487</v>
      </c>
      <c r="E470" s="3339">
        <v>65.7</v>
      </c>
      <c r="F470" s="3339">
        <v>370</v>
      </c>
      <c r="G470" s="3340">
        <v>42095</v>
      </c>
      <c r="H470" s="3340">
        <v>42459</v>
      </c>
      <c r="I470" s="3340">
        <v>42460</v>
      </c>
      <c r="J470" s="3324"/>
    </row>
    <row r="471" spans="1:12" s="3327" customFormat="1" ht="12.75" customHeight="1">
      <c r="A471" s="3323"/>
      <c r="B471" s="3336" t="s">
        <v>3128</v>
      </c>
      <c r="C471" s="3336" t="s">
        <v>3488</v>
      </c>
      <c r="D471" s="3336" t="s">
        <v>3487</v>
      </c>
      <c r="E471" s="3339">
        <v>65.7</v>
      </c>
      <c r="F471" s="3339">
        <v>370</v>
      </c>
      <c r="G471" s="3340">
        <v>42461</v>
      </c>
      <c r="H471" s="3340">
        <v>42824</v>
      </c>
      <c r="I471" s="3340">
        <v>42825</v>
      </c>
      <c r="J471" s="3324"/>
    </row>
    <row r="472" spans="1:12" s="3327" customFormat="1" ht="12.75" customHeight="1">
      <c r="A472" s="3323" t="s">
        <v>3304</v>
      </c>
      <c r="B472" s="3331" t="s">
        <v>3128</v>
      </c>
      <c r="C472" s="3331" t="s">
        <v>3489</v>
      </c>
      <c r="D472" s="3331" t="s">
        <v>3490</v>
      </c>
      <c r="E472" s="3332">
        <v>65.7</v>
      </c>
      <c r="F472" s="3332">
        <v>390</v>
      </c>
      <c r="G472" s="3333">
        <v>42826</v>
      </c>
      <c r="H472" s="3333">
        <v>43130</v>
      </c>
      <c r="I472" s="3333">
        <v>43190</v>
      </c>
      <c r="J472" s="3324"/>
      <c r="K472" s="3334">
        <f>E472</f>
        <v>65.7</v>
      </c>
      <c r="L472" s="3334">
        <f>F472/30</f>
        <v>13</v>
      </c>
    </row>
    <row r="473" spans="1:12" s="3327" customFormat="1" ht="12.75" customHeight="1">
      <c r="A473" s="3335"/>
      <c r="B473" s="3336" t="s">
        <v>3128</v>
      </c>
      <c r="C473" s="3336" t="s">
        <v>3491</v>
      </c>
      <c r="D473" s="3336" t="s">
        <v>3492</v>
      </c>
      <c r="E473" s="3339">
        <v>48</v>
      </c>
      <c r="F473" s="3339">
        <v>360</v>
      </c>
      <c r="G473" s="3340">
        <v>41365</v>
      </c>
      <c r="H473" s="3340">
        <v>41698</v>
      </c>
      <c r="I473" s="3340">
        <v>41729</v>
      </c>
      <c r="J473" s="3336"/>
    </row>
    <row r="474" spans="1:12" s="3327" customFormat="1" ht="12.75" customHeight="1">
      <c r="A474" s="3323"/>
      <c r="B474" s="3324" t="s">
        <v>3128</v>
      </c>
      <c r="C474" s="3324" t="s">
        <v>3493</v>
      </c>
      <c r="D474" s="3324" t="s">
        <v>3157</v>
      </c>
      <c r="E474" s="3325">
        <v>48</v>
      </c>
      <c r="F474" s="3325">
        <v>350</v>
      </c>
      <c r="G474" s="3326">
        <v>41699</v>
      </c>
      <c r="H474" s="3326">
        <v>42003</v>
      </c>
      <c r="I474" s="3326">
        <v>42094</v>
      </c>
      <c r="J474" s="3324"/>
    </row>
    <row r="475" spans="1:12" s="3327" customFormat="1" ht="12.75" customHeight="1">
      <c r="A475" s="3323"/>
      <c r="B475" s="3324" t="s">
        <v>3128</v>
      </c>
      <c r="C475" s="3324" t="s">
        <v>3493</v>
      </c>
      <c r="D475" s="3324" t="s">
        <v>3157</v>
      </c>
      <c r="E475" s="3325">
        <v>48</v>
      </c>
      <c r="F475" s="3325">
        <v>360</v>
      </c>
      <c r="G475" s="3326">
        <v>42005</v>
      </c>
      <c r="H475" s="3326">
        <v>42093</v>
      </c>
      <c r="I475" s="3326">
        <v>42094</v>
      </c>
      <c r="J475" s="3324"/>
    </row>
    <row r="476" spans="1:12" s="3327" customFormat="1" ht="12.75" customHeight="1">
      <c r="A476" s="3323"/>
      <c r="B476" s="3336" t="s">
        <v>3128</v>
      </c>
      <c r="C476" s="3336" t="s">
        <v>3493</v>
      </c>
      <c r="D476" s="3336" t="s">
        <v>3157</v>
      </c>
      <c r="E476" s="3339">
        <v>48</v>
      </c>
      <c r="F476" s="3339">
        <v>360</v>
      </c>
      <c r="G476" s="3340">
        <v>42095</v>
      </c>
      <c r="H476" s="3340">
        <v>42459</v>
      </c>
      <c r="I476" s="3340">
        <v>42460</v>
      </c>
      <c r="J476" s="3324"/>
    </row>
    <row r="477" spans="1:12" s="3327" customFormat="1" ht="12.75" customHeight="1">
      <c r="A477" s="3323"/>
      <c r="B477" s="3336" t="s">
        <v>3128</v>
      </c>
      <c r="C477" s="3336" t="s">
        <v>3493</v>
      </c>
      <c r="D477" s="3336" t="s">
        <v>3157</v>
      </c>
      <c r="E477" s="3339">
        <v>48</v>
      </c>
      <c r="F477" s="3339">
        <v>375</v>
      </c>
      <c r="G477" s="3340">
        <v>42461</v>
      </c>
      <c r="H477" s="3340">
        <v>42662</v>
      </c>
      <c r="I477" s="3340">
        <v>42825</v>
      </c>
      <c r="J477" s="3324"/>
    </row>
    <row r="478" spans="1:12" s="3327" customFormat="1" ht="12.75" customHeight="1">
      <c r="A478" s="3323"/>
      <c r="B478" s="3336" t="s">
        <v>3128</v>
      </c>
      <c r="C478" s="3336" t="s">
        <v>3237</v>
      </c>
      <c r="D478" s="3336" t="s">
        <v>3492</v>
      </c>
      <c r="E478" s="3339">
        <v>48</v>
      </c>
      <c r="F478" s="3339">
        <v>375</v>
      </c>
      <c r="G478" s="3340">
        <v>42679</v>
      </c>
      <c r="H478" s="3340">
        <v>42824</v>
      </c>
      <c r="I478" s="3340">
        <v>42825</v>
      </c>
      <c r="J478" s="3324"/>
    </row>
    <row r="479" spans="1:12" s="3327" customFormat="1" ht="12.75" customHeight="1">
      <c r="A479" s="3323"/>
      <c r="B479" s="3331" t="s">
        <v>3128</v>
      </c>
      <c r="C479" s="3331" t="s">
        <v>3494</v>
      </c>
      <c r="D479" s="3331" t="s">
        <v>3492</v>
      </c>
      <c r="E479" s="3332">
        <v>48</v>
      </c>
      <c r="F479" s="3332">
        <v>390</v>
      </c>
      <c r="G479" s="3333">
        <v>42826</v>
      </c>
      <c r="H479" s="3333">
        <v>42983</v>
      </c>
      <c r="I479" s="3333">
        <v>43190</v>
      </c>
      <c r="J479" s="3324"/>
      <c r="K479" s="3334">
        <f t="shared" ref="K479:K480" si="19">E479</f>
        <v>48</v>
      </c>
      <c r="L479" s="3334">
        <f t="shared" ref="L479:L480" si="20">F479/30</f>
        <v>13</v>
      </c>
    </row>
    <row r="480" spans="1:12" s="3327" customFormat="1" ht="12.75" customHeight="1">
      <c r="A480" s="3323" t="s">
        <v>3151</v>
      </c>
      <c r="B480" s="3331" t="s">
        <v>3128</v>
      </c>
      <c r="C480" s="3331" t="s">
        <v>3494</v>
      </c>
      <c r="D480" s="3331" t="s">
        <v>3492</v>
      </c>
      <c r="E480" s="3332">
        <v>48</v>
      </c>
      <c r="F480" s="3332">
        <v>390</v>
      </c>
      <c r="G480" s="3333">
        <v>42984</v>
      </c>
      <c r="H480" s="3333">
        <v>43130</v>
      </c>
      <c r="I480" s="3333">
        <v>43190</v>
      </c>
      <c r="J480" s="3324"/>
      <c r="K480" s="3334">
        <f t="shared" si="19"/>
        <v>48</v>
      </c>
      <c r="L480" s="3334">
        <f t="shared" si="20"/>
        <v>13</v>
      </c>
    </row>
    <row r="481" spans="1:12" s="3327" customFormat="1" ht="12.75" customHeight="1">
      <c r="A481" s="3335"/>
      <c r="B481" s="3336" t="s">
        <v>3128</v>
      </c>
      <c r="C481" s="3336" t="s">
        <v>3495</v>
      </c>
      <c r="D481" s="3336" t="s">
        <v>3496</v>
      </c>
      <c r="E481" s="3339">
        <v>46.7</v>
      </c>
      <c r="F481" s="3339">
        <v>360</v>
      </c>
      <c r="G481" s="3340">
        <v>40634</v>
      </c>
      <c r="H481" s="3340">
        <v>40801</v>
      </c>
      <c r="I481" s="3340">
        <v>40999</v>
      </c>
      <c r="J481" s="3336"/>
    </row>
    <row r="482" spans="1:12" s="3327" customFormat="1" ht="12.75" customHeight="1">
      <c r="A482" s="3335"/>
      <c r="B482" s="3336" t="s">
        <v>3128</v>
      </c>
      <c r="C482" s="3336" t="s">
        <v>3497</v>
      </c>
      <c r="D482" s="3336" t="s">
        <v>3496</v>
      </c>
      <c r="E482" s="3339">
        <v>46.7</v>
      </c>
      <c r="F482" s="3339">
        <v>360</v>
      </c>
      <c r="G482" s="3340">
        <v>41000</v>
      </c>
      <c r="H482" s="3340">
        <v>41373</v>
      </c>
      <c r="I482" s="3340">
        <v>41364</v>
      </c>
      <c r="J482" s="3336"/>
    </row>
    <row r="483" spans="1:12" s="3327" customFormat="1" ht="12.75" customHeight="1">
      <c r="A483" s="3335"/>
      <c r="B483" s="3336" t="s">
        <v>3128</v>
      </c>
      <c r="C483" s="3336" t="s">
        <v>3498</v>
      </c>
      <c r="D483" s="3336" t="s">
        <v>3499</v>
      </c>
      <c r="E483" s="3339">
        <v>46.7</v>
      </c>
      <c r="F483" s="3339">
        <v>360</v>
      </c>
      <c r="G483" s="3340">
        <v>41381</v>
      </c>
      <c r="H483" s="3340">
        <v>41698</v>
      </c>
      <c r="I483" s="3340">
        <v>41729</v>
      </c>
      <c r="J483" s="3336"/>
    </row>
    <row r="484" spans="1:12" s="3327" customFormat="1" ht="12.75" customHeight="1">
      <c r="A484" s="3323"/>
      <c r="B484" s="3324" t="s">
        <v>3128</v>
      </c>
      <c r="C484" s="3324" t="s">
        <v>3500</v>
      </c>
      <c r="D484" s="3324" t="s">
        <v>3181</v>
      </c>
      <c r="E484" s="3325">
        <v>43.1</v>
      </c>
      <c r="F484" s="3325">
        <v>360</v>
      </c>
      <c r="G484" s="3326">
        <v>41699</v>
      </c>
      <c r="H484" s="3326">
        <v>41789</v>
      </c>
      <c r="I484" s="3326">
        <v>42094</v>
      </c>
      <c r="J484" s="3324"/>
    </row>
    <row r="485" spans="1:12" s="3327" customFormat="1" ht="12.75" customHeight="1">
      <c r="A485" s="3323"/>
      <c r="B485" s="3324" t="s">
        <v>3128</v>
      </c>
      <c r="C485" s="3324" t="s">
        <v>3500</v>
      </c>
      <c r="D485" s="3324" t="s">
        <v>3181</v>
      </c>
      <c r="E485" s="3325">
        <v>43.1</v>
      </c>
      <c r="F485" s="3325">
        <v>360</v>
      </c>
      <c r="G485" s="3326">
        <v>41791</v>
      </c>
      <c r="H485" s="3326">
        <v>42003</v>
      </c>
      <c r="I485" s="3326">
        <v>42094</v>
      </c>
      <c r="J485" s="3324"/>
    </row>
    <row r="486" spans="1:12" s="3327" customFormat="1" ht="12.75" customHeight="1">
      <c r="A486" s="3323"/>
      <c r="B486" s="3324" t="s">
        <v>3128</v>
      </c>
      <c r="C486" s="3324" t="s">
        <v>3500</v>
      </c>
      <c r="D486" s="3324" t="s">
        <v>3181</v>
      </c>
      <c r="E486" s="3325">
        <v>43.1</v>
      </c>
      <c r="F486" s="3325">
        <v>370</v>
      </c>
      <c r="G486" s="3326">
        <v>42005</v>
      </c>
      <c r="H486" s="3326">
        <v>42093</v>
      </c>
      <c r="I486" s="3326">
        <v>42094</v>
      </c>
      <c r="J486" s="3324"/>
    </row>
    <row r="487" spans="1:12" s="3327" customFormat="1" ht="12.75" customHeight="1">
      <c r="A487" s="3323"/>
      <c r="B487" s="3336" t="s">
        <v>3128</v>
      </c>
      <c r="C487" s="3336" t="s">
        <v>3500</v>
      </c>
      <c r="D487" s="3336" t="s">
        <v>3181</v>
      </c>
      <c r="E487" s="3339">
        <v>43.1</v>
      </c>
      <c r="F487" s="3339">
        <v>370</v>
      </c>
      <c r="G487" s="3340">
        <v>42095</v>
      </c>
      <c r="H487" s="3340">
        <v>42154</v>
      </c>
      <c r="I487" s="3340">
        <v>42460</v>
      </c>
      <c r="J487" s="3324"/>
    </row>
    <row r="488" spans="1:12" s="3327" customFormat="1" ht="12.75" customHeight="1">
      <c r="A488" s="3323"/>
      <c r="B488" s="3336" t="s">
        <v>3128</v>
      </c>
      <c r="C488" s="3336" t="s">
        <v>3501</v>
      </c>
      <c r="D488" s="3336" t="s">
        <v>3181</v>
      </c>
      <c r="E488" s="3339">
        <v>43.1</v>
      </c>
      <c r="F488" s="3339">
        <v>370</v>
      </c>
      <c r="G488" s="3340">
        <v>42156</v>
      </c>
      <c r="H488" s="3340">
        <v>42459</v>
      </c>
      <c r="I488" s="3340">
        <v>42460</v>
      </c>
      <c r="J488" s="3324"/>
    </row>
    <row r="489" spans="1:12" s="3327" customFormat="1" ht="12.75" customHeight="1">
      <c r="A489" s="3323"/>
      <c r="B489" s="3336" t="s">
        <v>3128</v>
      </c>
      <c r="C489" s="3336" t="s">
        <v>3176</v>
      </c>
      <c r="D489" s="3336" t="s">
        <v>3181</v>
      </c>
      <c r="E489" s="3339">
        <v>43.1</v>
      </c>
      <c r="F489" s="3339">
        <v>380</v>
      </c>
      <c r="G489" s="3340">
        <v>42461</v>
      </c>
      <c r="H489" s="3340">
        <v>42734</v>
      </c>
      <c r="I489" s="3340">
        <v>42825</v>
      </c>
      <c r="J489" s="3324"/>
    </row>
    <row r="490" spans="1:12" s="3327" customFormat="1" ht="12.75" customHeight="1">
      <c r="A490" s="3323"/>
      <c r="B490" s="3336" t="s">
        <v>3128</v>
      </c>
      <c r="C490" s="3336" t="s">
        <v>3237</v>
      </c>
      <c r="D490" s="3336" t="s">
        <v>3502</v>
      </c>
      <c r="E490" s="3339">
        <v>43.1</v>
      </c>
      <c r="F490" s="3339">
        <v>380</v>
      </c>
      <c r="G490" s="3340">
        <v>42736</v>
      </c>
      <c r="H490" s="3340">
        <v>42801</v>
      </c>
      <c r="I490" s="3340">
        <v>42825</v>
      </c>
      <c r="J490" s="3324"/>
    </row>
    <row r="491" spans="1:12" s="3327" customFormat="1" ht="12.75" customHeight="1">
      <c r="A491" s="3323"/>
      <c r="B491" s="3336" t="s">
        <v>3128</v>
      </c>
      <c r="C491" s="3336" t="s">
        <v>3503</v>
      </c>
      <c r="D491" s="3336" t="s">
        <v>3502</v>
      </c>
      <c r="E491" s="3339">
        <v>43.1</v>
      </c>
      <c r="F491" s="3339">
        <v>380</v>
      </c>
      <c r="G491" s="3340">
        <v>42802</v>
      </c>
      <c r="H491" s="3340">
        <v>42824</v>
      </c>
      <c r="I491" s="3340">
        <v>42825</v>
      </c>
      <c r="J491" s="3324"/>
    </row>
    <row r="492" spans="1:12" s="3327" customFormat="1" ht="12.75" customHeight="1">
      <c r="A492" s="3323" t="s">
        <v>3151</v>
      </c>
      <c r="B492" s="3331" t="s">
        <v>3128</v>
      </c>
      <c r="C492" s="3331" t="s">
        <v>3503</v>
      </c>
      <c r="D492" s="3331" t="s">
        <v>3502</v>
      </c>
      <c r="E492" s="3332">
        <v>43.1</v>
      </c>
      <c r="F492" s="3332">
        <v>390</v>
      </c>
      <c r="G492" s="3333">
        <v>42826</v>
      </c>
      <c r="H492" s="3333">
        <v>43130</v>
      </c>
      <c r="I492" s="3333">
        <v>43190</v>
      </c>
      <c r="J492" s="3324"/>
      <c r="K492" s="3334">
        <f>E492</f>
        <v>43.1</v>
      </c>
      <c r="L492" s="3334">
        <f>F492/30</f>
        <v>13</v>
      </c>
    </row>
    <row r="493" spans="1:12" s="3327" customFormat="1" ht="13.5" customHeight="1">
      <c r="A493" s="3323"/>
      <c r="B493" s="3324" t="s">
        <v>3128</v>
      </c>
      <c r="C493" s="3324" t="s">
        <v>3504</v>
      </c>
      <c r="D493" s="3324" t="s">
        <v>3505</v>
      </c>
      <c r="E493" s="3325">
        <v>38.799999999999997</v>
      </c>
      <c r="F493" s="3325">
        <v>340</v>
      </c>
      <c r="G493" s="3326">
        <v>41118</v>
      </c>
      <c r="H493" s="3326">
        <v>41363</v>
      </c>
      <c r="I493" s="3326">
        <v>41364</v>
      </c>
      <c r="J493" s="3324"/>
    </row>
    <row r="494" spans="1:12" s="3327" customFormat="1" ht="13.5" customHeight="1">
      <c r="A494" s="3335"/>
      <c r="B494" s="3336" t="s">
        <v>3128</v>
      </c>
      <c r="C494" s="3336" t="s">
        <v>3504</v>
      </c>
      <c r="D494" s="3336" t="s">
        <v>3506</v>
      </c>
      <c r="E494" s="3339">
        <v>38.799999999999997</v>
      </c>
      <c r="F494" s="3339">
        <v>340</v>
      </c>
      <c r="G494" s="3340">
        <v>41365</v>
      </c>
      <c r="H494" s="3340">
        <v>41698</v>
      </c>
      <c r="I494" s="3340">
        <v>41729</v>
      </c>
      <c r="J494" s="3336"/>
    </row>
    <row r="495" spans="1:12" s="3327" customFormat="1" ht="12.75" customHeight="1">
      <c r="A495" s="3323"/>
      <c r="B495" s="3324" t="s">
        <v>3128</v>
      </c>
      <c r="C495" s="3324" t="s">
        <v>3172</v>
      </c>
      <c r="D495" s="3324" t="s">
        <v>3190</v>
      </c>
      <c r="E495" s="3325">
        <v>42.1</v>
      </c>
      <c r="F495" s="3325">
        <v>360</v>
      </c>
      <c r="G495" s="3326">
        <v>41699</v>
      </c>
      <c r="H495" s="3326">
        <v>42003</v>
      </c>
      <c r="I495" s="3326">
        <v>42094</v>
      </c>
      <c r="J495" s="3324"/>
    </row>
    <row r="496" spans="1:12" s="3327" customFormat="1" ht="12.75" customHeight="1">
      <c r="A496" s="3323"/>
      <c r="B496" s="3324" t="s">
        <v>3128</v>
      </c>
      <c r="C496" s="3324" t="s">
        <v>3172</v>
      </c>
      <c r="D496" s="3324" t="s">
        <v>3190</v>
      </c>
      <c r="E496" s="3325">
        <v>42.1</v>
      </c>
      <c r="F496" s="3325">
        <v>370</v>
      </c>
      <c r="G496" s="3326">
        <v>42005</v>
      </c>
      <c r="H496" s="3326">
        <v>42093</v>
      </c>
      <c r="I496" s="3326">
        <v>42094</v>
      </c>
      <c r="J496" s="3324"/>
    </row>
    <row r="497" spans="1:12" s="3327" customFormat="1" ht="12.75" customHeight="1">
      <c r="A497" s="3323"/>
      <c r="B497" s="3336" t="s">
        <v>3128</v>
      </c>
      <c r="C497" s="3336" t="s">
        <v>3172</v>
      </c>
      <c r="D497" s="3336" t="s">
        <v>3190</v>
      </c>
      <c r="E497" s="3339">
        <v>42.1</v>
      </c>
      <c r="F497" s="3339">
        <v>370</v>
      </c>
      <c r="G497" s="3340">
        <v>42095</v>
      </c>
      <c r="H497" s="3340">
        <v>42141</v>
      </c>
      <c r="I497" s="3340">
        <v>42460</v>
      </c>
      <c r="J497" s="3324"/>
    </row>
    <row r="498" spans="1:12" s="3327" customFormat="1" ht="12.75" customHeight="1">
      <c r="A498" s="3323"/>
      <c r="B498" s="3336" t="s">
        <v>3128</v>
      </c>
      <c r="C498" s="3336" t="s">
        <v>3507</v>
      </c>
      <c r="D498" s="3336" t="s">
        <v>3190</v>
      </c>
      <c r="E498" s="3339">
        <v>42.1</v>
      </c>
      <c r="F498" s="3339">
        <v>370</v>
      </c>
      <c r="G498" s="3340">
        <v>42142</v>
      </c>
      <c r="H498" s="3340">
        <v>42459</v>
      </c>
      <c r="I498" s="3340">
        <v>42460</v>
      </c>
      <c r="J498" s="3324"/>
    </row>
    <row r="499" spans="1:12" s="3327" customFormat="1" ht="12.75" customHeight="1">
      <c r="A499" s="3323"/>
      <c r="B499" s="3336" t="s">
        <v>3128</v>
      </c>
      <c r="C499" s="3336" t="s">
        <v>3507</v>
      </c>
      <c r="D499" s="3336" t="s">
        <v>3190</v>
      </c>
      <c r="E499" s="3339">
        <v>42.1</v>
      </c>
      <c r="F499" s="3339">
        <v>385</v>
      </c>
      <c r="G499" s="3340">
        <v>42461</v>
      </c>
      <c r="H499" s="3340">
        <v>42752</v>
      </c>
      <c r="I499" s="3340">
        <v>42825</v>
      </c>
      <c r="J499" s="3324"/>
    </row>
    <row r="500" spans="1:12" s="3327" customFormat="1" ht="12.75" customHeight="1">
      <c r="A500" s="3323"/>
      <c r="B500" s="3336" t="s">
        <v>3128</v>
      </c>
      <c r="C500" s="3336" t="s">
        <v>3508</v>
      </c>
      <c r="D500" s="3336" t="s">
        <v>3509</v>
      </c>
      <c r="E500" s="3339">
        <v>42.1</v>
      </c>
      <c r="F500" s="3339">
        <v>385</v>
      </c>
      <c r="G500" s="3340">
        <v>42753</v>
      </c>
      <c r="H500" s="3340">
        <v>42824</v>
      </c>
      <c r="I500" s="3340">
        <v>42825</v>
      </c>
      <c r="J500" s="3324"/>
    </row>
    <row r="501" spans="1:12" s="3327" customFormat="1" ht="12.75" customHeight="1">
      <c r="A501" s="3323" t="s">
        <v>3151</v>
      </c>
      <c r="B501" s="3331" t="s">
        <v>3128</v>
      </c>
      <c r="C501" s="3331" t="s">
        <v>3508</v>
      </c>
      <c r="D501" s="3331" t="s">
        <v>3509</v>
      </c>
      <c r="E501" s="3332">
        <v>42.1</v>
      </c>
      <c r="F501" s="3332">
        <v>390</v>
      </c>
      <c r="G501" s="3333">
        <v>42826</v>
      </c>
      <c r="H501" s="3333">
        <v>43130</v>
      </c>
      <c r="I501" s="3333">
        <v>43190</v>
      </c>
      <c r="J501" s="3324"/>
      <c r="K501" s="3334">
        <f>E501</f>
        <v>42.1</v>
      </c>
      <c r="L501" s="3334">
        <f>F501/30</f>
        <v>13</v>
      </c>
    </row>
    <row r="502" spans="1:12" s="3327" customFormat="1" ht="12.75" customHeight="1">
      <c r="A502" s="3335"/>
      <c r="B502" s="3336" t="s">
        <v>3128</v>
      </c>
      <c r="C502" s="3336" t="s">
        <v>3510</v>
      </c>
      <c r="D502" s="3336" t="s">
        <v>3511</v>
      </c>
      <c r="E502" s="3339">
        <v>62</v>
      </c>
      <c r="F502" s="3339">
        <v>380</v>
      </c>
      <c r="G502" s="3340">
        <v>41000</v>
      </c>
      <c r="H502" s="3340">
        <v>41363</v>
      </c>
      <c r="I502" s="3340">
        <v>41364</v>
      </c>
      <c r="J502" s="3336"/>
    </row>
    <row r="503" spans="1:12" s="3327" customFormat="1" ht="12.75" customHeight="1">
      <c r="A503" s="3323"/>
      <c r="B503" s="3324" t="s">
        <v>3128</v>
      </c>
      <c r="C503" s="3324" t="s">
        <v>3187</v>
      </c>
      <c r="D503" s="3324" t="s">
        <v>3195</v>
      </c>
      <c r="E503" s="3325">
        <v>46.6</v>
      </c>
      <c r="F503" s="3325">
        <v>360</v>
      </c>
      <c r="G503" s="3326">
        <v>41699</v>
      </c>
      <c r="H503" s="3326">
        <v>42003</v>
      </c>
      <c r="I503" s="3326">
        <v>42094</v>
      </c>
      <c r="J503" s="3324"/>
    </row>
    <row r="504" spans="1:12" s="3327" customFormat="1" ht="12.75" customHeight="1">
      <c r="A504" s="3323"/>
      <c r="B504" s="3324" t="s">
        <v>3128</v>
      </c>
      <c r="C504" s="3324" t="s">
        <v>3187</v>
      </c>
      <c r="D504" s="3324" t="s">
        <v>3195</v>
      </c>
      <c r="E504" s="3325">
        <v>46.6</v>
      </c>
      <c r="F504" s="3325">
        <v>370</v>
      </c>
      <c r="G504" s="3326">
        <v>42005</v>
      </c>
      <c r="H504" s="3326">
        <v>42093</v>
      </c>
      <c r="I504" s="3326">
        <v>42094</v>
      </c>
      <c r="J504" s="3324"/>
    </row>
    <row r="505" spans="1:12" s="3327" customFormat="1" ht="12.75" customHeight="1">
      <c r="A505" s="3323"/>
      <c r="B505" s="3336" t="s">
        <v>3128</v>
      </c>
      <c r="C505" s="3336" t="s">
        <v>3187</v>
      </c>
      <c r="D505" s="3336" t="s">
        <v>3195</v>
      </c>
      <c r="E505" s="3339">
        <v>46.6</v>
      </c>
      <c r="F505" s="3339">
        <v>370</v>
      </c>
      <c r="G505" s="3340">
        <v>42095</v>
      </c>
      <c r="H505" s="3340">
        <v>42141</v>
      </c>
      <c r="I505" s="3340">
        <v>42460</v>
      </c>
      <c r="J505" s="3324"/>
    </row>
    <row r="506" spans="1:12" s="3327" customFormat="1" ht="12.75" customHeight="1">
      <c r="A506" s="3323"/>
      <c r="B506" s="3336" t="s">
        <v>3128</v>
      </c>
      <c r="C506" s="3336" t="s">
        <v>3512</v>
      </c>
      <c r="D506" s="3336" t="s">
        <v>3195</v>
      </c>
      <c r="E506" s="3339">
        <v>46.6</v>
      </c>
      <c r="F506" s="3339">
        <v>370</v>
      </c>
      <c r="G506" s="3340">
        <v>42142</v>
      </c>
      <c r="H506" s="3340">
        <v>42459</v>
      </c>
      <c r="I506" s="3340">
        <v>42460</v>
      </c>
      <c r="J506" s="3324"/>
    </row>
    <row r="507" spans="1:12" s="3327" customFormat="1" ht="12.75" customHeight="1">
      <c r="A507" s="3323"/>
      <c r="B507" s="3336" t="s">
        <v>3128</v>
      </c>
      <c r="C507" s="3336" t="s">
        <v>3512</v>
      </c>
      <c r="D507" s="3336" t="s">
        <v>3195</v>
      </c>
      <c r="E507" s="3339">
        <v>46.6</v>
      </c>
      <c r="F507" s="3339">
        <v>385</v>
      </c>
      <c r="G507" s="3340">
        <v>42461</v>
      </c>
      <c r="H507" s="3340">
        <v>42643</v>
      </c>
      <c r="I507" s="3340">
        <v>42825</v>
      </c>
      <c r="J507" s="3324"/>
    </row>
    <row r="508" spans="1:12" s="3327" customFormat="1" ht="12.75" customHeight="1">
      <c r="A508" s="3323"/>
      <c r="B508" s="3336" t="s">
        <v>3128</v>
      </c>
      <c r="C508" s="3336" t="s">
        <v>3513</v>
      </c>
      <c r="D508" s="3336" t="s">
        <v>3195</v>
      </c>
      <c r="E508" s="3339">
        <v>46.6</v>
      </c>
      <c r="F508" s="3339">
        <v>385</v>
      </c>
      <c r="G508" s="3340">
        <v>42644</v>
      </c>
      <c r="H508" s="3340">
        <v>42824</v>
      </c>
      <c r="I508" s="3340">
        <v>42825</v>
      </c>
      <c r="J508" s="3324"/>
    </row>
    <row r="509" spans="1:12" s="3327" customFormat="1" ht="12.75" customHeight="1">
      <c r="A509" s="3323" t="s">
        <v>3151</v>
      </c>
      <c r="B509" s="3331" t="s">
        <v>3128</v>
      </c>
      <c r="C509" s="3331" t="s">
        <v>3513</v>
      </c>
      <c r="D509" s="3331" t="s">
        <v>3514</v>
      </c>
      <c r="E509" s="3332">
        <v>46.6</v>
      </c>
      <c r="F509" s="3332">
        <v>390</v>
      </c>
      <c r="G509" s="3333">
        <v>42826</v>
      </c>
      <c r="H509" s="3333">
        <v>43130</v>
      </c>
      <c r="I509" s="3333">
        <v>43190</v>
      </c>
      <c r="J509" s="3324"/>
      <c r="K509" s="3334">
        <f>E509</f>
        <v>46.6</v>
      </c>
      <c r="L509" s="3334">
        <f>F509/30</f>
        <v>13</v>
      </c>
    </row>
    <row r="510" spans="1:12" s="3327" customFormat="1" ht="12.75" customHeight="1">
      <c r="A510" s="3335"/>
      <c r="B510" s="3336" t="s">
        <v>3128</v>
      </c>
      <c r="C510" s="3336" t="s">
        <v>3515</v>
      </c>
      <c r="D510" s="3336" t="s">
        <v>3516</v>
      </c>
      <c r="E510" s="3339">
        <v>58.9</v>
      </c>
      <c r="F510" s="3339">
        <v>380</v>
      </c>
      <c r="G510" s="3340">
        <v>41000</v>
      </c>
      <c r="H510" s="3340">
        <v>41363</v>
      </c>
      <c r="I510" s="3340">
        <v>41364</v>
      </c>
      <c r="J510" s="3336"/>
    </row>
    <row r="511" spans="1:12" s="3327" customFormat="1" ht="12.75" customHeight="1">
      <c r="A511" s="3323"/>
      <c r="B511" s="3324" t="s">
        <v>3128</v>
      </c>
      <c r="C511" s="3324" t="s">
        <v>3183</v>
      </c>
      <c r="D511" s="3324" t="s">
        <v>3517</v>
      </c>
      <c r="E511" s="3325">
        <v>42.2</v>
      </c>
      <c r="F511" s="3325">
        <v>360</v>
      </c>
      <c r="G511" s="3326">
        <v>41699</v>
      </c>
      <c r="H511" s="3326">
        <v>42003</v>
      </c>
      <c r="I511" s="3326">
        <v>42094</v>
      </c>
      <c r="J511" s="3324"/>
    </row>
    <row r="512" spans="1:12" s="3327" customFormat="1" ht="12.75" customHeight="1">
      <c r="A512" s="3323"/>
      <c r="B512" s="3324" t="s">
        <v>3128</v>
      </c>
      <c r="C512" s="3324" t="s">
        <v>3183</v>
      </c>
      <c r="D512" s="3324" t="s">
        <v>3517</v>
      </c>
      <c r="E512" s="3325">
        <v>42.2</v>
      </c>
      <c r="F512" s="3325">
        <v>370</v>
      </c>
      <c r="G512" s="3326">
        <v>42005</v>
      </c>
      <c r="H512" s="3326">
        <v>42093</v>
      </c>
      <c r="I512" s="3326">
        <v>42094</v>
      </c>
      <c r="J512" s="3324"/>
    </row>
    <row r="513" spans="1:12" s="3327" customFormat="1" ht="12.75" customHeight="1">
      <c r="A513" s="3323"/>
      <c r="B513" s="3336" t="s">
        <v>3128</v>
      </c>
      <c r="C513" s="3336" t="s">
        <v>3183</v>
      </c>
      <c r="D513" s="3336" t="s">
        <v>3517</v>
      </c>
      <c r="E513" s="3339">
        <v>42.2</v>
      </c>
      <c r="F513" s="3339">
        <v>370</v>
      </c>
      <c r="G513" s="3340">
        <v>42095</v>
      </c>
      <c r="H513" s="3340">
        <v>42141</v>
      </c>
      <c r="I513" s="3340">
        <v>42460</v>
      </c>
      <c r="J513" s="3324"/>
    </row>
    <row r="514" spans="1:12" s="3327" customFormat="1" ht="12.75" customHeight="1">
      <c r="A514" s="3335"/>
      <c r="B514" s="3336" t="s">
        <v>3128</v>
      </c>
      <c r="C514" s="3336" t="s">
        <v>3518</v>
      </c>
      <c r="D514" s="3336" t="s">
        <v>3519</v>
      </c>
      <c r="E514" s="3339">
        <v>52.5</v>
      </c>
      <c r="F514" s="3339">
        <v>340</v>
      </c>
      <c r="G514" s="3340">
        <v>41000</v>
      </c>
      <c r="H514" s="3340">
        <v>41363</v>
      </c>
      <c r="I514" s="3340">
        <v>41364</v>
      </c>
      <c r="J514" s="3336"/>
    </row>
    <row r="515" spans="1:12" s="3327" customFormat="1" ht="12.75" customHeight="1">
      <c r="A515" s="3323"/>
      <c r="B515" s="3324" t="s">
        <v>3128</v>
      </c>
      <c r="C515" s="3324" t="s">
        <v>3518</v>
      </c>
      <c r="D515" s="3324" t="s">
        <v>3520</v>
      </c>
      <c r="E515" s="3325">
        <v>52.5</v>
      </c>
      <c r="F515" s="3325">
        <v>340</v>
      </c>
      <c r="G515" s="3326">
        <v>41365</v>
      </c>
      <c r="H515" s="3326">
        <v>41698</v>
      </c>
      <c r="I515" s="3326">
        <v>41729</v>
      </c>
      <c r="J515" s="3324"/>
    </row>
    <row r="516" spans="1:12" s="3327" customFormat="1" ht="12.75" customHeight="1">
      <c r="A516" s="3323"/>
      <c r="B516" s="3324" t="s">
        <v>3128</v>
      </c>
      <c r="C516" s="3324" t="s">
        <v>3180</v>
      </c>
      <c r="D516" s="3324" t="s">
        <v>3521</v>
      </c>
      <c r="E516" s="3325">
        <v>42.5</v>
      </c>
      <c r="F516" s="3325">
        <v>340</v>
      </c>
      <c r="G516" s="3326">
        <v>41699</v>
      </c>
      <c r="H516" s="3326">
        <v>42003</v>
      </c>
      <c r="I516" s="3326">
        <v>42094</v>
      </c>
      <c r="J516" s="3324"/>
    </row>
    <row r="517" spans="1:12" s="3327" customFormat="1" ht="12.75" customHeight="1">
      <c r="A517" s="3323"/>
      <c r="B517" s="3324" t="s">
        <v>3128</v>
      </c>
      <c r="C517" s="3324" t="s">
        <v>3180</v>
      </c>
      <c r="D517" s="3324" t="s">
        <v>3521</v>
      </c>
      <c r="E517" s="3325">
        <v>42.5</v>
      </c>
      <c r="F517" s="3325">
        <v>360</v>
      </c>
      <c r="G517" s="3326">
        <v>42005</v>
      </c>
      <c r="H517" s="3326">
        <v>42093</v>
      </c>
      <c r="I517" s="3326">
        <v>42094</v>
      </c>
      <c r="J517" s="3324"/>
    </row>
    <row r="518" spans="1:12" s="3327" customFormat="1" ht="12.75" customHeight="1">
      <c r="A518" s="3323"/>
      <c r="B518" s="3336" t="s">
        <v>3128</v>
      </c>
      <c r="C518" s="3336" t="s">
        <v>3180</v>
      </c>
      <c r="D518" s="3336" t="s">
        <v>3521</v>
      </c>
      <c r="E518" s="3339">
        <v>42.5</v>
      </c>
      <c r="F518" s="3339">
        <v>360</v>
      </c>
      <c r="G518" s="3340">
        <v>42095</v>
      </c>
      <c r="H518" s="3340">
        <v>42141</v>
      </c>
      <c r="I518" s="3340">
        <v>42460</v>
      </c>
      <c r="J518" s="3324"/>
    </row>
    <row r="519" spans="1:12" s="3327" customFormat="1" ht="12.75" customHeight="1">
      <c r="A519" s="3323"/>
      <c r="B519" s="3324" t="s">
        <v>3128</v>
      </c>
      <c r="C519" s="3324" t="s">
        <v>3522</v>
      </c>
      <c r="D519" s="3324" t="s">
        <v>3523</v>
      </c>
      <c r="E519" s="3325">
        <v>44.7</v>
      </c>
      <c r="F519" s="3325">
        <v>350</v>
      </c>
      <c r="G519" s="3326">
        <v>41699</v>
      </c>
      <c r="H519" s="3326">
        <v>42003</v>
      </c>
      <c r="I519" s="3326">
        <v>42094</v>
      </c>
      <c r="J519" s="3324"/>
    </row>
    <row r="520" spans="1:12" s="3327" customFormat="1" ht="12.75" customHeight="1">
      <c r="A520" s="3323"/>
      <c r="B520" s="3324" t="s">
        <v>3128</v>
      </c>
      <c r="C520" s="3324" t="s">
        <v>3522</v>
      </c>
      <c r="D520" s="3324" t="s">
        <v>3523</v>
      </c>
      <c r="E520" s="3325">
        <v>44.7</v>
      </c>
      <c r="F520" s="3325">
        <v>360</v>
      </c>
      <c r="G520" s="3326">
        <v>42005</v>
      </c>
      <c r="H520" s="3326">
        <v>42093</v>
      </c>
      <c r="I520" s="3326">
        <v>42094</v>
      </c>
      <c r="J520" s="3324"/>
    </row>
    <row r="521" spans="1:12" s="3327" customFormat="1" ht="12.75" customHeight="1">
      <c r="A521" s="3323"/>
      <c r="B521" s="3336" t="s">
        <v>3128</v>
      </c>
      <c r="C521" s="3336" t="s">
        <v>3522</v>
      </c>
      <c r="D521" s="3336" t="s">
        <v>3523</v>
      </c>
      <c r="E521" s="3339">
        <v>44.7</v>
      </c>
      <c r="F521" s="3339">
        <v>360</v>
      </c>
      <c r="G521" s="3340">
        <v>42095</v>
      </c>
      <c r="H521" s="3340">
        <v>42141</v>
      </c>
      <c r="I521" s="3340">
        <v>42460</v>
      </c>
      <c r="J521" s="3324"/>
    </row>
    <row r="522" spans="1:12" s="3327" customFormat="1" ht="12.75" customHeight="1">
      <c r="A522" s="3323"/>
      <c r="B522" s="3336" t="s">
        <v>3128</v>
      </c>
      <c r="C522" s="3336" t="s">
        <v>3524</v>
      </c>
      <c r="D522" s="3336" t="s">
        <v>3525</v>
      </c>
      <c r="E522" s="3339">
        <v>87.2</v>
      </c>
      <c r="F522" s="3339">
        <v>360</v>
      </c>
      <c r="G522" s="3340">
        <v>42142</v>
      </c>
      <c r="H522" s="3340">
        <v>42459</v>
      </c>
      <c r="I522" s="3340">
        <v>42460</v>
      </c>
      <c r="J522" s="3324"/>
    </row>
    <row r="523" spans="1:12" s="3327" customFormat="1" ht="12.75" customHeight="1">
      <c r="A523" s="3323"/>
      <c r="B523" s="3336" t="s">
        <v>3128</v>
      </c>
      <c r="C523" s="3336" t="s">
        <v>3524</v>
      </c>
      <c r="D523" s="3336" t="s">
        <v>3525</v>
      </c>
      <c r="E523" s="3339">
        <v>87.2</v>
      </c>
      <c r="F523" s="3339">
        <v>375</v>
      </c>
      <c r="G523" s="3340">
        <v>42461</v>
      </c>
      <c r="H523" s="3340">
        <v>42824</v>
      </c>
      <c r="I523" s="3340">
        <v>42825</v>
      </c>
      <c r="J523" s="3324"/>
    </row>
    <row r="524" spans="1:12" s="3327" customFormat="1" ht="12.75" customHeight="1">
      <c r="A524" s="3323" t="s">
        <v>3151</v>
      </c>
      <c r="B524" s="3331" t="s">
        <v>3128</v>
      </c>
      <c r="C524" s="3331" t="s">
        <v>3524</v>
      </c>
      <c r="D524" s="3331" t="s">
        <v>3526</v>
      </c>
      <c r="E524" s="3332">
        <v>87.2</v>
      </c>
      <c r="F524" s="3332">
        <v>375</v>
      </c>
      <c r="G524" s="3333">
        <v>42826</v>
      </c>
      <c r="H524" s="3333">
        <v>43130</v>
      </c>
      <c r="I524" s="3333">
        <v>43190</v>
      </c>
      <c r="J524" s="3324"/>
      <c r="K524" s="3334">
        <f>E524</f>
        <v>87.2</v>
      </c>
      <c r="L524" s="3334">
        <f>F524/30</f>
        <v>12.5</v>
      </c>
    </row>
    <row r="525" spans="1:12" s="3327" customFormat="1" ht="12.75" customHeight="1">
      <c r="A525" s="3323"/>
      <c r="B525" s="3324" t="s">
        <v>3128</v>
      </c>
      <c r="C525" s="3324" t="s">
        <v>3248</v>
      </c>
      <c r="D525" s="3324" t="s">
        <v>3527</v>
      </c>
      <c r="E525" s="3325">
        <v>40.799999999999997</v>
      </c>
      <c r="F525" s="3325">
        <v>340</v>
      </c>
      <c r="G525" s="3326">
        <v>41699</v>
      </c>
      <c r="H525" s="3326">
        <v>42003</v>
      </c>
      <c r="I525" s="3326">
        <v>42094</v>
      </c>
      <c r="J525" s="3324"/>
    </row>
    <row r="526" spans="1:12" s="3327" customFormat="1" ht="12.75" customHeight="1">
      <c r="A526" s="3323"/>
      <c r="B526" s="3324" t="s">
        <v>3128</v>
      </c>
      <c r="C526" s="3324" t="s">
        <v>3248</v>
      </c>
      <c r="D526" s="3324" t="s">
        <v>3527</v>
      </c>
      <c r="E526" s="3325">
        <v>40.799999999999997</v>
      </c>
      <c r="F526" s="3325">
        <v>350</v>
      </c>
      <c r="G526" s="3326">
        <v>42005</v>
      </c>
      <c r="H526" s="3326">
        <v>42093</v>
      </c>
      <c r="I526" s="3326">
        <v>42094</v>
      </c>
      <c r="J526" s="3324"/>
    </row>
    <row r="527" spans="1:12" s="3327" customFormat="1" ht="12.75" customHeight="1">
      <c r="A527" s="3323"/>
      <c r="B527" s="3336" t="s">
        <v>3128</v>
      </c>
      <c r="C527" s="3336" t="s">
        <v>3248</v>
      </c>
      <c r="D527" s="3336" t="s">
        <v>3527</v>
      </c>
      <c r="E527" s="3339">
        <v>40.799999999999997</v>
      </c>
      <c r="F527" s="3339">
        <v>350</v>
      </c>
      <c r="G527" s="3340">
        <v>42095</v>
      </c>
      <c r="H527" s="3340">
        <v>42246</v>
      </c>
      <c r="I527" s="3340">
        <v>42460</v>
      </c>
      <c r="J527" s="3324"/>
    </row>
    <row r="528" spans="1:12" s="3327" customFormat="1" ht="12.75" customHeight="1">
      <c r="A528" s="3323"/>
      <c r="B528" s="3336" t="s">
        <v>3128</v>
      </c>
      <c r="C528" s="3336" t="s">
        <v>3202</v>
      </c>
      <c r="D528" s="3336" t="s">
        <v>3527</v>
      </c>
      <c r="E528" s="3339">
        <v>40.799999999999997</v>
      </c>
      <c r="F528" s="3339">
        <v>350</v>
      </c>
      <c r="G528" s="3340">
        <v>42248</v>
      </c>
      <c r="H528" s="3340">
        <v>42459</v>
      </c>
      <c r="I528" s="3340">
        <v>42460</v>
      </c>
      <c r="J528" s="3324"/>
    </row>
    <row r="529" spans="1:12" s="3327" customFormat="1" ht="12.75" customHeight="1">
      <c r="A529" s="3323"/>
      <c r="B529" s="3336" t="s">
        <v>3128</v>
      </c>
      <c r="C529" s="3336" t="s">
        <v>3202</v>
      </c>
      <c r="D529" s="3336" t="s">
        <v>3527</v>
      </c>
      <c r="E529" s="3339">
        <v>40.799999999999997</v>
      </c>
      <c r="F529" s="3339">
        <v>360</v>
      </c>
      <c r="G529" s="3340">
        <v>42461</v>
      </c>
      <c r="H529" s="3340">
        <v>42824</v>
      </c>
      <c r="I529" s="3340">
        <v>42825</v>
      </c>
      <c r="J529" s="3324"/>
    </row>
    <row r="530" spans="1:12" s="3327" customFormat="1" ht="12.75" customHeight="1">
      <c r="A530" s="3323" t="s">
        <v>3151</v>
      </c>
      <c r="B530" s="3331" t="s">
        <v>3128</v>
      </c>
      <c r="C530" s="3331" t="s">
        <v>3202</v>
      </c>
      <c r="D530" s="3331" t="s">
        <v>3528</v>
      </c>
      <c r="E530" s="3332">
        <v>40.799999999999997</v>
      </c>
      <c r="F530" s="3332">
        <v>370</v>
      </c>
      <c r="G530" s="3333">
        <v>42826</v>
      </c>
      <c r="H530" s="3333">
        <v>43130</v>
      </c>
      <c r="I530" s="3333">
        <v>43190</v>
      </c>
      <c r="J530" s="3324"/>
      <c r="K530" s="3334">
        <f>E530</f>
        <v>40.799999999999997</v>
      </c>
      <c r="L530" s="3334">
        <f>F530/30</f>
        <v>12.333333333333334</v>
      </c>
    </row>
    <row r="531" spans="1:12" s="3327" customFormat="1" ht="12.75" customHeight="1">
      <c r="A531" s="3335"/>
      <c r="B531" s="3336" t="s">
        <v>3128</v>
      </c>
      <c r="C531" s="3336" t="s">
        <v>3529</v>
      </c>
      <c r="D531" s="3336" t="s">
        <v>3530</v>
      </c>
      <c r="E531" s="3339">
        <v>35.299999999999997</v>
      </c>
      <c r="F531" s="3339">
        <v>340</v>
      </c>
      <c r="G531" s="3340">
        <v>41000</v>
      </c>
      <c r="H531" s="3340">
        <v>41363</v>
      </c>
      <c r="I531" s="3340">
        <v>41364</v>
      </c>
      <c r="J531" s="3336"/>
    </row>
    <row r="532" spans="1:12" s="3327" customFormat="1" ht="12.75" customHeight="1">
      <c r="A532" s="3323"/>
      <c r="B532" s="3324" t="s">
        <v>3128</v>
      </c>
      <c r="C532" s="3324" t="s">
        <v>3531</v>
      </c>
      <c r="D532" s="3324" t="s">
        <v>3532</v>
      </c>
      <c r="E532" s="3325">
        <v>40.700000000000003</v>
      </c>
      <c r="F532" s="3325">
        <v>340</v>
      </c>
      <c r="G532" s="3326">
        <v>41699</v>
      </c>
      <c r="H532" s="3326">
        <v>42003</v>
      </c>
      <c r="I532" s="3326">
        <v>42094</v>
      </c>
      <c r="J532" s="3324"/>
    </row>
    <row r="533" spans="1:12" s="3327" customFormat="1" ht="12.75" customHeight="1">
      <c r="A533" s="3323"/>
      <c r="B533" s="3324" t="s">
        <v>3128</v>
      </c>
      <c r="C533" s="3324" t="s">
        <v>3531</v>
      </c>
      <c r="D533" s="3324" t="s">
        <v>3532</v>
      </c>
      <c r="E533" s="3325">
        <v>40.700000000000003</v>
      </c>
      <c r="F533" s="3325">
        <v>350</v>
      </c>
      <c r="G533" s="3326">
        <v>42005</v>
      </c>
      <c r="H533" s="3326">
        <v>42093</v>
      </c>
      <c r="I533" s="3326">
        <v>42094</v>
      </c>
      <c r="J533" s="3324"/>
    </row>
    <row r="534" spans="1:12" s="3327" customFormat="1" ht="12.75" customHeight="1">
      <c r="A534" s="3323"/>
      <c r="B534" s="3336" t="s">
        <v>3128</v>
      </c>
      <c r="C534" s="3336" t="s">
        <v>3531</v>
      </c>
      <c r="D534" s="3336" t="s">
        <v>3532</v>
      </c>
      <c r="E534" s="3339">
        <v>40.700000000000003</v>
      </c>
      <c r="F534" s="3339">
        <v>350</v>
      </c>
      <c r="G534" s="3340">
        <v>42095</v>
      </c>
      <c r="H534" s="3340">
        <v>42459</v>
      </c>
      <c r="I534" s="3340">
        <v>42460</v>
      </c>
      <c r="J534" s="3324"/>
    </row>
    <row r="535" spans="1:12" s="3327" customFormat="1" ht="12.75" customHeight="1">
      <c r="A535" s="3323"/>
      <c r="B535" s="3336" t="s">
        <v>3128</v>
      </c>
      <c r="C535" s="3336" t="s">
        <v>3531</v>
      </c>
      <c r="D535" s="3336" t="s">
        <v>3532</v>
      </c>
      <c r="E535" s="3339">
        <v>40.700000000000003</v>
      </c>
      <c r="F535" s="3339">
        <v>360</v>
      </c>
      <c r="G535" s="3340">
        <v>42461</v>
      </c>
      <c r="H535" s="3340">
        <v>42824</v>
      </c>
      <c r="I535" s="3340">
        <v>42825</v>
      </c>
      <c r="J535" s="3324"/>
    </row>
    <row r="536" spans="1:12" s="3327" customFormat="1" ht="12.75" customHeight="1">
      <c r="A536" s="3323" t="s">
        <v>3151</v>
      </c>
      <c r="B536" s="3331" t="s">
        <v>3128</v>
      </c>
      <c r="C536" s="3331" t="s">
        <v>3531</v>
      </c>
      <c r="D536" s="3331" t="s">
        <v>3533</v>
      </c>
      <c r="E536" s="3332">
        <v>40.700000000000003</v>
      </c>
      <c r="F536" s="3332">
        <v>380</v>
      </c>
      <c r="G536" s="3333">
        <v>42826</v>
      </c>
      <c r="H536" s="3333">
        <v>43130</v>
      </c>
      <c r="I536" s="3333">
        <v>43190</v>
      </c>
      <c r="J536" s="3324"/>
      <c r="K536" s="3334">
        <f>E536</f>
        <v>40.700000000000003</v>
      </c>
      <c r="L536" s="3334">
        <f>F536/30</f>
        <v>12.666666666666666</v>
      </c>
    </row>
    <row r="537" spans="1:12" s="3327" customFormat="1" ht="12.75" customHeight="1">
      <c r="A537" s="3335"/>
      <c r="B537" s="3336" t="s">
        <v>3128</v>
      </c>
      <c r="C537" s="3336" t="s">
        <v>3534</v>
      </c>
      <c r="D537" s="3336" t="s">
        <v>3535</v>
      </c>
      <c r="E537" s="3339">
        <v>41</v>
      </c>
      <c r="F537" s="3339">
        <v>340</v>
      </c>
      <c r="G537" s="3340">
        <v>41365</v>
      </c>
      <c r="H537" s="3340">
        <v>41698</v>
      </c>
      <c r="I537" s="3340">
        <v>41729</v>
      </c>
      <c r="J537" s="3336"/>
    </row>
    <row r="538" spans="1:12" s="3327" customFormat="1" ht="12.75" customHeight="1">
      <c r="A538" s="3323"/>
      <c r="B538" s="3324" t="s">
        <v>3128</v>
      </c>
      <c r="C538" s="3324" t="s">
        <v>3491</v>
      </c>
      <c r="D538" s="3324" t="s">
        <v>3536</v>
      </c>
      <c r="E538" s="3325">
        <v>55.1</v>
      </c>
      <c r="F538" s="3325">
        <v>330</v>
      </c>
      <c r="G538" s="3326">
        <v>41699</v>
      </c>
      <c r="H538" s="3326">
        <v>42003</v>
      </c>
      <c r="I538" s="3326">
        <v>42094</v>
      </c>
      <c r="J538" s="3324"/>
    </row>
    <row r="539" spans="1:12" s="3327" customFormat="1" ht="12.75" customHeight="1">
      <c r="A539" s="3323"/>
      <c r="B539" s="3324" t="s">
        <v>3128</v>
      </c>
      <c r="C539" s="3324" t="s">
        <v>3491</v>
      </c>
      <c r="D539" s="3324" t="s">
        <v>3536</v>
      </c>
      <c r="E539" s="3325">
        <v>55.1</v>
      </c>
      <c r="F539" s="3325">
        <v>340</v>
      </c>
      <c r="G539" s="3326">
        <v>42005</v>
      </c>
      <c r="H539" s="3326">
        <v>42093</v>
      </c>
      <c r="I539" s="3326">
        <v>42094</v>
      </c>
      <c r="J539" s="3324"/>
    </row>
    <row r="540" spans="1:12" s="3327" customFormat="1" ht="12.75" customHeight="1">
      <c r="A540" s="3323"/>
      <c r="B540" s="3336" t="s">
        <v>3128</v>
      </c>
      <c r="C540" s="3336" t="s">
        <v>3491</v>
      </c>
      <c r="D540" s="3336" t="s">
        <v>3536</v>
      </c>
      <c r="E540" s="3339">
        <v>55.1</v>
      </c>
      <c r="F540" s="3339">
        <v>340</v>
      </c>
      <c r="G540" s="3340">
        <v>42095</v>
      </c>
      <c r="H540" s="3340">
        <v>42185</v>
      </c>
      <c r="I540" s="3340">
        <v>42460</v>
      </c>
      <c r="J540" s="3324"/>
    </row>
    <row r="541" spans="1:12" s="3327" customFormat="1" ht="12.75" customHeight="1">
      <c r="A541" s="3323"/>
      <c r="B541" s="3336" t="s">
        <v>3128</v>
      </c>
      <c r="C541" s="3336" t="s">
        <v>3491</v>
      </c>
      <c r="D541" s="3336" t="s">
        <v>3536</v>
      </c>
      <c r="E541" s="3339">
        <v>55.1</v>
      </c>
      <c r="F541" s="3339">
        <v>346</v>
      </c>
      <c r="G541" s="3340">
        <v>42186</v>
      </c>
      <c r="H541" s="3340">
        <v>42459</v>
      </c>
      <c r="I541" s="3340">
        <v>42460</v>
      </c>
      <c r="J541" s="3324"/>
    </row>
    <row r="542" spans="1:12" s="3327" customFormat="1" ht="12.75" customHeight="1">
      <c r="A542" s="3323"/>
      <c r="B542" s="3336" t="s">
        <v>3128</v>
      </c>
      <c r="C542" s="3336" t="s">
        <v>3491</v>
      </c>
      <c r="D542" s="3336" t="s">
        <v>3536</v>
      </c>
      <c r="E542" s="3339">
        <v>55.1</v>
      </c>
      <c r="F542" s="3339">
        <v>350</v>
      </c>
      <c r="G542" s="3340">
        <v>42461</v>
      </c>
      <c r="H542" s="3340">
        <v>42824</v>
      </c>
      <c r="I542" s="3340">
        <v>42825</v>
      </c>
      <c r="J542" s="3324"/>
    </row>
    <row r="543" spans="1:12" s="3327" customFormat="1" ht="12.75" customHeight="1">
      <c r="A543" s="3323"/>
      <c r="B543" s="3331" t="s">
        <v>3128</v>
      </c>
      <c r="C543" s="3331" t="s">
        <v>3537</v>
      </c>
      <c r="D543" s="3331" t="s">
        <v>3538</v>
      </c>
      <c r="E543" s="3332">
        <v>55.1</v>
      </c>
      <c r="F543" s="3332">
        <v>370</v>
      </c>
      <c r="G543" s="3333">
        <v>42826</v>
      </c>
      <c r="H543" s="3333">
        <v>42983</v>
      </c>
      <c r="I543" s="3333">
        <v>43190</v>
      </c>
      <c r="J543" s="3324"/>
      <c r="K543" s="3334">
        <f t="shared" ref="K543:K544" si="21">E543</f>
        <v>55.1</v>
      </c>
      <c r="L543" s="3334">
        <f t="shared" ref="L543:L544" si="22">F543/30</f>
        <v>12.333333333333334</v>
      </c>
    </row>
    <row r="544" spans="1:12" s="3327" customFormat="1" ht="12.75" customHeight="1">
      <c r="A544" s="3323" t="s">
        <v>3151</v>
      </c>
      <c r="B544" s="3331" t="s">
        <v>3128</v>
      </c>
      <c r="C544" s="3331" t="s">
        <v>3537</v>
      </c>
      <c r="D544" s="3331" t="s">
        <v>3538</v>
      </c>
      <c r="E544" s="3332">
        <v>55.1</v>
      </c>
      <c r="F544" s="3332">
        <v>370</v>
      </c>
      <c r="G544" s="3333">
        <v>42984</v>
      </c>
      <c r="H544" s="3333">
        <v>43130</v>
      </c>
      <c r="I544" s="3333">
        <v>43190</v>
      </c>
      <c r="J544" s="3324"/>
      <c r="K544" s="3334">
        <f t="shared" si="21"/>
        <v>55.1</v>
      </c>
      <c r="L544" s="3334">
        <f t="shared" si="22"/>
        <v>12.333333333333334</v>
      </c>
    </row>
    <row r="545" spans="1:12" s="3327" customFormat="1" ht="13.5" customHeight="1">
      <c r="A545" s="3335"/>
      <c r="B545" s="3336" t="s">
        <v>3128</v>
      </c>
      <c r="C545" s="3336" t="s">
        <v>3478</v>
      </c>
      <c r="D545" s="3336" t="s">
        <v>3539</v>
      </c>
      <c r="E545" s="3339">
        <v>74</v>
      </c>
      <c r="F545" s="3339">
        <v>330</v>
      </c>
      <c r="G545" s="3340">
        <v>41000</v>
      </c>
      <c r="H545" s="3340">
        <v>41333</v>
      </c>
      <c r="I545" s="3340">
        <v>41364</v>
      </c>
      <c r="J545" s="3336"/>
    </row>
    <row r="546" spans="1:12" s="3327" customFormat="1" ht="12.75" customHeight="1">
      <c r="A546" s="3323"/>
      <c r="B546" s="3324" t="s">
        <v>3128</v>
      </c>
      <c r="C546" s="3324" t="s">
        <v>3540</v>
      </c>
      <c r="D546" s="3324" t="s">
        <v>3445</v>
      </c>
      <c r="E546" s="3325">
        <v>62.4</v>
      </c>
      <c r="F546" s="3325">
        <v>350</v>
      </c>
      <c r="G546" s="3326">
        <v>41699</v>
      </c>
      <c r="H546" s="3326">
        <v>42003</v>
      </c>
      <c r="I546" s="3326">
        <v>42094</v>
      </c>
      <c r="J546" s="3324"/>
    </row>
    <row r="547" spans="1:12" s="3327" customFormat="1" ht="12.75" customHeight="1">
      <c r="A547" s="3323"/>
      <c r="B547" s="3324" t="s">
        <v>3128</v>
      </c>
      <c r="C547" s="3324" t="s">
        <v>3540</v>
      </c>
      <c r="D547" s="3324" t="s">
        <v>3445</v>
      </c>
      <c r="E547" s="3325">
        <v>62.4</v>
      </c>
      <c r="F547" s="3325">
        <v>360</v>
      </c>
      <c r="G547" s="3326">
        <v>42005</v>
      </c>
      <c r="H547" s="3326">
        <v>42093</v>
      </c>
      <c r="I547" s="3326">
        <v>42094</v>
      </c>
      <c r="J547" s="3324"/>
    </row>
    <row r="548" spans="1:12" s="3327" customFormat="1" ht="12.75" customHeight="1">
      <c r="A548" s="3323"/>
      <c r="B548" s="3336" t="s">
        <v>3128</v>
      </c>
      <c r="C548" s="3336" t="s">
        <v>3540</v>
      </c>
      <c r="D548" s="3336" t="s">
        <v>3445</v>
      </c>
      <c r="E548" s="3339">
        <v>62.4</v>
      </c>
      <c r="F548" s="3339">
        <v>360</v>
      </c>
      <c r="G548" s="3340">
        <v>42095</v>
      </c>
      <c r="H548" s="3340">
        <v>42459</v>
      </c>
      <c r="I548" s="3340">
        <v>42460</v>
      </c>
      <c r="J548" s="3324"/>
    </row>
    <row r="549" spans="1:12" s="3327" customFormat="1" ht="12.75" customHeight="1">
      <c r="A549" s="3323"/>
      <c r="B549" s="3336" t="s">
        <v>3128</v>
      </c>
      <c r="C549" s="3336" t="s">
        <v>3540</v>
      </c>
      <c r="D549" s="3336" t="s">
        <v>3445</v>
      </c>
      <c r="E549" s="3339">
        <v>62.4</v>
      </c>
      <c r="F549" s="3339">
        <v>380</v>
      </c>
      <c r="G549" s="3340">
        <v>42461</v>
      </c>
      <c r="H549" s="3340">
        <v>42824</v>
      </c>
      <c r="I549" s="3340">
        <v>42825</v>
      </c>
      <c r="J549" s="3324"/>
    </row>
    <row r="550" spans="1:12" s="3327" customFormat="1" ht="12.75" customHeight="1">
      <c r="A550" s="3323" t="s">
        <v>3151</v>
      </c>
      <c r="B550" s="3331" t="s">
        <v>3128</v>
      </c>
      <c r="C550" s="3331" t="s">
        <v>3540</v>
      </c>
      <c r="D550" s="3331" t="s">
        <v>3541</v>
      </c>
      <c r="E550" s="3332">
        <v>62.4</v>
      </c>
      <c r="F550" s="3332">
        <v>400</v>
      </c>
      <c r="G550" s="3333">
        <v>42826</v>
      </c>
      <c r="H550" s="3333">
        <v>43130</v>
      </c>
      <c r="I550" s="3333">
        <v>43190</v>
      </c>
      <c r="J550" s="3324"/>
      <c r="K550" s="3334">
        <f>E550</f>
        <v>62.4</v>
      </c>
      <c r="L550" s="3334">
        <f>F550/30</f>
        <v>13.333333333333334</v>
      </c>
    </row>
    <row r="551" spans="1:12" s="3327" customFormat="1" ht="12.75" customHeight="1">
      <c r="A551" s="3335"/>
      <c r="B551" s="3336" t="s">
        <v>3128</v>
      </c>
      <c r="C551" s="3336" t="s">
        <v>3542</v>
      </c>
      <c r="D551" s="3336" t="s">
        <v>3543</v>
      </c>
      <c r="E551" s="3339">
        <v>68.400000000000006</v>
      </c>
      <c r="F551" s="3339">
        <v>330</v>
      </c>
      <c r="G551" s="3340">
        <v>41000</v>
      </c>
      <c r="H551" s="3340">
        <v>41363</v>
      </c>
      <c r="I551" s="3340">
        <v>41364</v>
      </c>
      <c r="J551" s="3336"/>
    </row>
    <row r="552" spans="1:12" s="3327" customFormat="1" ht="12.75" customHeight="1">
      <c r="A552" s="3323"/>
      <c r="B552" s="3324" t="s">
        <v>3128</v>
      </c>
      <c r="C552" s="3324" t="s">
        <v>3544</v>
      </c>
      <c r="D552" s="3324" t="s">
        <v>3545</v>
      </c>
      <c r="E552" s="3325">
        <v>59.7</v>
      </c>
      <c r="F552" s="3325">
        <v>330</v>
      </c>
      <c r="G552" s="3326">
        <v>41000</v>
      </c>
      <c r="H552" s="3326">
        <v>41263</v>
      </c>
      <c r="I552" s="3326">
        <v>41364</v>
      </c>
      <c r="J552" s="3324"/>
    </row>
    <row r="553" spans="1:12" s="3327" customFormat="1" ht="12.75" customHeight="1">
      <c r="A553" s="3323"/>
      <c r="B553" s="3324" t="s">
        <v>3128</v>
      </c>
      <c r="C553" s="3324" t="s">
        <v>3214</v>
      </c>
      <c r="D553" s="3324" t="s">
        <v>3546</v>
      </c>
      <c r="E553" s="3325">
        <v>53.9</v>
      </c>
      <c r="F553" s="3325">
        <v>310</v>
      </c>
      <c r="G553" s="3326">
        <v>41699</v>
      </c>
      <c r="H553" s="3326">
        <v>42003</v>
      </c>
      <c r="I553" s="3326">
        <v>42094</v>
      </c>
      <c r="J553" s="3324"/>
    </row>
    <row r="554" spans="1:12" s="3327" customFormat="1" ht="12.75" customHeight="1">
      <c r="A554" s="3323"/>
      <c r="B554" s="3324" t="s">
        <v>3128</v>
      </c>
      <c r="C554" s="3324" t="s">
        <v>3214</v>
      </c>
      <c r="D554" s="3324" t="s">
        <v>3546</v>
      </c>
      <c r="E554" s="3325">
        <v>53.9</v>
      </c>
      <c r="F554" s="3325">
        <v>320</v>
      </c>
      <c r="G554" s="3326">
        <v>42005</v>
      </c>
      <c r="H554" s="3326">
        <v>42093</v>
      </c>
      <c r="I554" s="3326">
        <v>42094</v>
      </c>
      <c r="J554" s="3324"/>
    </row>
    <row r="555" spans="1:12" s="3327" customFormat="1" ht="12.75" customHeight="1">
      <c r="A555" s="3323"/>
      <c r="B555" s="3336" t="s">
        <v>3128</v>
      </c>
      <c r="C555" s="3336" t="s">
        <v>3214</v>
      </c>
      <c r="D555" s="3336" t="s">
        <v>3546</v>
      </c>
      <c r="E555" s="3339">
        <v>53.9</v>
      </c>
      <c r="F555" s="3339">
        <v>320</v>
      </c>
      <c r="G555" s="3340">
        <v>42095</v>
      </c>
      <c r="H555" s="3340">
        <v>42459</v>
      </c>
      <c r="I555" s="3340">
        <v>42460</v>
      </c>
      <c r="J555" s="3324"/>
    </row>
    <row r="556" spans="1:12" s="3327" customFormat="1" ht="12.75" customHeight="1">
      <c r="A556" s="3323"/>
      <c r="B556" s="3336" t="s">
        <v>3128</v>
      </c>
      <c r="C556" s="3336" t="s">
        <v>3287</v>
      </c>
      <c r="D556" s="3336" t="s">
        <v>3546</v>
      </c>
      <c r="E556" s="3339">
        <v>53.9</v>
      </c>
      <c r="F556" s="3339">
        <v>350</v>
      </c>
      <c r="G556" s="3340">
        <v>42461</v>
      </c>
      <c r="H556" s="3340">
        <v>42824</v>
      </c>
      <c r="I556" s="3340">
        <v>42825</v>
      </c>
      <c r="J556" s="3324"/>
    </row>
    <row r="557" spans="1:12" s="3327" customFormat="1" ht="12.75" customHeight="1">
      <c r="A557" s="3323"/>
      <c r="B557" s="3331" t="s">
        <v>3128</v>
      </c>
      <c r="C557" s="3331" t="s">
        <v>3289</v>
      </c>
      <c r="D557" s="3331" t="s">
        <v>3547</v>
      </c>
      <c r="E557" s="3332">
        <v>53.9</v>
      </c>
      <c r="F557" s="3332">
        <v>370</v>
      </c>
      <c r="G557" s="3333">
        <v>42826</v>
      </c>
      <c r="H557" s="3333">
        <v>43008</v>
      </c>
      <c r="I557" s="3333">
        <v>43190</v>
      </c>
      <c r="J557" s="3324"/>
      <c r="K557" s="3334">
        <f t="shared" ref="K557:K558" si="23">E557</f>
        <v>53.9</v>
      </c>
      <c r="L557" s="3334">
        <f t="shared" ref="L557:L558" si="24">F557/30</f>
        <v>12.333333333333334</v>
      </c>
    </row>
    <row r="558" spans="1:12" s="3327" customFormat="1" ht="12.75" customHeight="1">
      <c r="A558" s="3323" t="s">
        <v>3151</v>
      </c>
      <c r="B558" s="3331" t="s">
        <v>3128</v>
      </c>
      <c r="C558" s="3331" t="s">
        <v>3548</v>
      </c>
      <c r="D558" s="3331" t="s">
        <v>3547</v>
      </c>
      <c r="E558" s="3332">
        <v>53.9</v>
      </c>
      <c r="F558" s="3332">
        <v>370</v>
      </c>
      <c r="G558" s="3333">
        <v>43009</v>
      </c>
      <c r="H558" s="3333">
        <v>43130</v>
      </c>
      <c r="I558" s="3333">
        <v>43190</v>
      </c>
      <c r="J558" s="3324"/>
      <c r="K558" s="3334">
        <f t="shared" si="23"/>
        <v>53.9</v>
      </c>
      <c r="L558" s="3334">
        <f t="shared" si="24"/>
        <v>12.333333333333334</v>
      </c>
    </row>
    <row r="559" spans="1:12" s="3327" customFormat="1" ht="12.75" customHeight="1">
      <c r="A559" s="3323"/>
      <c r="B559" s="3324" t="s">
        <v>3128</v>
      </c>
      <c r="C559" s="3324" t="s">
        <v>3220</v>
      </c>
      <c r="D559" s="3324" t="s">
        <v>3452</v>
      </c>
      <c r="E559" s="3325">
        <v>59.5</v>
      </c>
      <c r="F559" s="3325">
        <v>300</v>
      </c>
      <c r="G559" s="3326">
        <v>41699</v>
      </c>
      <c r="H559" s="3326">
        <v>42003</v>
      </c>
      <c r="I559" s="3326">
        <v>42094</v>
      </c>
      <c r="J559" s="3324"/>
    </row>
    <row r="560" spans="1:12" s="3327" customFormat="1" ht="12.75" customHeight="1">
      <c r="A560" s="3323"/>
      <c r="B560" s="3324" t="s">
        <v>3128</v>
      </c>
      <c r="C560" s="3324" t="s">
        <v>3220</v>
      </c>
      <c r="D560" s="3324" t="s">
        <v>3452</v>
      </c>
      <c r="E560" s="3325">
        <v>59.5</v>
      </c>
      <c r="F560" s="3325">
        <v>310</v>
      </c>
      <c r="G560" s="3326">
        <v>42005</v>
      </c>
      <c r="H560" s="3326">
        <v>42093</v>
      </c>
      <c r="I560" s="3326">
        <v>42094</v>
      </c>
      <c r="J560" s="3324"/>
    </row>
    <row r="561" spans="1:12" s="3327" customFormat="1" ht="12.75" customHeight="1">
      <c r="A561" s="3323"/>
      <c r="B561" s="3336" t="s">
        <v>3128</v>
      </c>
      <c r="C561" s="3336" t="s">
        <v>3220</v>
      </c>
      <c r="D561" s="3336" t="s">
        <v>3452</v>
      </c>
      <c r="E561" s="3339">
        <v>59.5</v>
      </c>
      <c r="F561" s="3339">
        <v>310</v>
      </c>
      <c r="G561" s="3340">
        <v>42095</v>
      </c>
      <c r="H561" s="3340">
        <v>42459</v>
      </c>
      <c r="I561" s="3340">
        <v>42460</v>
      </c>
      <c r="J561" s="3324"/>
    </row>
    <row r="562" spans="1:12" s="3327" customFormat="1" ht="12.75" customHeight="1">
      <c r="A562" s="3323"/>
      <c r="B562" s="3336" t="s">
        <v>3128</v>
      </c>
      <c r="C562" s="3336" t="s">
        <v>3549</v>
      </c>
      <c r="D562" s="3336" t="s">
        <v>3452</v>
      </c>
      <c r="E562" s="3339">
        <v>59.5</v>
      </c>
      <c r="F562" s="3339">
        <v>380</v>
      </c>
      <c r="G562" s="3340">
        <v>42461</v>
      </c>
      <c r="H562" s="3340">
        <v>42824</v>
      </c>
      <c r="I562" s="3340">
        <v>42825</v>
      </c>
      <c r="J562" s="3324"/>
    </row>
    <row r="563" spans="1:12" s="3327" customFormat="1" ht="12.75" customHeight="1">
      <c r="A563" s="3323" t="s">
        <v>3550</v>
      </c>
      <c r="B563" s="3331" t="s">
        <v>3128</v>
      </c>
      <c r="C563" s="3331" t="s">
        <v>3549</v>
      </c>
      <c r="D563" s="3331" t="s">
        <v>3551</v>
      </c>
      <c r="E563" s="3332">
        <v>59.5</v>
      </c>
      <c r="F563" s="3332">
        <v>370</v>
      </c>
      <c r="G563" s="3333">
        <v>42826</v>
      </c>
      <c r="H563" s="3333">
        <v>42885</v>
      </c>
      <c r="I563" s="3333">
        <v>43190</v>
      </c>
      <c r="J563" s="3324"/>
      <c r="K563" s="3334">
        <f t="shared" ref="K563:K565" si="25">E563</f>
        <v>59.5</v>
      </c>
      <c r="L563" s="3334">
        <f t="shared" ref="L563:L565" si="26">F563/30</f>
        <v>12.333333333333334</v>
      </c>
    </row>
    <row r="564" spans="1:12" s="3327" customFormat="1" ht="12.75" customHeight="1">
      <c r="A564" s="3323" t="s">
        <v>3151</v>
      </c>
      <c r="B564" s="3331" t="s">
        <v>3128</v>
      </c>
      <c r="C564" s="3331" t="s">
        <v>3549</v>
      </c>
      <c r="D564" s="3331" t="s">
        <v>3528</v>
      </c>
      <c r="E564" s="3332">
        <v>22.81</v>
      </c>
      <c r="F564" s="3332">
        <v>370</v>
      </c>
      <c r="G564" s="3333">
        <v>42887</v>
      </c>
      <c r="H564" s="3333">
        <v>43130</v>
      </c>
      <c r="I564" s="3333">
        <v>43190</v>
      </c>
      <c r="J564" s="3324"/>
      <c r="K564" s="3334">
        <f t="shared" si="25"/>
        <v>22.81</v>
      </c>
      <c r="L564" s="3334">
        <f t="shared" si="26"/>
        <v>12.333333333333334</v>
      </c>
    </row>
    <row r="565" spans="1:12" s="3327" customFormat="1" ht="12.75" customHeight="1">
      <c r="A565" s="3323" t="s">
        <v>3151</v>
      </c>
      <c r="B565" s="3331" t="s">
        <v>3128</v>
      </c>
      <c r="C565" s="3331" t="s">
        <v>3552</v>
      </c>
      <c r="D565" s="3331" t="s">
        <v>3551</v>
      </c>
      <c r="E565" s="3332">
        <v>36.69</v>
      </c>
      <c r="F565" s="3332">
        <v>370</v>
      </c>
      <c r="G565" s="3333">
        <v>42887</v>
      </c>
      <c r="H565" s="3333">
        <v>43130</v>
      </c>
      <c r="I565" s="3333">
        <v>43190</v>
      </c>
      <c r="J565" s="3324"/>
      <c r="K565" s="3334">
        <f t="shared" si="25"/>
        <v>36.69</v>
      </c>
      <c r="L565" s="3334">
        <f t="shared" si="26"/>
        <v>12.333333333333334</v>
      </c>
    </row>
    <row r="566" spans="1:12" s="3327" customFormat="1" ht="12.75" customHeight="1">
      <c r="A566" s="3335"/>
      <c r="B566" s="3336" t="s">
        <v>3128</v>
      </c>
      <c r="C566" s="3336" t="s">
        <v>3553</v>
      </c>
      <c r="D566" s="3336" t="s">
        <v>3554</v>
      </c>
      <c r="E566" s="3339">
        <v>57.2</v>
      </c>
      <c r="F566" s="3339">
        <v>330</v>
      </c>
      <c r="G566" s="3340">
        <v>41214</v>
      </c>
      <c r="H566" s="3340">
        <v>41363</v>
      </c>
      <c r="I566" s="3340">
        <v>41364</v>
      </c>
      <c r="J566" s="3336"/>
    </row>
    <row r="567" spans="1:12" s="3327" customFormat="1" ht="12.75" customHeight="1">
      <c r="A567" s="3323"/>
      <c r="B567" s="3324" t="s">
        <v>3128</v>
      </c>
      <c r="C567" s="3324" t="s">
        <v>3555</v>
      </c>
      <c r="D567" s="3324" t="s">
        <v>3556</v>
      </c>
      <c r="E567" s="3325">
        <v>52.7</v>
      </c>
      <c r="F567" s="3325">
        <v>330</v>
      </c>
      <c r="G567" s="3326">
        <v>41699</v>
      </c>
      <c r="H567" s="3326">
        <v>42093</v>
      </c>
      <c r="I567" s="3326">
        <v>42094</v>
      </c>
      <c r="J567" s="3324"/>
    </row>
    <row r="568" spans="1:12" s="3327" customFormat="1" ht="12.75" customHeight="1">
      <c r="A568" s="3323"/>
      <c r="B568" s="3336" t="s">
        <v>3128</v>
      </c>
      <c r="C568" s="3336" t="s">
        <v>3555</v>
      </c>
      <c r="D568" s="3336" t="s">
        <v>3556</v>
      </c>
      <c r="E568" s="3339">
        <v>52.7</v>
      </c>
      <c r="F568" s="3339">
        <v>340</v>
      </c>
      <c r="G568" s="3340">
        <v>42095</v>
      </c>
      <c r="H568" s="3340">
        <v>42459</v>
      </c>
      <c r="I568" s="3340">
        <v>42460</v>
      </c>
      <c r="J568" s="3324"/>
    </row>
    <row r="569" spans="1:12" s="3327" customFormat="1" ht="12.75" customHeight="1">
      <c r="A569" s="3323"/>
      <c r="B569" s="3336" t="s">
        <v>3128</v>
      </c>
      <c r="C569" s="3336" t="s">
        <v>3557</v>
      </c>
      <c r="D569" s="3336" t="s">
        <v>3556</v>
      </c>
      <c r="E569" s="3339">
        <v>52.7</v>
      </c>
      <c r="F569" s="3339">
        <v>380</v>
      </c>
      <c r="G569" s="3340">
        <v>42461</v>
      </c>
      <c r="H569" s="3340">
        <v>42824</v>
      </c>
      <c r="I569" s="3340">
        <v>42825</v>
      </c>
      <c r="J569" s="3324"/>
    </row>
    <row r="570" spans="1:12" s="3327" customFormat="1" ht="12.75" customHeight="1">
      <c r="A570" s="3323"/>
      <c r="B570" s="3331" t="s">
        <v>3128</v>
      </c>
      <c r="C570" s="3331" t="s">
        <v>3557</v>
      </c>
      <c r="D570" s="3331" t="s">
        <v>3558</v>
      </c>
      <c r="E570" s="3332">
        <v>52.7</v>
      </c>
      <c r="F570" s="3332">
        <v>390</v>
      </c>
      <c r="G570" s="3333">
        <v>42826</v>
      </c>
      <c r="H570" s="3333">
        <v>42986</v>
      </c>
      <c r="I570" s="3333">
        <v>43190</v>
      </c>
      <c r="J570" s="3324"/>
      <c r="K570" s="3334">
        <f>E570</f>
        <v>52.7</v>
      </c>
      <c r="L570" s="3334">
        <f>F570/30</f>
        <v>13</v>
      </c>
    </row>
    <row r="571" spans="1:12" s="3327" customFormat="1" ht="12.75" customHeight="1">
      <c r="A571" s="3323" t="s">
        <v>3151</v>
      </c>
      <c r="B571" s="3331" t="s">
        <v>3128</v>
      </c>
      <c r="C571" s="3331" t="s">
        <v>3557</v>
      </c>
      <c r="D571" s="3331" t="s">
        <v>3558</v>
      </c>
      <c r="E571" s="3332">
        <v>52.7</v>
      </c>
      <c r="F571" s="3332">
        <v>390</v>
      </c>
      <c r="G571" s="3333">
        <v>42987</v>
      </c>
      <c r="H571" s="3333">
        <v>43130</v>
      </c>
      <c r="I571" s="3333">
        <v>43190</v>
      </c>
      <c r="J571" s="3324"/>
      <c r="K571" s="3334">
        <f>E571</f>
        <v>52.7</v>
      </c>
      <c r="L571" s="3334">
        <f>F571/30</f>
        <v>13</v>
      </c>
    </row>
    <row r="572" spans="1:12" s="3327" customFormat="1" ht="13.5" customHeight="1">
      <c r="A572" s="3335"/>
      <c r="B572" s="3336" t="s">
        <v>3128</v>
      </c>
      <c r="C572" s="3336" t="s">
        <v>3559</v>
      </c>
      <c r="D572" s="3336" t="s">
        <v>3560</v>
      </c>
      <c r="E572" s="3339">
        <v>57.1</v>
      </c>
      <c r="F572" s="3339">
        <v>350</v>
      </c>
      <c r="G572" s="3340">
        <v>41000</v>
      </c>
      <c r="H572" s="3340">
        <v>41363</v>
      </c>
      <c r="I572" s="3340">
        <v>41364</v>
      </c>
      <c r="J572" s="3336"/>
    </row>
    <row r="573" spans="1:12" s="3327" customFormat="1" ht="12.75" customHeight="1">
      <c r="A573" s="3323"/>
      <c r="B573" s="3324" t="s">
        <v>3128</v>
      </c>
      <c r="C573" s="3324" t="s">
        <v>3561</v>
      </c>
      <c r="D573" s="3324" t="s">
        <v>3562</v>
      </c>
      <c r="E573" s="3325">
        <v>52.9</v>
      </c>
      <c r="F573" s="3325">
        <v>350</v>
      </c>
      <c r="G573" s="3326">
        <v>41699</v>
      </c>
      <c r="H573" s="3326">
        <v>42003</v>
      </c>
      <c r="I573" s="3326">
        <v>42094</v>
      </c>
      <c r="J573" s="3324"/>
    </row>
    <row r="574" spans="1:12" s="3327" customFormat="1" ht="12.75" customHeight="1">
      <c r="A574" s="3323"/>
      <c r="B574" s="3324" t="s">
        <v>3128</v>
      </c>
      <c r="C574" s="3324" t="s">
        <v>3561</v>
      </c>
      <c r="D574" s="3324" t="s">
        <v>3562</v>
      </c>
      <c r="E574" s="3325">
        <v>52.9</v>
      </c>
      <c r="F574" s="3325">
        <v>360</v>
      </c>
      <c r="G574" s="3326">
        <v>42005</v>
      </c>
      <c r="H574" s="3326">
        <v>42093</v>
      </c>
      <c r="I574" s="3326">
        <v>42094</v>
      </c>
      <c r="J574" s="3324"/>
    </row>
    <row r="575" spans="1:12" s="3327" customFormat="1" ht="12.75" customHeight="1">
      <c r="A575" s="3323"/>
      <c r="B575" s="3336" t="s">
        <v>3128</v>
      </c>
      <c r="C575" s="3336" t="s">
        <v>3561</v>
      </c>
      <c r="D575" s="3336" t="s">
        <v>3562</v>
      </c>
      <c r="E575" s="3339">
        <v>52.9</v>
      </c>
      <c r="F575" s="3339">
        <v>360</v>
      </c>
      <c r="G575" s="3340">
        <v>42095</v>
      </c>
      <c r="H575" s="3340">
        <v>42141</v>
      </c>
      <c r="I575" s="3340">
        <v>42460</v>
      </c>
      <c r="J575" s="3324"/>
    </row>
    <row r="576" spans="1:12" s="3327" customFormat="1" ht="12.75" customHeight="1">
      <c r="A576" s="3323"/>
      <c r="B576" s="3336" t="s">
        <v>3128</v>
      </c>
      <c r="C576" s="3336" t="s">
        <v>3561</v>
      </c>
      <c r="D576" s="3336" t="s">
        <v>3563</v>
      </c>
      <c r="E576" s="3339">
        <v>95.1</v>
      </c>
      <c r="F576" s="3339">
        <v>365</v>
      </c>
      <c r="G576" s="3340">
        <v>42142</v>
      </c>
      <c r="H576" s="3340">
        <v>42459</v>
      </c>
      <c r="I576" s="3340">
        <v>42460</v>
      </c>
      <c r="J576" s="3324"/>
    </row>
    <row r="577" spans="1:12" s="3327" customFormat="1" ht="12.75" customHeight="1">
      <c r="A577" s="3323"/>
      <c r="B577" s="3336" t="s">
        <v>3128</v>
      </c>
      <c r="C577" s="3336" t="s">
        <v>3561</v>
      </c>
      <c r="D577" s="3336" t="s">
        <v>3563</v>
      </c>
      <c r="E577" s="3338">
        <v>95.11</v>
      </c>
      <c r="F577" s="3339">
        <v>375</v>
      </c>
      <c r="G577" s="3340">
        <v>42461</v>
      </c>
      <c r="H577" s="3340">
        <v>42824</v>
      </c>
      <c r="I577" s="3340">
        <v>42825</v>
      </c>
      <c r="J577" s="3324"/>
    </row>
    <row r="578" spans="1:12" s="3327" customFormat="1" ht="12.75" customHeight="1">
      <c r="A578" s="3323"/>
      <c r="B578" s="3331" t="s">
        <v>3128</v>
      </c>
      <c r="C578" s="3331" t="s">
        <v>3564</v>
      </c>
      <c r="D578" s="3331" t="s">
        <v>3565</v>
      </c>
      <c r="E578" s="3347">
        <v>95.11</v>
      </c>
      <c r="F578" s="3332">
        <v>380</v>
      </c>
      <c r="G578" s="3333">
        <v>42826</v>
      </c>
      <c r="H578" s="3333">
        <v>43088</v>
      </c>
      <c r="I578" s="3333">
        <v>43190</v>
      </c>
      <c r="J578" s="3324"/>
      <c r="K578" s="3334">
        <f t="shared" ref="K578:K579" si="27">E578</f>
        <v>95.11</v>
      </c>
      <c r="L578" s="3334">
        <f t="shared" ref="L578:L579" si="28">F578/30</f>
        <v>12.666666666666666</v>
      </c>
    </row>
    <row r="579" spans="1:12" s="3327" customFormat="1" ht="12.75" customHeight="1">
      <c r="A579" s="3323" t="s">
        <v>3151</v>
      </c>
      <c r="B579" s="3331" t="s">
        <v>3128</v>
      </c>
      <c r="C579" s="3331" t="s">
        <v>3564</v>
      </c>
      <c r="D579" s="3331" t="s">
        <v>3565</v>
      </c>
      <c r="E579" s="3347">
        <v>95.11</v>
      </c>
      <c r="F579" s="3332">
        <v>380</v>
      </c>
      <c r="G579" s="3333">
        <v>43089</v>
      </c>
      <c r="H579" s="3333">
        <v>43130</v>
      </c>
      <c r="I579" s="3333">
        <v>43190</v>
      </c>
      <c r="J579" s="3324"/>
      <c r="K579" s="3334">
        <f t="shared" si="27"/>
        <v>95.11</v>
      </c>
      <c r="L579" s="3334">
        <f t="shared" si="28"/>
        <v>12.666666666666666</v>
      </c>
    </row>
    <row r="580" spans="1:12" s="3327" customFormat="1" ht="12.75" customHeight="1">
      <c r="A580" s="3335"/>
      <c r="B580" s="3336" t="s">
        <v>3128</v>
      </c>
      <c r="C580" s="3336" t="s">
        <v>3566</v>
      </c>
      <c r="D580" s="3336" t="s">
        <v>3567</v>
      </c>
      <c r="E580" s="3339">
        <v>47.1</v>
      </c>
      <c r="F580" s="3339">
        <v>330</v>
      </c>
      <c r="G580" s="3340">
        <v>41000</v>
      </c>
      <c r="H580" s="3340">
        <v>41373</v>
      </c>
      <c r="I580" s="3340">
        <v>41364</v>
      </c>
      <c r="J580" s="3336"/>
    </row>
    <row r="581" spans="1:12" s="3327" customFormat="1" ht="12.75" customHeight="1">
      <c r="A581" s="3335"/>
      <c r="B581" s="3336" t="s">
        <v>3128</v>
      </c>
      <c r="C581" s="3336" t="s">
        <v>3568</v>
      </c>
      <c r="D581" s="3336" t="s">
        <v>3514</v>
      </c>
      <c r="E581" s="3339">
        <v>39.800000000000004</v>
      </c>
      <c r="F581" s="3339">
        <v>330</v>
      </c>
      <c r="G581" s="3340">
        <v>41381</v>
      </c>
      <c r="H581" s="3340">
        <v>41698</v>
      </c>
      <c r="I581" s="3340">
        <v>41729</v>
      </c>
      <c r="J581" s="3336"/>
    </row>
    <row r="582" spans="1:12" s="3327" customFormat="1" ht="12.75" customHeight="1">
      <c r="A582" s="3323"/>
      <c r="B582" s="3324" t="s">
        <v>3128</v>
      </c>
      <c r="C582" s="3324" t="s">
        <v>3569</v>
      </c>
      <c r="D582" s="3324" t="s">
        <v>3570</v>
      </c>
      <c r="E582" s="3325">
        <v>61</v>
      </c>
      <c r="F582" s="3325">
        <v>330</v>
      </c>
      <c r="G582" s="3326">
        <v>40264</v>
      </c>
      <c r="H582" s="3326">
        <v>40632</v>
      </c>
      <c r="I582" s="3326">
        <v>40632</v>
      </c>
      <c r="J582" s="3324"/>
    </row>
    <row r="583" spans="1:12" s="3327" customFormat="1" ht="12.75" customHeight="1">
      <c r="A583" s="3323"/>
      <c r="B583" s="3324" t="s">
        <v>3128</v>
      </c>
      <c r="C583" s="3324" t="s">
        <v>3571</v>
      </c>
      <c r="D583" s="3324" t="s">
        <v>3514</v>
      </c>
      <c r="E583" s="3325">
        <v>37.9</v>
      </c>
      <c r="F583" s="3325">
        <v>340</v>
      </c>
      <c r="G583" s="3326">
        <v>41699</v>
      </c>
      <c r="H583" s="3326">
        <v>42003</v>
      </c>
      <c r="I583" s="3326">
        <v>42094</v>
      </c>
      <c r="J583" s="3324"/>
    </row>
    <row r="584" spans="1:12" s="3327" customFormat="1" ht="12.75" customHeight="1">
      <c r="A584" s="3323"/>
      <c r="B584" s="3324" t="s">
        <v>3128</v>
      </c>
      <c r="C584" s="3324" t="s">
        <v>3571</v>
      </c>
      <c r="D584" s="3324" t="s">
        <v>3514</v>
      </c>
      <c r="E584" s="3325">
        <v>37.9</v>
      </c>
      <c r="F584" s="3325">
        <v>360</v>
      </c>
      <c r="G584" s="3326">
        <v>42005</v>
      </c>
      <c r="H584" s="3326">
        <v>42093</v>
      </c>
      <c r="I584" s="3326">
        <v>42094</v>
      </c>
      <c r="J584" s="3324"/>
    </row>
    <row r="585" spans="1:12" s="3327" customFormat="1" ht="12.75" customHeight="1">
      <c r="A585" s="3323"/>
      <c r="B585" s="3336" t="s">
        <v>3128</v>
      </c>
      <c r="C585" s="3336" t="s">
        <v>3571</v>
      </c>
      <c r="D585" s="3336" t="s">
        <v>3514</v>
      </c>
      <c r="E585" s="3339">
        <v>37.9</v>
      </c>
      <c r="F585" s="3339">
        <v>360</v>
      </c>
      <c r="G585" s="3340">
        <v>42095</v>
      </c>
      <c r="H585" s="3340">
        <v>42459</v>
      </c>
      <c r="I585" s="3340">
        <v>42460</v>
      </c>
      <c r="J585" s="3324"/>
    </row>
    <row r="586" spans="1:12" s="3327" customFormat="1" ht="12.75" customHeight="1">
      <c r="A586" s="3323"/>
      <c r="B586" s="3336" t="s">
        <v>3128</v>
      </c>
      <c r="C586" s="3336" t="s">
        <v>3571</v>
      </c>
      <c r="D586" s="3336" t="s">
        <v>3514</v>
      </c>
      <c r="E586" s="3339">
        <v>37.9</v>
      </c>
      <c r="F586" s="3339">
        <v>370</v>
      </c>
      <c r="G586" s="3340">
        <v>42461</v>
      </c>
      <c r="H586" s="3340">
        <v>42824</v>
      </c>
      <c r="I586" s="3340">
        <v>42825</v>
      </c>
      <c r="J586" s="3324"/>
    </row>
    <row r="587" spans="1:12" s="3327" customFormat="1" ht="12.75" customHeight="1">
      <c r="A587" s="3323" t="s">
        <v>3151</v>
      </c>
      <c r="B587" s="3331" t="s">
        <v>3128</v>
      </c>
      <c r="C587" s="3331" t="s">
        <v>3572</v>
      </c>
      <c r="D587" s="3331" t="s">
        <v>3562</v>
      </c>
      <c r="E587" s="3332">
        <v>37.9</v>
      </c>
      <c r="F587" s="3332">
        <v>390</v>
      </c>
      <c r="G587" s="3333">
        <v>42826</v>
      </c>
      <c r="H587" s="3333">
        <v>43130</v>
      </c>
      <c r="I587" s="3333">
        <v>43190</v>
      </c>
      <c r="J587" s="3324"/>
      <c r="K587" s="3334">
        <f>E587</f>
        <v>37.9</v>
      </c>
      <c r="L587" s="3334">
        <f>F587/30</f>
        <v>13</v>
      </c>
    </row>
    <row r="588" spans="1:12" s="3327" customFormat="1" ht="13.5" customHeight="1">
      <c r="A588" s="3323"/>
      <c r="B588" s="3324" t="s">
        <v>3128</v>
      </c>
      <c r="C588" s="3324" t="s">
        <v>3457</v>
      </c>
      <c r="D588" s="3324" t="s">
        <v>3573</v>
      </c>
      <c r="E588" s="3325">
        <v>40</v>
      </c>
      <c r="F588" s="3325">
        <v>340</v>
      </c>
      <c r="G588" s="3326">
        <v>41699</v>
      </c>
      <c r="H588" s="3326">
        <v>42003</v>
      </c>
      <c r="I588" s="3326">
        <v>42094</v>
      </c>
      <c r="J588" s="3324"/>
    </row>
    <row r="589" spans="1:12" s="3327" customFormat="1" ht="13.5" customHeight="1">
      <c r="A589" s="3323"/>
      <c r="B589" s="3324" t="s">
        <v>3128</v>
      </c>
      <c r="C589" s="3324" t="s">
        <v>3457</v>
      </c>
      <c r="D589" s="3324" t="s">
        <v>3573</v>
      </c>
      <c r="E589" s="3325">
        <v>40</v>
      </c>
      <c r="F589" s="3325">
        <v>360</v>
      </c>
      <c r="G589" s="3326">
        <v>42005</v>
      </c>
      <c r="H589" s="3326">
        <v>42093</v>
      </c>
      <c r="I589" s="3326">
        <v>42094</v>
      </c>
      <c r="J589" s="3324"/>
    </row>
    <row r="590" spans="1:12" s="3327" customFormat="1" ht="13.5" customHeight="1">
      <c r="A590" s="3323"/>
      <c r="B590" s="3336" t="s">
        <v>3128</v>
      </c>
      <c r="C590" s="3336" t="s">
        <v>3457</v>
      </c>
      <c r="D590" s="3336" t="s">
        <v>3573</v>
      </c>
      <c r="E590" s="3339">
        <v>40</v>
      </c>
      <c r="F590" s="3339">
        <v>360</v>
      </c>
      <c r="G590" s="3340">
        <v>42095</v>
      </c>
      <c r="H590" s="3340">
        <v>42154</v>
      </c>
      <c r="I590" s="3340">
        <v>42460</v>
      </c>
      <c r="J590" s="3324"/>
    </row>
    <row r="591" spans="1:12" s="3327" customFormat="1" ht="13.5" customHeight="1">
      <c r="A591" s="3323"/>
      <c r="B591" s="3336" t="s">
        <v>3128</v>
      </c>
      <c r="C591" s="3336" t="s">
        <v>3574</v>
      </c>
      <c r="D591" s="3336" t="s">
        <v>3573</v>
      </c>
      <c r="E591" s="3339">
        <v>40</v>
      </c>
      <c r="F591" s="3339">
        <v>360</v>
      </c>
      <c r="G591" s="3340">
        <v>42156</v>
      </c>
      <c r="H591" s="3340">
        <v>42459</v>
      </c>
      <c r="I591" s="3340">
        <v>42460</v>
      </c>
      <c r="J591" s="3324"/>
    </row>
    <row r="592" spans="1:12" s="3327" customFormat="1" ht="13.5" customHeight="1">
      <c r="A592" s="3323"/>
      <c r="B592" s="3336" t="s">
        <v>3128</v>
      </c>
      <c r="C592" s="3336" t="s">
        <v>3574</v>
      </c>
      <c r="D592" s="3336" t="s">
        <v>3573</v>
      </c>
      <c r="E592" s="3339">
        <v>40</v>
      </c>
      <c r="F592" s="3339">
        <v>370</v>
      </c>
      <c r="G592" s="3340">
        <v>42461</v>
      </c>
      <c r="H592" s="3340">
        <v>42824</v>
      </c>
      <c r="I592" s="3340">
        <v>42825</v>
      </c>
      <c r="J592" s="3324"/>
    </row>
    <row r="593" spans="1:12" s="3327" customFormat="1" ht="13.5" customHeight="1">
      <c r="A593" s="3323"/>
      <c r="B593" s="3331" t="s">
        <v>3128</v>
      </c>
      <c r="C593" s="3331" t="s">
        <v>3574</v>
      </c>
      <c r="D593" s="3331" t="s">
        <v>3506</v>
      </c>
      <c r="E593" s="3332">
        <v>40</v>
      </c>
      <c r="F593" s="3332">
        <v>390</v>
      </c>
      <c r="G593" s="3333">
        <v>42826</v>
      </c>
      <c r="H593" s="3333">
        <v>42885</v>
      </c>
      <c r="I593" s="3333">
        <v>43190</v>
      </c>
      <c r="J593" s="3324"/>
      <c r="K593" s="3334">
        <f t="shared" ref="K593:K595" si="29">E593</f>
        <v>40</v>
      </c>
      <c r="L593" s="3334">
        <f t="shared" ref="L593:L595" si="30">F593/30</f>
        <v>13</v>
      </c>
    </row>
    <row r="594" spans="1:12" s="3327" customFormat="1" ht="13.5" customHeight="1">
      <c r="A594" s="3323"/>
      <c r="B594" s="3331" t="s">
        <v>3128</v>
      </c>
      <c r="C594" s="3331" t="s">
        <v>3574</v>
      </c>
      <c r="D594" s="3331" t="s">
        <v>3506</v>
      </c>
      <c r="E594" s="3332">
        <v>40</v>
      </c>
      <c r="F594" s="3332">
        <v>390</v>
      </c>
      <c r="G594" s="3333">
        <v>42887</v>
      </c>
      <c r="H594" s="3333">
        <v>42983</v>
      </c>
      <c r="I594" s="3333">
        <v>43190</v>
      </c>
      <c r="J594" s="3324"/>
      <c r="K594" s="3334">
        <f t="shared" si="29"/>
        <v>40</v>
      </c>
      <c r="L594" s="3334">
        <f t="shared" si="30"/>
        <v>13</v>
      </c>
    </row>
    <row r="595" spans="1:12" s="3327" customFormat="1" ht="13.5" customHeight="1">
      <c r="A595" s="3323" t="s">
        <v>3151</v>
      </c>
      <c r="B595" s="3331" t="s">
        <v>3128</v>
      </c>
      <c r="C595" s="3331" t="s">
        <v>3574</v>
      </c>
      <c r="D595" s="3331" t="s">
        <v>3506</v>
      </c>
      <c r="E595" s="3332">
        <v>40</v>
      </c>
      <c r="F595" s="3332">
        <v>390</v>
      </c>
      <c r="G595" s="3333">
        <v>42984</v>
      </c>
      <c r="H595" s="3333">
        <v>43130</v>
      </c>
      <c r="I595" s="3333">
        <v>43190</v>
      </c>
      <c r="J595" s="3324"/>
      <c r="K595" s="3334">
        <f t="shared" si="29"/>
        <v>40</v>
      </c>
      <c r="L595" s="3334">
        <f t="shared" si="30"/>
        <v>13</v>
      </c>
    </row>
    <row r="596" spans="1:12" s="3327" customFormat="1" ht="12.75" customHeight="1">
      <c r="A596" s="3323"/>
      <c r="B596" s="3324" t="s">
        <v>3128</v>
      </c>
      <c r="C596" s="3324" t="s">
        <v>3575</v>
      </c>
      <c r="D596" s="3324" t="s">
        <v>3576</v>
      </c>
      <c r="E596" s="3325">
        <v>40.299999999999997</v>
      </c>
      <c r="F596" s="3325">
        <v>340</v>
      </c>
      <c r="G596" s="3326">
        <v>41699</v>
      </c>
      <c r="H596" s="3326">
        <v>42003</v>
      </c>
      <c r="I596" s="3326">
        <v>42094</v>
      </c>
      <c r="J596" s="3324"/>
    </row>
    <row r="597" spans="1:12" s="3327" customFormat="1" ht="12.75" customHeight="1">
      <c r="A597" s="3323"/>
      <c r="B597" s="3324" t="s">
        <v>3128</v>
      </c>
      <c r="C597" s="3324" t="s">
        <v>3575</v>
      </c>
      <c r="D597" s="3324" t="s">
        <v>3576</v>
      </c>
      <c r="E597" s="3325">
        <v>40.299999999999997</v>
      </c>
      <c r="F597" s="3325">
        <v>360</v>
      </c>
      <c r="G597" s="3326">
        <v>42005</v>
      </c>
      <c r="H597" s="3326">
        <v>42093</v>
      </c>
      <c r="I597" s="3326">
        <v>42094</v>
      </c>
      <c r="J597" s="3324"/>
    </row>
    <row r="598" spans="1:12" s="3327" customFormat="1" ht="12.75" customHeight="1">
      <c r="A598" s="3323"/>
      <c r="B598" s="3336" t="s">
        <v>3128</v>
      </c>
      <c r="C598" s="3336" t="s">
        <v>3575</v>
      </c>
      <c r="D598" s="3336" t="s">
        <v>3576</v>
      </c>
      <c r="E598" s="3339">
        <v>40.299999999999997</v>
      </c>
      <c r="F598" s="3339">
        <v>360</v>
      </c>
      <c r="G598" s="3348">
        <v>42095</v>
      </c>
      <c r="H598" s="3348">
        <v>42215</v>
      </c>
      <c r="I598" s="3348">
        <v>42460</v>
      </c>
      <c r="J598" s="3324"/>
    </row>
    <row r="599" spans="1:12" s="3327" customFormat="1" ht="12.75" customHeight="1">
      <c r="A599" s="3323"/>
      <c r="B599" s="3336" t="s">
        <v>3128</v>
      </c>
      <c r="C599" s="3336" t="s">
        <v>3577</v>
      </c>
      <c r="D599" s="3336" t="s">
        <v>3576</v>
      </c>
      <c r="E599" s="3339">
        <v>40.299999999999997</v>
      </c>
      <c r="F599" s="3339">
        <v>360</v>
      </c>
      <c r="G599" s="3340">
        <v>42270</v>
      </c>
      <c r="H599" s="3340">
        <v>42459</v>
      </c>
      <c r="I599" s="3340">
        <v>42460</v>
      </c>
      <c r="J599" s="3324"/>
    </row>
    <row r="600" spans="1:12" s="3327" customFormat="1" ht="12.75" customHeight="1">
      <c r="A600" s="3323"/>
      <c r="B600" s="3336" t="s">
        <v>3128</v>
      </c>
      <c r="C600" s="3336" t="s">
        <v>3577</v>
      </c>
      <c r="D600" s="3336" t="s">
        <v>3576</v>
      </c>
      <c r="E600" s="3339">
        <v>40.299999999999997</v>
      </c>
      <c r="F600" s="3339">
        <v>370</v>
      </c>
      <c r="G600" s="3340">
        <v>42461</v>
      </c>
      <c r="H600" s="3340">
        <v>42824</v>
      </c>
      <c r="I600" s="3340">
        <v>42825</v>
      </c>
      <c r="J600" s="3324"/>
    </row>
    <row r="601" spans="1:12" s="3327" customFormat="1" ht="12.75" customHeight="1">
      <c r="A601" s="3323" t="s">
        <v>3151</v>
      </c>
      <c r="B601" s="3331" t="s">
        <v>3128</v>
      </c>
      <c r="C601" s="3331" t="s">
        <v>3577</v>
      </c>
      <c r="D601" s="3331" t="s">
        <v>3578</v>
      </c>
      <c r="E601" s="3332">
        <v>40.299999999999997</v>
      </c>
      <c r="F601" s="3332">
        <v>390</v>
      </c>
      <c r="G601" s="3333">
        <v>42826</v>
      </c>
      <c r="H601" s="3333">
        <v>43130</v>
      </c>
      <c r="I601" s="3333">
        <v>43190</v>
      </c>
      <c r="J601" s="3324"/>
      <c r="K601" s="3334">
        <f>E601</f>
        <v>40.299999999999997</v>
      </c>
      <c r="L601" s="3334">
        <f>F601/30</f>
        <v>13</v>
      </c>
    </row>
    <row r="602" spans="1:12" s="3327" customFormat="1" ht="12.75" customHeight="1">
      <c r="A602" s="3335"/>
      <c r="B602" s="3336" t="s">
        <v>3128</v>
      </c>
      <c r="C602" s="3336" t="s">
        <v>3142</v>
      </c>
      <c r="D602" s="3336" t="s">
        <v>3579</v>
      </c>
      <c r="E602" s="3339">
        <v>87.1</v>
      </c>
      <c r="F602" s="3339">
        <v>360</v>
      </c>
      <c r="G602" s="3340">
        <v>41000</v>
      </c>
      <c r="H602" s="3340">
        <v>41363</v>
      </c>
      <c r="I602" s="3340">
        <v>41364</v>
      </c>
      <c r="J602" s="3336"/>
    </row>
    <row r="603" spans="1:12" s="3327" customFormat="1" ht="12.75" customHeight="1">
      <c r="A603" s="3335"/>
      <c r="B603" s="3336" t="s">
        <v>3128</v>
      </c>
      <c r="C603" s="3336" t="s">
        <v>3323</v>
      </c>
      <c r="D603" s="3336" t="s">
        <v>3502</v>
      </c>
      <c r="E603" s="3339">
        <v>38.699999999999996</v>
      </c>
      <c r="F603" s="3339">
        <v>360</v>
      </c>
      <c r="G603" s="3340">
        <v>41383</v>
      </c>
      <c r="H603" s="3340">
        <v>41698</v>
      </c>
      <c r="I603" s="3340">
        <v>41729</v>
      </c>
      <c r="J603" s="3336"/>
    </row>
    <row r="604" spans="1:12" s="3327" customFormat="1" ht="12.75" customHeight="1">
      <c r="A604" s="3323"/>
      <c r="B604" s="3324" t="s">
        <v>3128</v>
      </c>
      <c r="C604" s="3324" t="s">
        <v>3580</v>
      </c>
      <c r="D604" s="3324" t="s">
        <v>3581</v>
      </c>
      <c r="E604" s="3325">
        <v>87.1</v>
      </c>
      <c r="F604" s="3325">
        <v>350</v>
      </c>
      <c r="G604" s="3326">
        <v>41699</v>
      </c>
      <c r="H604" s="3326">
        <v>42003</v>
      </c>
      <c r="I604" s="3326">
        <v>42094</v>
      </c>
      <c r="J604" s="3324"/>
    </row>
    <row r="605" spans="1:12" s="3327" customFormat="1" ht="12.75" customHeight="1">
      <c r="A605" s="3323"/>
      <c r="B605" s="3324" t="s">
        <v>3128</v>
      </c>
      <c r="C605" s="3324" t="s">
        <v>3580</v>
      </c>
      <c r="D605" s="3324" t="s">
        <v>3581</v>
      </c>
      <c r="E605" s="3325">
        <v>87.1</v>
      </c>
      <c r="F605" s="3325">
        <v>360</v>
      </c>
      <c r="G605" s="3326">
        <v>42005</v>
      </c>
      <c r="H605" s="3326">
        <v>42093</v>
      </c>
      <c r="I605" s="3326">
        <v>42094</v>
      </c>
      <c r="J605" s="3324"/>
    </row>
    <row r="606" spans="1:12" s="3327" customFormat="1" ht="12.75" customHeight="1">
      <c r="A606" s="3323"/>
      <c r="B606" s="3336" t="s">
        <v>3128</v>
      </c>
      <c r="C606" s="3336" t="s">
        <v>3580</v>
      </c>
      <c r="D606" s="3336" t="s">
        <v>3581</v>
      </c>
      <c r="E606" s="3339">
        <v>87.1</v>
      </c>
      <c r="F606" s="3339">
        <v>360</v>
      </c>
      <c r="G606" s="3340">
        <v>42095</v>
      </c>
      <c r="H606" s="3340">
        <v>42459</v>
      </c>
      <c r="I606" s="3340">
        <v>42460</v>
      </c>
      <c r="J606" s="3324"/>
    </row>
    <row r="607" spans="1:12" s="3327" customFormat="1" ht="12.75" customHeight="1">
      <c r="A607" s="3323"/>
      <c r="B607" s="3336" t="s">
        <v>3128</v>
      </c>
      <c r="C607" s="3336" t="s">
        <v>3580</v>
      </c>
      <c r="D607" s="3336" t="s">
        <v>3581</v>
      </c>
      <c r="E607" s="3339">
        <v>87.1</v>
      </c>
      <c r="F607" s="3339">
        <v>380</v>
      </c>
      <c r="G607" s="3340">
        <v>42461</v>
      </c>
      <c r="H607" s="3340">
        <v>42824</v>
      </c>
      <c r="I607" s="3340">
        <v>42825</v>
      </c>
      <c r="J607" s="3324"/>
    </row>
    <row r="608" spans="1:12" s="3327" customFormat="1" ht="12.75" customHeight="1">
      <c r="A608" s="3323"/>
      <c r="B608" s="3331" t="s">
        <v>3128</v>
      </c>
      <c r="C608" s="3331" t="s">
        <v>3582</v>
      </c>
      <c r="D608" s="3331" t="s">
        <v>3499</v>
      </c>
      <c r="E608" s="3332">
        <v>87.1</v>
      </c>
      <c r="F608" s="3332">
        <v>380</v>
      </c>
      <c r="G608" s="3333">
        <v>42826</v>
      </c>
      <c r="H608" s="3333">
        <v>42983</v>
      </c>
      <c r="I608" s="3333">
        <v>43190</v>
      </c>
      <c r="J608" s="3324"/>
      <c r="K608" s="3334">
        <f t="shared" ref="K608:K609" si="31">E608</f>
        <v>87.1</v>
      </c>
      <c r="L608" s="3334">
        <f t="shared" ref="L608:L609" si="32">F608/30</f>
        <v>12.666666666666666</v>
      </c>
    </row>
    <row r="609" spans="1:12" s="3327" customFormat="1" ht="12.75" customHeight="1">
      <c r="A609" s="3323" t="s">
        <v>3151</v>
      </c>
      <c r="B609" s="3331" t="s">
        <v>3128</v>
      </c>
      <c r="C609" s="3331" t="s">
        <v>3582</v>
      </c>
      <c r="D609" s="3331" t="s">
        <v>3499</v>
      </c>
      <c r="E609" s="3332">
        <v>87.1</v>
      </c>
      <c r="F609" s="3332">
        <v>380</v>
      </c>
      <c r="G609" s="3333">
        <v>42984</v>
      </c>
      <c r="H609" s="3333">
        <v>43130</v>
      </c>
      <c r="I609" s="3333">
        <v>43190</v>
      </c>
      <c r="J609" s="3324"/>
      <c r="K609" s="3334">
        <f t="shared" si="31"/>
        <v>87.1</v>
      </c>
      <c r="L609" s="3334">
        <f t="shared" si="32"/>
        <v>12.666666666666666</v>
      </c>
    </row>
    <row r="610" spans="1:12" s="3327" customFormat="1" ht="12.75" customHeight="1">
      <c r="A610" s="3323"/>
      <c r="B610" s="3324" t="s">
        <v>3128</v>
      </c>
      <c r="C610" s="3324" t="s">
        <v>3174</v>
      </c>
      <c r="D610" s="3324" t="s">
        <v>3583</v>
      </c>
      <c r="E610" s="3325">
        <v>53.9</v>
      </c>
      <c r="F610" s="3325">
        <v>360</v>
      </c>
      <c r="G610" s="3326">
        <v>41000</v>
      </c>
      <c r="H610" s="3326">
        <v>41363</v>
      </c>
      <c r="I610" s="3326">
        <v>41364</v>
      </c>
      <c r="J610" s="3324"/>
    </row>
    <row r="611" spans="1:12" s="3327" customFormat="1" ht="12.75" customHeight="1">
      <c r="A611" s="3323"/>
      <c r="B611" s="3324" t="s">
        <v>3128</v>
      </c>
      <c r="C611" s="3324" t="s">
        <v>3456</v>
      </c>
      <c r="D611" s="3324" t="s">
        <v>3584</v>
      </c>
      <c r="E611" s="3325">
        <v>53.9</v>
      </c>
      <c r="F611" s="3325">
        <v>350</v>
      </c>
      <c r="G611" s="3326">
        <v>41699</v>
      </c>
      <c r="H611" s="3326">
        <v>42003</v>
      </c>
      <c r="I611" s="3326">
        <v>42094</v>
      </c>
      <c r="J611" s="3324"/>
    </row>
    <row r="612" spans="1:12" s="3327" customFormat="1" ht="12.75" customHeight="1">
      <c r="A612" s="3323"/>
      <c r="B612" s="3324" t="s">
        <v>3128</v>
      </c>
      <c r="C612" s="3324" t="s">
        <v>3456</v>
      </c>
      <c r="D612" s="3324" t="s">
        <v>3584</v>
      </c>
      <c r="E612" s="3325">
        <v>53.9</v>
      </c>
      <c r="F612" s="3325">
        <v>360</v>
      </c>
      <c r="G612" s="3326">
        <v>42005</v>
      </c>
      <c r="H612" s="3326">
        <v>42093</v>
      </c>
      <c r="I612" s="3326">
        <v>42094</v>
      </c>
      <c r="J612" s="3324"/>
    </row>
    <row r="613" spans="1:12" s="3327" customFormat="1" ht="12.75" customHeight="1">
      <c r="A613" s="3323"/>
      <c r="B613" s="3336" t="s">
        <v>3128</v>
      </c>
      <c r="C613" s="3336" t="s">
        <v>3456</v>
      </c>
      <c r="D613" s="3336" t="s">
        <v>3584</v>
      </c>
      <c r="E613" s="3339">
        <v>53.9</v>
      </c>
      <c r="F613" s="3339">
        <v>360</v>
      </c>
      <c r="G613" s="3340">
        <v>42095</v>
      </c>
      <c r="H613" s="3340">
        <v>42459</v>
      </c>
      <c r="I613" s="3340">
        <v>42460</v>
      </c>
      <c r="J613" s="3324"/>
    </row>
    <row r="614" spans="1:12" s="3327" customFormat="1" ht="12.75" customHeight="1">
      <c r="A614" s="3323"/>
      <c r="B614" s="3336" t="s">
        <v>3128</v>
      </c>
      <c r="C614" s="3336" t="s">
        <v>3456</v>
      </c>
      <c r="D614" s="3336" t="s">
        <v>3584</v>
      </c>
      <c r="E614" s="3339">
        <v>53.9</v>
      </c>
      <c r="F614" s="3339">
        <v>370</v>
      </c>
      <c r="G614" s="3340">
        <v>42461</v>
      </c>
      <c r="H614" s="3340">
        <v>42824</v>
      </c>
      <c r="I614" s="3340">
        <v>42825</v>
      </c>
      <c r="J614" s="3324"/>
    </row>
    <row r="615" spans="1:12" s="3327" customFormat="1" ht="12.75" customHeight="1">
      <c r="A615" s="3323" t="s">
        <v>3151</v>
      </c>
      <c r="B615" s="3331" t="s">
        <v>3128</v>
      </c>
      <c r="C615" s="3331" t="s">
        <v>3456</v>
      </c>
      <c r="D615" s="3331" t="s">
        <v>3556</v>
      </c>
      <c r="E615" s="3332">
        <v>53.9</v>
      </c>
      <c r="F615" s="3332">
        <v>395</v>
      </c>
      <c r="G615" s="3333">
        <v>42826</v>
      </c>
      <c r="H615" s="3333">
        <v>43130</v>
      </c>
      <c r="I615" s="3333">
        <v>43190</v>
      </c>
      <c r="J615" s="3324"/>
      <c r="K615" s="3334">
        <f>E615</f>
        <v>53.9</v>
      </c>
      <c r="L615" s="3334">
        <f>F615/30</f>
        <v>13.166666666666666</v>
      </c>
    </row>
    <row r="616" spans="1:12" s="3327" customFormat="1" ht="12.75" customHeight="1">
      <c r="A616" s="3335"/>
      <c r="B616" s="3336" t="s">
        <v>3128</v>
      </c>
      <c r="C616" s="3336" t="s">
        <v>3154</v>
      </c>
      <c r="D616" s="3336" t="s">
        <v>3583</v>
      </c>
      <c r="E616" s="3339">
        <v>45.7</v>
      </c>
      <c r="F616" s="3339">
        <v>330</v>
      </c>
      <c r="G616" s="3340">
        <v>41000</v>
      </c>
      <c r="H616" s="3340">
        <v>41363</v>
      </c>
      <c r="I616" s="3340">
        <v>41364</v>
      </c>
      <c r="J616" s="3336"/>
    </row>
    <row r="617" spans="1:12" s="3327" customFormat="1" ht="12.75" customHeight="1">
      <c r="A617" s="3323"/>
      <c r="B617" s="3324" t="s">
        <v>3128</v>
      </c>
      <c r="C617" s="3324" t="s">
        <v>3585</v>
      </c>
      <c r="D617" s="3324" t="s">
        <v>3586</v>
      </c>
      <c r="E617" s="3325">
        <v>45.7</v>
      </c>
      <c r="F617" s="3325">
        <v>350</v>
      </c>
      <c r="G617" s="3326">
        <v>41699</v>
      </c>
      <c r="H617" s="3326">
        <v>42003</v>
      </c>
      <c r="I617" s="3326">
        <v>42094</v>
      </c>
      <c r="J617" s="3324"/>
    </row>
    <row r="618" spans="1:12" s="3327" customFormat="1" ht="12.75" customHeight="1">
      <c r="A618" s="3323"/>
      <c r="B618" s="3324" t="s">
        <v>3128</v>
      </c>
      <c r="C618" s="3324" t="s">
        <v>3585</v>
      </c>
      <c r="D618" s="3324" t="s">
        <v>3586</v>
      </c>
      <c r="E618" s="3325">
        <v>45.7</v>
      </c>
      <c r="F618" s="3325">
        <v>360</v>
      </c>
      <c r="G618" s="3326">
        <v>42005</v>
      </c>
      <c r="H618" s="3326">
        <v>42093</v>
      </c>
      <c r="I618" s="3326">
        <v>42094</v>
      </c>
      <c r="J618" s="3324"/>
    </row>
    <row r="619" spans="1:12" s="3327" customFormat="1" ht="12.75" customHeight="1">
      <c r="A619" s="3323"/>
      <c r="B619" s="3336" t="s">
        <v>3128</v>
      </c>
      <c r="C619" s="3336" t="s">
        <v>3585</v>
      </c>
      <c r="D619" s="3336" t="s">
        <v>3586</v>
      </c>
      <c r="E619" s="3339">
        <v>45.7</v>
      </c>
      <c r="F619" s="3339">
        <v>360</v>
      </c>
      <c r="G619" s="3340">
        <v>42095</v>
      </c>
      <c r="H619" s="3340">
        <v>42246</v>
      </c>
      <c r="I619" s="3340">
        <v>42460</v>
      </c>
      <c r="J619" s="3324"/>
    </row>
    <row r="620" spans="1:12" s="3327" customFormat="1" ht="12.75" customHeight="1">
      <c r="A620" s="3323"/>
      <c r="B620" s="3336" t="s">
        <v>3128</v>
      </c>
      <c r="C620" s="3336" t="s">
        <v>3587</v>
      </c>
      <c r="D620" s="3336" t="s">
        <v>3586</v>
      </c>
      <c r="E620" s="3339">
        <v>45.7</v>
      </c>
      <c r="F620" s="3339">
        <v>360</v>
      </c>
      <c r="G620" s="3340">
        <v>42248</v>
      </c>
      <c r="H620" s="3340">
        <v>42459</v>
      </c>
      <c r="I620" s="3340">
        <v>42460</v>
      </c>
      <c r="J620" s="3324"/>
    </row>
    <row r="621" spans="1:12" s="3327" customFormat="1" ht="12.75" customHeight="1">
      <c r="A621" s="3323"/>
      <c r="B621" s="3336" t="s">
        <v>3128</v>
      </c>
      <c r="C621" s="3336" t="s">
        <v>3587</v>
      </c>
      <c r="D621" s="3336" t="s">
        <v>3586</v>
      </c>
      <c r="E621" s="3339">
        <v>45.7</v>
      </c>
      <c r="F621" s="3339">
        <v>370</v>
      </c>
      <c r="G621" s="3340">
        <v>42461</v>
      </c>
      <c r="H621" s="3340">
        <v>42824</v>
      </c>
      <c r="I621" s="3340">
        <v>42825</v>
      </c>
      <c r="J621" s="3324"/>
    </row>
    <row r="622" spans="1:12" s="3327" customFormat="1" ht="12.75" customHeight="1">
      <c r="A622" s="3323" t="s">
        <v>3151</v>
      </c>
      <c r="B622" s="3331" t="s">
        <v>3128</v>
      </c>
      <c r="C622" s="3331" t="s">
        <v>3588</v>
      </c>
      <c r="D622" s="3331" t="s">
        <v>3589</v>
      </c>
      <c r="E622" s="3332">
        <v>45.7</v>
      </c>
      <c r="F622" s="3332">
        <v>400</v>
      </c>
      <c r="G622" s="3333">
        <v>42826</v>
      </c>
      <c r="H622" s="3333">
        <v>43130</v>
      </c>
      <c r="I622" s="3333">
        <v>43190</v>
      </c>
      <c r="J622" s="3324"/>
      <c r="K622" s="3334">
        <f>E622</f>
        <v>45.7</v>
      </c>
      <c r="L622" s="3334">
        <f>F622/30</f>
        <v>13.333333333333334</v>
      </c>
    </row>
    <row r="623" spans="1:12" s="3327" customFormat="1" ht="12.75" customHeight="1">
      <c r="A623" s="3335"/>
      <c r="B623" s="3336" t="s">
        <v>3128</v>
      </c>
      <c r="C623" s="3336" t="s">
        <v>3590</v>
      </c>
      <c r="D623" s="3336" t="s">
        <v>3591</v>
      </c>
      <c r="E623" s="3339">
        <v>105.5</v>
      </c>
      <c r="F623" s="3339">
        <v>390</v>
      </c>
      <c r="G623" s="3340">
        <v>41000</v>
      </c>
      <c r="H623" s="3340">
        <v>41363</v>
      </c>
      <c r="I623" s="3340">
        <v>41364</v>
      </c>
      <c r="J623" s="3336"/>
    </row>
    <row r="624" spans="1:12" s="3327" customFormat="1" ht="12.75" customHeight="1">
      <c r="A624" s="3323"/>
      <c r="B624" s="3324" t="s">
        <v>3128</v>
      </c>
      <c r="C624" s="3324" t="s">
        <v>3590</v>
      </c>
      <c r="D624" s="3324" t="s">
        <v>3592</v>
      </c>
      <c r="E624" s="3325">
        <v>105.5</v>
      </c>
      <c r="F624" s="3325">
        <v>400</v>
      </c>
      <c r="G624" s="3326">
        <v>41730</v>
      </c>
      <c r="H624" s="3326">
        <v>42093</v>
      </c>
      <c r="I624" s="3326">
        <v>42094</v>
      </c>
      <c r="J624" s="3324"/>
    </row>
    <row r="625" spans="1:12" s="3327" customFormat="1" ht="12.75" customHeight="1">
      <c r="A625" s="3323"/>
      <c r="B625" s="3336" t="s">
        <v>3128</v>
      </c>
      <c r="C625" s="3336" t="s">
        <v>3590</v>
      </c>
      <c r="D625" s="3336" t="s">
        <v>3592</v>
      </c>
      <c r="E625" s="3339">
        <v>105.5</v>
      </c>
      <c r="F625" s="3339">
        <v>405</v>
      </c>
      <c r="G625" s="3340">
        <v>42095</v>
      </c>
      <c r="H625" s="3340">
        <v>42154</v>
      </c>
      <c r="I625" s="3340">
        <v>42155</v>
      </c>
      <c r="J625" s="3324"/>
    </row>
    <row r="626" spans="1:12" s="3327" customFormat="1" ht="12.75" customHeight="1">
      <c r="A626" s="3323"/>
      <c r="B626" s="3336" t="s">
        <v>3128</v>
      </c>
      <c r="C626" s="3336" t="s">
        <v>3593</v>
      </c>
      <c r="D626" s="3336" t="s">
        <v>3592</v>
      </c>
      <c r="E626" s="3339">
        <v>105.5</v>
      </c>
      <c r="F626" s="3339">
        <v>405</v>
      </c>
      <c r="G626" s="3340">
        <v>42156</v>
      </c>
      <c r="H626" s="3340">
        <v>42459</v>
      </c>
      <c r="I626" s="3340">
        <v>42460</v>
      </c>
      <c r="J626" s="3324"/>
    </row>
    <row r="627" spans="1:12" s="3327" customFormat="1" ht="12.75" customHeight="1">
      <c r="A627" s="3323"/>
      <c r="B627" s="3336" t="s">
        <v>3128</v>
      </c>
      <c r="C627" s="3336" t="s">
        <v>3593</v>
      </c>
      <c r="D627" s="3336" t="s">
        <v>3592</v>
      </c>
      <c r="E627" s="3339">
        <v>105.5</v>
      </c>
      <c r="F627" s="3339">
        <v>410</v>
      </c>
      <c r="G627" s="3340">
        <v>42461</v>
      </c>
      <c r="H627" s="3340">
        <v>42824</v>
      </c>
      <c r="I627" s="3340">
        <v>42825</v>
      </c>
      <c r="J627" s="3324"/>
    </row>
    <row r="628" spans="1:12" s="3327" customFormat="1" ht="12.75" customHeight="1">
      <c r="A628" s="3323"/>
      <c r="B628" s="3331" t="s">
        <v>3128</v>
      </c>
      <c r="C628" s="3331" t="s">
        <v>3593</v>
      </c>
      <c r="D628" s="3331" t="s">
        <v>3592</v>
      </c>
      <c r="E628" s="3332">
        <v>105.5</v>
      </c>
      <c r="F628" s="3332">
        <v>410</v>
      </c>
      <c r="G628" s="3333">
        <v>42826</v>
      </c>
      <c r="H628" s="3333">
        <v>42916</v>
      </c>
      <c r="I628" s="3333">
        <v>43190</v>
      </c>
      <c r="J628" s="3324"/>
      <c r="K628" s="3334">
        <f t="shared" ref="K628:K630" si="33">E628</f>
        <v>105.5</v>
      </c>
      <c r="L628" s="3334">
        <f t="shared" ref="L628:L630" si="34">F628/30</f>
        <v>13.666666666666666</v>
      </c>
    </row>
    <row r="629" spans="1:12" s="3327" customFormat="1" ht="12.75" customHeight="1">
      <c r="A629" s="3323" t="s">
        <v>3151</v>
      </c>
      <c r="B629" s="3331" t="s">
        <v>3128</v>
      </c>
      <c r="C629" s="3331" t="s">
        <v>3593</v>
      </c>
      <c r="D629" s="3331" t="s">
        <v>3592</v>
      </c>
      <c r="E629" s="3332">
        <v>80.27</v>
      </c>
      <c r="F629" s="3332">
        <v>410</v>
      </c>
      <c r="G629" s="3333">
        <v>42917</v>
      </c>
      <c r="H629" s="3333">
        <v>43130</v>
      </c>
      <c r="I629" s="3333">
        <v>43190</v>
      </c>
      <c r="J629" s="3324"/>
      <c r="K629" s="3334">
        <f t="shared" si="33"/>
        <v>80.27</v>
      </c>
      <c r="L629" s="3334">
        <f t="shared" si="34"/>
        <v>13.666666666666666</v>
      </c>
    </row>
    <row r="630" spans="1:12" s="3327" customFormat="1" ht="12.75" customHeight="1">
      <c r="A630" s="3323" t="s">
        <v>3151</v>
      </c>
      <c r="B630" s="3331" t="s">
        <v>3128</v>
      </c>
      <c r="C630" s="3331" t="s">
        <v>3594</v>
      </c>
      <c r="D630" s="3331" t="s">
        <v>3595</v>
      </c>
      <c r="E630" s="3332">
        <v>25.23</v>
      </c>
      <c r="F630" s="3332">
        <v>410</v>
      </c>
      <c r="G630" s="3333">
        <v>42917</v>
      </c>
      <c r="H630" s="3333">
        <v>43130</v>
      </c>
      <c r="I630" s="3333">
        <v>43190</v>
      </c>
      <c r="J630" s="3324"/>
      <c r="K630" s="3334">
        <f t="shared" si="33"/>
        <v>25.23</v>
      </c>
      <c r="L630" s="3334">
        <f t="shared" si="34"/>
        <v>13.666666666666666</v>
      </c>
    </row>
    <row r="631" spans="1:12" s="3327" customFormat="1" ht="13.5" customHeight="1">
      <c r="A631" s="3335"/>
      <c r="B631" s="3336" t="s">
        <v>3128</v>
      </c>
      <c r="C631" s="3336" t="s">
        <v>3596</v>
      </c>
      <c r="D631" s="3336" t="s">
        <v>3597</v>
      </c>
      <c r="E631" s="3339">
        <v>102.8</v>
      </c>
      <c r="F631" s="3339">
        <v>400</v>
      </c>
      <c r="G631" s="3340">
        <v>41000</v>
      </c>
      <c r="H631" s="3340">
        <v>41363</v>
      </c>
      <c r="I631" s="3340">
        <v>41364</v>
      </c>
      <c r="J631" s="3336"/>
    </row>
    <row r="632" spans="1:12" s="3327" customFormat="1" ht="13.5" customHeight="1">
      <c r="A632" s="3323"/>
      <c r="B632" s="3324" t="s">
        <v>3128</v>
      </c>
      <c r="C632" s="3324" t="s">
        <v>3596</v>
      </c>
      <c r="D632" s="3324" t="s">
        <v>3598</v>
      </c>
      <c r="E632" s="3325">
        <v>102.8</v>
      </c>
      <c r="F632" s="3325">
        <v>400</v>
      </c>
      <c r="G632" s="3326">
        <v>41730</v>
      </c>
      <c r="H632" s="3326">
        <v>42093</v>
      </c>
      <c r="I632" s="3326">
        <v>42094</v>
      </c>
      <c r="J632" s="3324"/>
    </row>
    <row r="633" spans="1:12" s="3327" customFormat="1" ht="13.5" customHeight="1">
      <c r="A633" s="3323"/>
      <c r="B633" s="3336" t="s">
        <v>3128</v>
      </c>
      <c r="C633" s="3336" t="s">
        <v>3596</v>
      </c>
      <c r="D633" s="3336" t="s">
        <v>3598</v>
      </c>
      <c r="E633" s="3339">
        <v>102.8</v>
      </c>
      <c r="F633" s="3339">
        <v>405</v>
      </c>
      <c r="G633" s="3340">
        <v>42095</v>
      </c>
      <c r="H633" s="3340">
        <v>42154</v>
      </c>
      <c r="I633" s="3340">
        <v>42155</v>
      </c>
      <c r="J633" s="3324"/>
    </row>
    <row r="634" spans="1:12" s="3327" customFormat="1" ht="13.5" customHeight="1">
      <c r="A634" s="3323"/>
      <c r="B634" s="3336" t="s">
        <v>3128</v>
      </c>
      <c r="C634" s="3336" t="s">
        <v>3443</v>
      </c>
      <c r="D634" s="3336" t="s">
        <v>3598</v>
      </c>
      <c r="E634" s="3339">
        <v>102.8</v>
      </c>
      <c r="F634" s="3339">
        <v>405</v>
      </c>
      <c r="G634" s="3340">
        <v>42156</v>
      </c>
      <c r="H634" s="3340">
        <v>42459</v>
      </c>
      <c r="I634" s="3340">
        <v>42460</v>
      </c>
      <c r="J634" s="3324"/>
    </row>
    <row r="635" spans="1:12" s="3327" customFormat="1" ht="13.5" customHeight="1">
      <c r="A635" s="3323"/>
      <c r="B635" s="3336" t="s">
        <v>3128</v>
      </c>
      <c r="C635" s="3336" t="s">
        <v>3443</v>
      </c>
      <c r="D635" s="3336" t="s">
        <v>3598</v>
      </c>
      <c r="E635" s="3339">
        <v>102.8</v>
      </c>
      <c r="F635" s="3339">
        <v>410</v>
      </c>
      <c r="G635" s="3340">
        <v>42461</v>
      </c>
      <c r="H635" s="3340">
        <v>42824</v>
      </c>
      <c r="I635" s="3340">
        <v>42825</v>
      </c>
      <c r="J635" s="3324"/>
    </row>
    <row r="636" spans="1:12" s="3327" customFormat="1" ht="13.5" customHeight="1">
      <c r="A636" s="3323" t="s">
        <v>3151</v>
      </c>
      <c r="B636" s="3331" t="s">
        <v>3128</v>
      </c>
      <c r="C636" s="3331" t="s">
        <v>3443</v>
      </c>
      <c r="D636" s="3331" t="s">
        <v>3445</v>
      </c>
      <c r="E636" s="3332">
        <v>102.8</v>
      </c>
      <c r="F636" s="3332">
        <v>410</v>
      </c>
      <c r="G636" s="3333">
        <v>42826</v>
      </c>
      <c r="H636" s="3333">
        <v>43130</v>
      </c>
      <c r="I636" s="3333">
        <v>43190</v>
      </c>
      <c r="J636" s="3324"/>
      <c r="K636" s="3334">
        <f>E636</f>
        <v>102.8</v>
      </c>
      <c r="L636" s="3334">
        <f>F636/30</f>
        <v>13.666666666666666</v>
      </c>
    </row>
    <row r="637" spans="1:12" s="3327" customFormat="1" ht="13.5" customHeight="1">
      <c r="A637" s="3323"/>
      <c r="B637" s="3324" t="s">
        <v>3128</v>
      </c>
      <c r="C637" s="3324" t="s">
        <v>3599</v>
      </c>
      <c r="D637" s="3324" t="s">
        <v>3600</v>
      </c>
      <c r="E637" s="3325">
        <v>76.400000000000006</v>
      </c>
      <c r="F637" s="3325">
        <v>400</v>
      </c>
      <c r="G637" s="3326">
        <v>41730</v>
      </c>
      <c r="H637" s="3326">
        <v>42093</v>
      </c>
      <c r="I637" s="3326">
        <v>42094</v>
      </c>
      <c r="J637" s="3324"/>
    </row>
    <row r="638" spans="1:12" s="3327" customFormat="1" ht="13.5" customHeight="1">
      <c r="A638" s="3323"/>
      <c r="B638" s="3336" t="s">
        <v>3128</v>
      </c>
      <c r="C638" s="3336" t="s">
        <v>3599</v>
      </c>
      <c r="D638" s="3336" t="s">
        <v>3600</v>
      </c>
      <c r="E638" s="3339">
        <v>76.400000000000006</v>
      </c>
      <c r="F638" s="3339">
        <v>405</v>
      </c>
      <c r="G638" s="3340">
        <v>42095</v>
      </c>
      <c r="H638" s="3340">
        <v>42154</v>
      </c>
      <c r="I638" s="3340">
        <v>42155</v>
      </c>
      <c r="J638" s="3324"/>
    </row>
    <row r="639" spans="1:12" s="3327" customFormat="1" ht="13.5" customHeight="1">
      <c r="A639" s="3323"/>
      <c r="B639" s="3336" t="s">
        <v>3128</v>
      </c>
      <c r="C639" s="3336" t="s">
        <v>3601</v>
      </c>
      <c r="D639" s="3336" t="s">
        <v>3600</v>
      </c>
      <c r="E639" s="3339">
        <v>62.7</v>
      </c>
      <c r="F639" s="3339">
        <v>400</v>
      </c>
      <c r="G639" s="3340">
        <v>42156</v>
      </c>
      <c r="H639" s="3340">
        <v>42459</v>
      </c>
      <c r="I639" s="3340">
        <v>42460</v>
      </c>
      <c r="J639" s="3324"/>
    </row>
    <row r="640" spans="1:12" s="3327" customFormat="1" ht="13.5" customHeight="1">
      <c r="A640" s="3323"/>
      <c r="B640" s="3336" t="s">
        <v>3128</v>
      </c>
      <c r="C640" s="3336" t="s">
        <v>3601</v>
      </c>
      <c r="D640" s="3336" t="s">
        <v>3600</v>
      </c>
      <c r="E640" s="3339">
        <v>62.7</v>
      </c>
      <c r="F640" s="3339">
        <v>400</v>
      </c>
      <c r="G640" s="3340">
        <v>42461</v>
      </c>
      <c r="H640" s="3340">
        <v>42824</v>
      </c>
      <c r="I640" s="3340">
        <v>42825</v>
      </c>
      <c r="J640" s="3324"/>
    </row>
    <row r="641" spans="1:12" s="3327" customFormat="1" ht="13.5" customHeight="1">
      <c r="A641" s="3323" t="s">
        <v>3151</v>
      </c>
      <c r="B641" s="3331" t="s">
        <v>3128</v>
      </c>
      <c r="C641" s="3331" t="s">
        <v>3601</v>
      </c>
      <c r="D641" s="3331" t="s">
        <v>3600</v>
      </c>
      <c r="E641" s="3332">
        <v>62.7</v>
      </c>
      <c r="F641" s="3332">
        <v>425</v>
      </c>
      <c r="G641" s="3333">
        <v>42826</v>
      </c>
      <c r="H641" s="3333">
        <v>43130</v>
      </c>
      <c r="I641" s="3333">
        <v>43190</v>
      </c>
      <c r="J641" s="3324"/>
      <c r="K641" s="3334">
        <f>E641</f>
        <v>62.7</v>
      </c>
      <c r="L641" s="3334">
        <f>F641/30</f>
        <v>14.166666666666666</v>
      </c>
    </row>
    <row r="642" spans="1:12" s="3327" customFormat="1" ht="13.5" customHeight="1">
      <c r="A642" s="3323"/>
      <c r="B642" s="3336" t="s">
        <v>3128</v>
      </c>
      <c r="C642" s="3336" t="s">
        <v>3602</v>
      </c>
      <c r="D642" s="3336" t="s">
        <v>3603</v>
      </c>
      <c r="E642" s="3339">
        <v>65.3</v>
      </c>
      <c r="F642" s="3339">
        <v>370</v>
      </c>
      <c r="G642" s="3340">
        <v>42156</v>
      </c>
      <c r="H642" s="3340">
        <v>42459</v>
      </c>
      <c r="I642" s="3340">
        <v>42460</v>
      </c>
      <c r="J642" s="3324"/>
    </row>
    <row r="643" spans="1:12" s="3327" customFormat="1" ht="13.5" customHeight="1">
      <c r="A643" s="3323"/>
      <c r="B643" s="3336" t="s">
        <v>3128</v>
      </c>
      <c r="C643" s="3336" t="s">
        <v>3602</v>
      </c>
      <c r="D643" s="3336" t="s">
        <v>3603</v>
      </c>
      <c r="E643" s="3339">
        <v>65.3</v>
      </c>
      <c r="F643" s="3339">
        <v>395</v>
      </c>
      <c r="G643" s="3340">
        <v>42461</v>
      </c>
      <c r="H643" s="3340">
        <v>42734</v>
      </c>
      <c r="I643" s="3340">
        <v>42825</v>
      </c>
      <c r="J643" s="3324"/>
    </row>
    <row r="644" spans="1:12" s="3327" customFormat="1" ht="13.5" customHeight="1">
      <c r="A644" s="3323"/>
      <c r="B644" s="3336" t="s">
        <v>3128</v>
      </c>
      <c r="C644" s="3336" t="s">
        <v>3602</v>
      </c>
      <c r="D644" s="3336" t="s">
        <v>3584</v>
      </c>
      <c r="E644" s="3339">
        <v>65.3</v>
      </c>
      <c r="F644" s="3339">
        <v>380</v>
      </c>
      <c r="G644" s="3340">
        <v>42736</v>
      </c>
      <c r="H644" s="3340">
        <v>42824</v>
      </c>
      <c r="I644" s="3340">
        <v>42825</v>
      </c>
      <c r="J644" s="3324"/>
    </row>
    <row r="645" spans="1:12" s="3327" customFormat="1" ht="13.5" customHeight="1">
      <c r="A645" s="3323" t="s">
        <v>3151</v>
      </c>
      <c r="B645" s="3331" t="s">
        <v>3128</v>
      </c>
      <c r="C645" s="3331" t="s">
        <v>3602</v>
      </c>
      <c r="D645" s="3331" t="s">
        <v>3584</v>
      </c>
      <c r="E645" s="3332">
        <v>65.3</v>
      </c>
      <c r="F645" s="3332">
        <v>400</v>
      </c>
      <c r="G645" s="3333">
        <v>42826</v>
      </c>
      <c r="H645" s="3333">
        <v>43130</v>
      </c>
      <c r="I645" s="3333">
        <v>43190</v>
      </c>
      <c r="J645" s="3324"/>
      <c r="K645" s="3334">
        <f>E645</f>
        <v>65.3</v>
      </c>
      <c r="L645" s="3334">
        <f>F645/30</f>
        <v>13.333333333333334</v>
      </c>
    </row>
    <row r="646" spans="1:12" s="3327" customFormat="1" ht="13.5" customHeight="1">
      <c r="A646" s="3335"/>
      <c r="B646" s="3336" t="s">
        <v>3128</v>
      </c>
      <c r="C646" s="3336" t="s">
        <v>3604</v>
      </c>
      <c r="D646" s="3336" t="s">
        <v>3605</v>
      </c>
      <c r="E646" s="3339">
        <v>51.6</v>
      </c>
      <c r="F646" s="3339">
        <v>360</v>
      </c>
      <c r="G646" s="3340">
        <v>41014</v>
      </c>
      <c r="H646" s="3340">
        <v>41212</v>
      </c>
      <c r="I646" s="3340">
        <v>41364</v>
      </c>
      <c r="J646" s="3336"/>
    </row>
    <row r="647" spans="1:12" s="3327" customFormat="1" ht="13.5" customHeight="1">
      <c r="A647" s="3335"/>
      <c r="B647" s="3336" t="s">
        <v>3128</v>
      </c>
      <c r="C647" s="3336" t="s">
        <v>3160</v>
      </c>
      <c r="D647" s="3336" t="s">
        <v>3584</v>
      </c>
      <c r="E647" s="3339">
        <v>51.6</v>
      </c>
      <c r="F647" s="3339">
        <v>360</v>
      </c>
      <c r="G647" s="3340">
        <v>41365</v>
      </c>
      <c r="H647" s="3340">
        <v>41698</v>
      </c>
      <c r="I647" s="3340">
        <v>41729</v>
      </c>
      <c r="J647" s="3336"/>
    </row>
    <row r="648" spans="1:12" s="3327" customFormat="1" ht="12.75" customHeight="1">
      <c r="A648" s="3323"/>
      <c r="B648" s="3324" t="s">
        <v>3128</v>
      </c>
      <c r="C648" s="3324" t="s">
        <v>3601</v>
      </c>
      <c r="D648" s="3324" t="s">
        <v>3600</v>
      </c>
      <c r="E648" s="3325">
        <v>51.6</v>
      </c>
      <c r="F648" s="3325">
        <v>350</v>
      </c>
      <c r="G648" s="3326">
        <v>41699</v>
      </c>
      <c r="H648" s="3326">
        <v>42003</v>
      </c>
      <c r="I648" s="3326">
        <v>42094</v>
      </c>
      <c r="J648" s="3324"/>
    </row>
    <row r="649" spans="1:12" s="3327" customFormat="1" ht="12.75" customHeight="1">
      <c r="A649" s="3323"/>
      <c r="B649" s="3324" t="s">
        <v>3128</v>
      </c>
      <c r="C649" s="3324" t="s">
        <v>3601</v>
      </c>
      <c r="D649" s="3324" t="s">
        <v>3600</v>
      </c>
      <c r="E649" s="3325">
        <v>51.6</v>
      </c>
      <c r="F649" s="3325">
        <v>360</v>
      </c>
      <c r="G649" s="3326">
        <v>42005</v>
      </c>
      <c r="H649" s="3326">
        <v>42093</v>
      </c>
      <c r="I649" s="3326">
        <v>42094</v>
      </c>
      <c r="J649" s="3324"/>
    </row>
    <row r="650" spans="1:12" s="3327" customFormat="1" ht="12.75" customHeight="1">
      <c r="A650" s="3323"/>
      <c r="B650" s="3336" t="s">
        <v>3128</v>
      </c>
      <c r="C650" s="3336" t="s">
        <v>3601</v>
      </c>
      <c r="D650" s="3336" t="s">
        <v>3600</v>
      </c>
      <c r="E650" s="3339">
        <v>51.6</v>
      </c>
      <c r="F650" s="3339">
        <v>360</v>
      </c>
      <c r="G650" s="3340">
        <v>42095</v>
      </c>
      <c r="H650" s="3340">
        <v>42154</v>
      </c>
      <c r="I650" s="3340">
        <v>42460</v>
      </c>
      <c r="J650" s="3324"/>
    </row>
    <row r="651" spans="1:12" s="3327" customFormat="1" ht="12.75" customHeight="1">
      <c r="A651" s="3335"/>
      <c r="B651" s="3336" t="s">
        <v>3128</v>
      </c>
      <c r="C651" s="3336" t="s">
        <v>3606</v>
      </c>
      <c r="D651" s="3336" t="s">
        <v>3607</v>
      </c>
      <c r="E651" s="3339">
        <v>77.099999999999994</v>
      </c>
      <c r="F651" s="3339">
        <v>330</v>
      </c>
      <c r="G651" s="3340">
        <v>41000</v>
      </c>
      <c r="H651" s="3340">
        <v>41363</v>
      </c>
      <c r="I651" s="3340">
        <v>41364</v>
      </c>
      <c r="J651" s="3336"/>
    </row>
    <row r="652" spans="1:12" s="3327" customFormat="1" ht="12.75" customHeight="1">
      <c r="A652" s="3323"/>
      <c r="B652" s="3324" t="s">
        <v>3128</v>
      </c>
      <c r="C652" s="3324" t="s">
        <v>3606</v>
      </c>
      <c r="D652" s="3324" t="s">
        <v>3608</v>
      </c>
      <c r="E652" s="3325">
        <v>77.099999999999994</v>
      </c>
      <c r="F652" s="3325">
        <v>330</v>
      </c>
      <c r="G652" s="3326">
        <v>41365</v>
      </c>
      <c r="H652" s="3326">
        <v>41728</v>
      </c>
      <c r="I652" s="3326">
        <v>41729</v>
      </c>
      <c r="J652" s="3324"/>
    </row>
    <row r="653" spans="1:12" s="3327" customFormat="1" ht="12.75" customHeight="1">
      <c r="A653" s="3323"/>
      <c r="B653" s="3324" t="s">
        <v>3128</v>
      </c>
      <c r="C653" s="3324" t="s">
        <v>3606</v>
      </c>
      <c r="D653" s="3324" t="s">
        <v>3608</v>
      </c>
      <c r="E653" s="3325">
        <v>77.099999999999994</v>
      </c>
      <c r="F653" s="3325">
        <v>340</v>
      </c>
      <c r="G653" s="3326">
        <v>41730</v>
      </c>
      <c r="H653" s="3326">
        <v>42003</v>
      </c>
      <c r="I653" s="3326">
        <v>42094</v>
      </c>
      <c r="J653" s="3324"/>
    </row>
    <row r="654" spans="1:12" s="3327" customFormat="1" ht="14.25" customHeight="1">
      <c r="A654" s="3323"/>
      <c r="B654" s="3324" t="s">
        <v>3128</v>
      </c>
      <c r="C654" s="3324" t="s">
        <v>3606</v>
      </c>
      <c r="D654" s="3324" t="s">
        <v>3608</v>
      </c>
      <c r="E654" s="3325">
        <v>77.099999999999994</v>
      </c>
      <c r="F654" s="3325">
        <v>370</v>
      </c>
      <c r="G654" s="3326">
        <v>42005</v>
      </c>
      <c r="H654" s="3326">
        <v>42093</v>
      </c>
      <c r="I654" s="3326">
        <v>42094</v>
      </c>
      <c r="J654" s="3324"/>
    </row>
    <row r="655" spans="1:12" s="3327" customFormat="1" ht="12.75" customHeight="1">
      <c r="A655" s="3323"/>
      <c r="B655" s="3336" t="s">
        <v>3128</v>
      </c>
      <c r="C655" s="3336" t="s">
        <v>3606</v>
      </c>
      <c r="D655" s="3336" t="s">
        <v>3608</v>
      </c>
      <c r="E655" s="3339">
        <v>77.099999999999994</v>
      </c>
      <c r="F655" s="3339">
        <v>370</v>
      </c>
      <c r="G655" s="3340">
        <v>42095</v>
      </c>
      <c r="H655" s="3340">
        <v>42459</v>
      </c>
      <c r="I655" s="3340">
        <v>42460</v>
      </c>
      <c r="J655" s="3324"/>
    </row>
    <row r="656" spans="1:12" s="3327" customFormat="1" ht="12.75" customHeight="1">
      <c r="A656" s="3323"/>
      <c r="B656" s="3336" t="s">
        <v>3128</v>
      </c>
      <c r="C656" s="3336" t="s">
        <v>3606</v>
      </c>
      <c r="D656" s="3336" t="s">
        <v>3608</v>
      </c>
      <c r="E656" s="3339">
        <v>77.099999999999994</v>
      </c>
      <c r="F656" s="3339">
        <v>380</v>
      </c>
      <c r="G656" s="3340">
        <v>42461</v>
      </c>
      <c r="H656" s="3340">
        <v>42824</v>
      </c>
      <c r="I656" s="3340">
        <v>42825</v>
      </c>
      <c r="J656" s="3324"/>
    </row>
    <row r="657" spans="1:12" s="3327" customFormat="1" ht="12.75" customHeight="1">
      <c r="A657" s="3323" t="s">
        <v>3151</v>
      </c>
      <c r="B657" s="3331" t="s">
        <v>3128</v>
      </c>
      <c r="C657" s="3331" t="s">
        <v>3606</v>
      </c>
      <c r="D657" s="3331" t="s">
        <v>3608</v>
      </c>
      <c r="E657" s="3332">
        <v>77.099999999999994</v>
      </c>
      <c r="F657" s="3332">
        <v>380</v>
      </c>
      <c r="G657" s="3333">
        <v>42826</v>
      </c>
      <c r="H657" s="3333">
        <v>43130</v>
      </c>
      <c r="I657" s="3333">
        <v>43190</v>
      </c>
      <c r="J657" s="3324"/>
      <c r="K657" s="3334">
        <f>E657</f>
        <v>77.099999999999994</v>
      </c>
      <c r="L657" s="3334">
        <f>F657/30</f>
        <v>12.666666666666666</v>
      </c>
    </row>
    <row r="658" spans="1:12" s="3327" customFormat="1" ht="12.75" customHeight="1">
      <c r="A658" s="3335"/>
      <c r="B658" s="3336" t="s">
        <v>3128</v>
      </c>
      <c r="C658" s="3336" t="s">
        <v>3178</v>
      </c>
      <c r="D658" s="3336" t="s">
        <v>3609</v>
      </c>
      <c r="E658" s="3339">
        <v>48.5</v>
      </c>
      <c r="F658" s="3339">
        <v>360</v>
      </c>
      <c r="G658" s="3340">
        <v>41000</v>
      </c>
      <c r="H658" s="3340">
        <v>41363</v>
      </c>
      <c r="I658" s="3340">
        <v>41364</v>
      </c>
      <c r="J658" s="3336"/>
    </row>
    <row r="659" spans="1:12" s="3327" customFormat="1" ht="12.75" customHeight="1">
      <c r="A659" s="3323"/>
      <c r="B659" s="3324" t="s">
        <v>3128</v>
      </c>
      <c r="C659" s="3324" t="s">
        <v>3610</v>
      </c>
      <c r="D659" s="3324" t="s">
        <v>3611</v>
      </c>
      <c r="E659" s="3325">
        <v>48.5</v>
      </c>
      <c r="F659" s="3325">
        <v>340</v>
      </c>
      <c r="G659" s="3326">
        <v>41699</v>
      </c>
      <c r="H659" s="3326">
        <v>42003</v>
      </c>
      <c r="I659" s="3326">
        <v>42094</v>
      </c>
      <c r="J659" s="3324"/>
    </row>
    <row r="660" spans="1:12" s="3327" customFormat="1" ht="12.75" customHeight="1">
      <c r="A660" s="3323"/>
      <c r="B660" s="3324" t="s">
        <v>3128</v>
      </c>
      <c r="C660" s="3324" t="s">
        <v>3610</v>
      </c>
      <c r="D660" s="3324" t="s">
        <v>3611</v>
      </c>
      <c r="E660" s="3325">
        <v>48.5</v>
      </c>
      <c r="F660" s="3325">
        <v>360</v>
      </c>
      <c r="G660" s="3326">
        <v>42005</v>
      </c>
      <c r="H660" s="3326">
        <v>42093</v>
      </c>
      <c r="I660" s="3326">
        <v>42094</v>
      </c>
      <c r="J660" s="3324"/>
    </row>
    <row r="661" spans="1:12" s="3327" customFormat="1" ht="12.75" customHeight="1">
      <c r="A661" s="3323"/>
      <c r="B661" s="3336" t="s">
        <v>3128</v>
      </c>
      <c r="C661" s="3336" t="s">
        <v>3610</v>
      </c>
      <c r="D661" s="3336" t="s">
        <v>3611</v>
      </c>
      <c r="E661" s="3339">
        <v>48.5</v>
      </c>
      <c r="F661" s="3339">
        <v>360</v>
      </c>
      <c r="G661" s="3340">
        <v>42095</v>
      </c>
      <c r="H661" s="3340">
        <v>42154</v>
      </c>
      <c r="I661" s="3340">
        <v>42155</v>
      </c>
      <c r="J661" s="3324"/>
    </row>
    <row r="662" spans="1:12" s="3327" customFormat="1" ht="12.75" customHeight="1">
      <c r="A662" s="3323"/>
      <c r="B662" s="3336" t="s">
        <v>3128</v>
      </c>
      <c r="C662" s="3336" t="s">
        <v>3610</v>
      </c>
      <c r="D662" s="3336" t="s">
        <v>3611</v>
      </c>
      <c r="E662" s="3339">
        <v>48.5</v>
      </c>
      <c r="F662" s="3339">
        <v>360</v>
      </c>
      <c r="G662" s="3340">
        <v>42156</v>
      </c>
      <c r="H662" s="3340">
        <v>42459</v>
      </c>
      <c r="I662" s="3340">
        <v>42460</v>
      </c>
      <c r="J662" s="3324"/>
    </row>
    <row r="663" spans="1:12" s="3327" customFormat="1" ht="12.75" customHeight="1">
      <c r="A663" s="3323"/>
      <c r="B663" s="3336" t="s">
        <v>3128</v>
      </c>
      <c r="C663" s="3336" t="s">
        <v>3610</v>
      </c>
      <c r="D663" s="3336" t="s">
        <v>3611</v>
      </c>
      <c r="E663" s="3339">
        <v>48.5</v>
      </c>
      <c r="F663" s="3339">
        <v>370</v>
      </c>
      <c r="G663" s="3340">
        <v>42461</v>
      </c>
      <c r="H663" s="3340">
        <v>42824</v>
      </c>
      <c r="I663" s="3340">
        <v>42825</v>
      </c>
      <c r="J663" s="3324"/>
    </row>
    <row r="664" spans="1:12" s="3327" customFormat="1" ht="12.75" customHeight="1">
      <c r="A664" s="3323" t="s">
        <v>3151</v>
      </c>
      <c r="B664" s="3331" t="s">
        <v>3128</v>
      </c>
      <c r="C664" s="3331" t="s">
        <v>3610</v>
      </c>
      <c r="D664" s="3331" t="s">
        <v>3612</v>
      </c>
      <c r="E664" s="3332">
        <v>48.5</v>
      </c>
      <c r="F664" s="3332">
        <v>380</v>
      </c>
      <c r="G664" s="3333">
        <v>42826</v>
      </c>
      <c r="H664" s="3333">
        <v>43130</v>
      </c>
      <c r="I664" s="3333">
        <v>43190</v>
      </c>
      <c r="J664" s="3324"/>
      <c r="K664" s="3334">
        <f>E664</f>
        <v>48.5</v>
      </c>
      <c r="L664" s="3334">
        <f>F664/30</f>
        <v>12.666666666666666</v>
      </c>
    </row>
    <row r="665" spans="1:12" s="3327" customFormat="1" ht="12.75" customHeight="1">
      <c r="A665" s="3335"/>
      <c r="B665" s="3336" t="s">
        <v>3128</v>
      </c>
      <c r="C665" s="3336" t="s">
        <v>3613</v>
      </c>
      <c r="D665" s="3336" t="s">
        <v>3614</v>
      </c>
      <c r="E665" s="3339">
        <v>35</v>
      </c>
      <c r="F665" s="3339">
        <v>335</v>
      </c>
      <c r="G665" s="3340">
        <v>41000</v>
      </c>
      <c r="H665" s="3340">
        <v>41363</v>
      </c>
      <c r="I665" s="3340">
        <v>41364</v>
      </c>
      <c r="J665" s="3336"/>
    </row>
    <row r="666" spans="1:12" s="3327" customFormat="1" ht="12.75" customHeight="1">
      <c r="A666" s="3323"/>
      <c r="B666" s="3324" t="s">
        <v>3128</v>
      </c>
      <c r="C666" s="3324" t="s">
        <v>3615</v>
      </c>
      <c r="D666" s="3324" t="s">
        <v>3616</v>
      </c>
      <c r="E666" s="3325">
        <v>35</v>
      </c>
      <c r="F666" s="3325">
        <v>340</v>
      </c>
      <c r="G666" s="3326">
        <v>41699</v>
      </c>
      <c r="H666" s="3326">
        <v>42003</v>
      </c>
      <c r="I666" s="3326">
        <v>42094</v>
      </c>
      <c r="J666" s="3324"/>
    </row>
    <row r="667" spans="1:12" s="3327" customFormat="1" ht="12.75" customHeight="1">
      <c r="A667" s="3323"/>
      <c r="B667" s="3324" t="s">
        <v>3128</v>
      </c>
      <c r="C667" s="3324" t="s">
        <v>3615</v>
      </c>
      <c r="D667" s="3324" t="s">
        <v>3616</v>
      </c>
      <c r="E667" s="3325">
        <v>35</v>
      </c>
      <c r="F667" s="3325">
        <v>360</v>
      </c>
      <c r="G667" s="3326">
        <v>42005</v>
      </c>
      <c r="H667" s="3326">
        <v>42093</v>
      </c>
      <c r="I667" s="3326">
        <v>42094</v>
      </c>
      <c r="J667" s="3324"/>
    </row>
    <row r="668" spans="1:12" s="3327" customFormat="1" ht="12.75" customHeight="1">
      <c r="A668" s="3323"/>
      <c r="B668" s="3336" t="s">
        <v>3128</v>
      </c>
      <c r="C668" s="3336" t="s">
        <v>3615</v>
      </c>
      <c r="D668" s="3336" t="s">
        <v>3616</v>
      </c>
      <c r="E668" s="3339">
        <v>35</v>
      </c>
      <c r="F668" s="3339">
        <v>360</v>
      </c>
      <c r="G668" s="3340">
        <v>42095</v>
      </c>
      <c r="H668" s="3340">
        <v>42459</v>
      </c>
      <c r="I668" s="3340">
        <v>42460</v>
      </c>
      <c r="J668" s="3324"/>
    </row>
    <row r="669" spans="1:12" s="3327" customFormat="1" ht="12.75" customHeight="1">
      <c r="A669" s="3323"/>
      <c r="B669" s="3336" t="s">
        <v>3128</v>
      </c>
      <c r="C669" s="3336" t="s">
        <v>3615</v>
      </c>
      <c r="D669" s="3336" t="s">
        <v>3616</v>
      </c>
      <c r="E669" s="3339">
        <v>35</v>
      </c>
      <c r="F669" s="3339">
        <v>370</v>
      </c>
      <c r="G669" s="3340">
        <v>42461</v>
      </c>
      <c r="H669" s="3340">
        <v>42551</v>
      </c>
      <c r="I669" s="3340">
        <v>42825</v>
      </c>
      <c r="J669" s="3324"/>
    </row>
    <row r="670" spans="1:12" s="3327" customFormat="1" ht="12.75" customHeight="1">
      <c r="A670" s="3323"/>
      <c r="B670" s="3336" t="s">
        <v>3128</v>
      </c>
      <c r="C670" s="3336" t="s">
        <v>3617</v>
      </c>
      <c r="D670" s="3336" t="s">
        <v>3616</v>
      </c>
      <c r="E670" s="3339">
        <v>35</v>
      </c>
      <c r="F670" s="3339">
        <v>370</v>
      </c>
      <c r="G670" s="3340">
        <v>42552</v>
      </c>
      <c r="H670" s="3340">
        <v>42824</v>
      </c>
      <c r="I670" s="3340">
        <v>42825</v>
      </c>
      <c r="J670" s="3324"/>
    </row>
    <row r="671" spans="1:12" s="3327" customFormat="1" ht="12.75" customHeight="1">
      <c r="A671" s="3323" t="s">
        <v>3151</v>
      </c>
      <c r="B671" s="3331" t="s">
        <v>3128</v>
      </c>
      <c r="C671" s="3331" t="s">
        <v>3617</v>
      </c>
      <c r="D671" s="3331" t="s">
        <v>3618</v>
      </c>
      <c r="E671" s="3332">
        <v>35</v>
      </c>
      <c r="F671" s="3332">
        <v>400</v>
      </c>
      <c r="G671" s="3333">
        <v>42826</v>
      </c>
      <c r="H671" s="3333">
        <v>43130</v>
      </c>
      <c r="I671" s="3333">
        <v>43190</v>
      </c>
      <c r="J671" s="3324"/>
      <c r="K671" s="3334">
        <f>E671</f>
        <v>35</v>
      </c>
      <c r="L671" s="3334">
        <f>F671/30</f>
        <v>13.333333333333334</v>
      </c>
    </row>
    <row r="672" spans="1:12" s="3327" customFormat="1" ht="12.75" customHeight="1">
      <c r="A672" s="3323"/>
      <c r="B672" s="3324" t="s">
        <v>3128</v>
      </c>
      <c r="C672" s="3324" t="s">
        <v>3619</v>
      </c>
      <c r="D672" s="3324" t="s">
        <v>3620</v>
      </c>
      <c r="E672" s="3325">
        <v>46.2</v>
      </c>
      <c r="F672" s="3325">
        <v>390</v>
      </c>
      <c r="G672" s="3349">
        <v>41000</v>
      </c>
      <c r="H672" s="3326">
        <v>41151</v>
      </c>
      <c r="I672" s="3326">
        <v>41364</v>
      </c>
      <c r="J672" s="3324"/>
    </row>
    <row r="673" spans="1:12" s="3327" customFormat="1" ht="12.75" customHeight="1">
      <c r="A673" s="3335"/>
      <c r="B673" s="3336" t="s">
        <v>3128</v>
      </c>
      <c r="C673" s="3336" t="s">
        <v>3621</v>
      </c>
      <c r="D673" s="3336" t="s">
        <v>3616</v>
      </c>
      <c r="E673" s="3339">
        <v>46.2</v>
      </c>
      <c r="F673" s="3339">
        <v>370</v>
      </c>
      <c r="G673" s="3340">
        <v>41365</v>
      </c>
      <c r="H673" s="3340">
        <v>41698</v>
      </c>
      <c r="I673" s="3340">
        <v>41729</v>
      </c>
      <c r="J673" s="3336"/>
    </row>
    <row r="674" spans="1:12" s="3327" customFormat="1" ht="12.75" customHeight="1">
      <c r="A674" s="3335"/>
      <c r="B674" s="3336" t="s">
        <v>3128</v>
      </c>
      <c r="C674" s="3336" t="s">
        <v>3622</v>
      </c>
      <c r="D674" s="3336" t="s">
        <v>3623</v>
      </c>
      <c r="E674" s="3339">
        <v>39.4</v>
      </c>
      <c r="F674" s="3339">
        <v>345</v>
      </c>
      <c r="G674" s="3340">
        <v>41214</v>
      </c>
      <c r="H674" s="3340">
        <v>41363</v>
      </c>
      <c r="I674" s="3340">
        <v>41364</v>
      </c>
      <c r="J674" s="3336"/>
    </row>
    <row r="675" spans="1:12" s="3327" customFormat="1" ht="12.75" customHeight="1">
      <c r="A675" s="3323"/>
      <c r="B675" s="3324" t="s">
        <v>3128</v>
      </c>
      <c r="C675" s="3324" t="s">
        <v>3566</v>
      </c>
      <c r="D675" s="3324" t="s">
        <v>3624</v>
      </c>
      <c r="E675" s="3325">
        <v>86.6</v>
      </c>
      <c r="F675" s="3325">
        <v>345</v>
      </c>
      <c r="G675" s="3326">
        <v>41699</v>
      </c>
      <c r="H675" s="3326">
        <v>42003</v>
      </c>
      <c r="I675" s="3326">
        <v>42094</v>
      </c>
      <c r="J675" s="3324"/>
    </row>
    <row r="676" spans="1:12" s="3327" customFormat="1" ht="12.75" customHeight="1">
      <c r="A676" s="3323"/>
      <c r="B676" s="3324" t="s">
        <v>3128</v>
      </c>
      <c r="C676" s="3324" t="s">
        <v>3566</v>
      </c>
      <c r="D676" s="3324" t="s">
        <v>3624</v>
      </c>
      <c r="E676" s="3325">
        <v>86.6</v>
      </c>
      <c r="F676" s="3325">
        <v>360</v>
      </c>
      <c r="G676" s="3326">
        <v>42005</v>
      </c>
      <c r="H676" s="3326">
        <v>42093</v>
      </c>
      <c r="I676" s="3326">
        <v>42094</v>
      </c>
      <c r="J676" s="3324"/>
    </row>
    <row r="677" spans="1:12" s="3327" customFormat="1" ht="12.75" customHeight="1">
      <c r="A677" s="3323"/>
      <c r="B677" s="3336" t="s">
        <v>3128</v>
      </c>
      <c r="C677" s="3336" t="s">
        <v>3566</v>
      </c>
      <c r="D677" s="3336" t="s">
        <v>3624</v>
      </c>
      <c r="E677" s="3339">
        <v>86.6</v>
      </c>
      <c r="F677" s="3339">
        <v>360</v>
      </c>
      <c r="G677" s="3340">
        <v>42095</v>
      </c>
      <c r="H677" s="3340">
        <v>42459</v>
      </c>
      <c r="I677" s="3340">
        <v>42460</v>
      </c>
      <c r="J677" s="3324"/>
    </row>
    <row r="678" spans="1:12" s="3327" customFormat="1" ht="12.75" customHeight="1">
      <c r="A678" s="3323"/>
      <c r="B678" s="3336" t="s">
        <v>3128</v>
      </c>
      <c r="C678" s="3336" t="s">
        <v>3566</v>
      </c>
      <c r="D678" s="3336" t="s">
        <v>3624</v>
      </c>
      <c r="E678" s="3339">
        <v>86.6</v>
      </c>
      <c r="F678" s="3339">
        <v>370</v>
      </c>
      <c r="G678" s="3340">
        <v>42461</v>
      </c>
      <c r="H678" s="3340">
        <v>42824</v>
      </c>
      <c r="I678" s="3340">
        <v>42825</v>
      </c>
      <c r="J678" s="3324"/>
    </row>
    <row r="679" spans="1:12" s="3327" customFormat="1" ht="12.75" customHeight="1">
      <c r="A679" s="3323" t="s">
        <v>3151</v>
      </c>
      <c r="B679" s="3331" t="s">
        <v>3128</v>
      </c>
      <c r="C679" s="3331" t="s">
        <v>3566</v>
      </c>
      <c r="D679" s="3331" t="s">
        <v>3625</v>
      </c>
      <c r="E679" s="3332">
        <v>86.6</v>
      </c>
      <c r="F679" s="3332">
        <v>390</v>
      </c>
      <c r="G679" s="3333">
        <v>42826</v>
      </c>
      <c r="H679" s="3333">
        <v>43130</v>
      </c>
      <c r="I679" s="3333">
        <v>43190</v>
      </c>
      <c r="J679" s="3324"/>
      <c r="K679" s="3334">
        <f>E679</f>
        <v>86.6</v>
      </c>
      <c r="L679" s="3334">
        <f>F679/30</f>
        <v>13</v>
      </c>
    </row>
    <row r="680" spans="1:12" s="3327" customFormat="1" ht="12.75" customHeight="1">
      <c r="A680" s="3323"/>
      <c r="B680" s="3324" t="s">
        <v>3128</v>
      </c>
      <c r="C680" s="3324" t="s">
        <v>3626</v>
      </c>
      <c r="D680" s="3324" t="s">
        <v>3627</v>
      </c>
      <c r="E680" s="3325">
        <v>49.7</v>
      </c>
      <c r="F680" s="3325">
        <v>360</v>
      </c>
      <c r="G680" s="3326">
        <v>40802</v>
      </c>
      <c r="H680" s="3326">
        <v>40907</v>
      </c>
      <c r="I680" s="3326">
        <v>40999</v>
      </c>
      <c r="J680" s="3324"/>
    </row>
    <row r="681" spans="1:12" s="3327" customFormat="1" ht="12.75" customHeight="1">
      <c r="A681" s="3323"/>
      <c r="B681" s="3324" t="s">
        <v>3128</v>
      </c>
      <c r="C681" s="3324" t="s">
        <v>3585</v>
      </c>
      <c r="D681" s="3324" t="s">
        <v>3479</v>
      </c>
      <c r="E681" s="3325">
        <v>49.7</v>
      </c>
      <c r="F681" s="3325">
        <v>330</v>
      </c>
      <c r="G681" s="3326">
        <v>41482</v>
      </c>
      <c r="H681" s="3326">
        <v>41698</v>
      </c>
      <c r="I681" s="3326">
        <v>41729</v>
      </c>
      <c r="J681" s="3324"/>
    </row>
    <row r="682" spans="1:12" s="3327" customFormat="1" ht="12.75" customHeight="1">
      <c r="A682" s="3323"/>
      <c r="B682" s="3324" t="s">
        <v>3128</v>
      </c>
      <c r="C682" s="3324" t="s">
        <v>3553</v>
      </c>
      <c r="D682" s="3324" t="s">
        <v>3578</v>
      </c>
      <c r="E682" s="3325">
        <v>34.700000000000003</v>
      </c>
      <c r="F682" s="3325">
        <v>340</v>
      </c>
      <c r="G682" s="3326">
        <v>41699</v>
      </c>
      <c r="H682" s="3326">
        <v>42003</v>
      </c>
      <c r="I682" s="3326">
        <v>42094</v>
      </c>
      <c r="J682" s="3324"/>
    </row>
    <row r="683" spans="1:12" s="3327" customFormat="1" ht="12.75" customHeight="1">
      <c r="A683" s="3323"/>
      <c r="B683" s="3324" t="s">
        <v>3128</v>
      </c>
      <c r="C683" s="3324" t="s">
        <v>3553</v>
      </c>
      <c r="D683" s="3324" t="s">
        <v>3578</v>
      </c>
      <c r="E683" s="3325">
        <v>34.700000000000003</v>
      </c>
      <c r="F683" s="3325">
        <v>360</v>
      </c>
      <c r="G683" s="3326">
        <v>42005</v>
      </c>
      <c r="H683" s="3326">
        <v>42093</v>
      </c>
      <c r="I683" s="3326">
        <v>42094</v>
      </c>
      <c r="J683" s="3324"/>
    </row>
    <row r="684" spans="1:12" s="3327" customFormat="1" ht="12.75" customHeight="1">
      <c r="A684" s="3323"/>
      <c r="B684" s="3336" t="s">
        <v>3128</v>
      </c>
      <c r="C684" s="3336" t="s">
        <v>3553</v>
      </c>
      <c r="D684" s="3336" t="s">
        <v>3578</v>
      </c>
      <c r="E684" s="3339">
        <v>34.700000000000003</v>
      </c>
      <c r="F684" s="3339">
        <v>360</v>
      </c>
      <c r="G684" s="3340">
        <v>42095</v>
      </c>
      <c r="H684" s="3340">
        <v>42200</v>
      </c>
      <c r="I684" s="3340">
        <v>42460</v>
      </c>
      <c r="J684" s="3324"/>
    </row>
    <row r="685" spans="1:12" s="3327" customFormat="1" ht="12.75" customHeight="1">
      <c r="A685" s="3323"/>
      <c r="B685" s="3324" t="s">
        <v>3128</v>
      </c>
      <c r="C685" s="3324" t="s">
        <v>3628</v>
      </c>
      <c r="D685" s="3324" t="s">
        <v>3528</v>
      </c>
      <c r="E685" s="3325">
        <v>30.4</v>
      </c>
      <c r="F685" s="3325">
        <v>340</v>
      </c>
      <c r="G685" s="3326">
        <v>41699</v>
      </c>
      <c r="H685" s="3326">
        <v>41881</v>
      </c>
      <c r="I685" s="3326">
        <v>41882</v>
      </c>
      <c r="J685" s="3324"/>
    </row>
    <row r="686" spans="1:12" s="3327" customFormat="1" ht="12.75" customHeight="1">
      <c r="A686" s="3323"/>
      <c r="B686" s="3324" t="s">
        <v>3128</v>
      </c>
      <c r="C686" s="3324" t="s">
        <v>3628</v>
      </c>
      <c r="D686" s="3324" t="s">
        <v>3528</v>
      </c>
      <c r="E686" s="3325">
        <v>30.4</v>
      </c>
      <c r="F686" s="3325">
        <v>340</v>
      </c>
      <c r="G686" s="3326">
        <v>41883</v>
      </c>
      <c r="H686" s="3326">
        <v>42003</v>
      </c>
      <c r="I686" s="3326">
        <v>42094</v>
      </c>
      <c r="J686" s="3324"/>
    </row>
    <row r="687" spans="1:12" s="3327" customFormat="1" ht="12.75" customHeight="1">
      <c r="A687" s="3323"/>
      <c r="B687" s="3324" t="s">
        <v>3128</v>
      </c>
      <c r="C687" s="3324" t="s">
        <v>3628</v>
      </c>
      <c r="D687" s="3324" t="s">
        <v>3528</v>
      </c>
      <c r="E687" s="3325">
        <v>30.4</v>
      </c>
      <c r="F687" s="3325">
        <v>360</v>
      </c>
      <c r="G687" s="3326">
        <v>42005</v>
      </c>
      <c r="H687" s="3326">
        <v>42093</v>
      </c>
      <c r="I687" s="3326">
        <v>42094</v>
      </c>
      <c r="J687" s="3324"/>
    </row>
    <row r="688" spans="1:12" s="3327" customFormat="1" ht="12.75" customHeight="1">
      <c r="A688" s="3323"/>
      <c r="B688" s="3336" t="s">
        <v>3128</v>
      </c>
      <c r="C688" s="3336" t="s">
        <v>3628</v>
      </c>
      <c r="D688" s="3336" t="s">
        <v>3528</v>
      </c>
      <c r="E688" s="3339">
        <v>30.4</v>
      </c>
      <c r="F688" s="3339">
        <v>360</v>
      </c>
      <c r="G688" s="3340">
        <v>42095</v>
      </c>
      <c r="H688" s="3340">
        <v>42124</v>
      </c>
      <c r="I688" s="3340">
        <v>42460</v>
      </c>
      <c r="J688" s="3324"/>
    </row>
    <row r="689" spans="1:12" s="3327" customFormat="1" ht="12.75" customHeight="1">
      <c r="A689" s="3323"/>
      <c r="B689" s="3350" t="s">
        <v>3128</v>
      </c>
      <c r="C689" s="3351" t="s">
        <v>3628</v>
      </c>
      <c r="D689" s="3351" t="s">
        <v>3528</v>
      </c>
      <c r="E689" s="3352">
        <v>30.4</v>
      </c>
      <c r="F689" s="3352">
        <v>362</v>
      </c>
      <c r="G689" s="3353">
        <v>42125</v>
      </c>
      <c r="H689" s="3353">
        <v>42200</v>
      </c>
      <c r="I689" s="3353">
        <v>42308</v>
      </c>
      <c r="J689" s="3324"/>
    </row>
    <row r="690" spans="1:12" s="3327" customFormat="1" ht="12.75" customHeight="1">
      <c r="A690" s="3323"/>
      <c r="B690" s="3336" t="s">
        <v>3128</v>
      </c>
      <c r="C690" s="3336" t="s">
        <v>3629</v>
      </c>
      <c r="D690" s="3336" t="s">
        <v>3528</v>
      </c>
      <c r="E690" s="3339">
        <v>30.4</v>
      </c>
      <c r="F690" s="3339">
        <v>360</v>
      </c>
      <c r="G690" s="3340">
        <v>42217</v>
      </c>
      <c r="H690" s="3340">
        <v>42459</v>
      </c>
      <c r="I690" s="3340">
        <v>42460</v>
      </c>
      <c r="J690" s="3324"/>
    </row>
    <row r="691" spans="1:12" s="3327" customFormat="1" ht="12.75" customHeight="1">
      <c r="A691" s="3323"/>
      <c r="B691" s="3336" t="s">
        <v>3128</v>
      </c>
      <c r="C691" s="3336" t="s">
        <v>3630</v>
      </c>
      <c r="D691" s="3336" t="s">
        <v>3528</v>
      </c>
      <c r="E691" s="3339">
        <v>30.36</v>
      </c>
      <c r="F691" s="3339">
        <v>370</v>
      </c>
      <c r="G691" s="3340">
        <v>42461</v>
      </c>
      <c r="H691" s="3340">
        <v>42753</v>
      </c>
      <c r="I691" s="3340">
        <v>42825</v>
      </c>
      <c r="J691" s="3324"/>
    </row>
    <row r="692" spans="1:12" s="3327" customFormat="1" ht="12.75" customHeight="1">
      <c r="A692" s="3323"/>
      <c r="B692" s="3336" t="s">
        <v>3128</v>
      </c>
      <c r="C692" s="3336" t="s">
        <v>3631</v>
      </c>
      <c r="D692" s="3336" t="s">
        <v>3632</v>
      </c>
      <c r="E692" s="3339">
        <v>30.36</v>
      </c>
      <c r="F692" s="3339">
        <v>380</v>
      </c>
      <c r="G692" s="3340">
        <v>42754</v>
      </c>
      <c r="H692" s="3340">
        <v>42794</v>
      </c>
      <c r="I692" s="3340">
        <v>42825</v>
      </c>
      <c r="J692" s="3324"/>
    </row>
    <row r="693" spans="1:12" s="3327" customFormat="1" ht="12.75" customHeight="1">
      <c r="A693" s="3323"/>
      <c r="B693" s="3336" t="s">
        <v>3128</v>
      </c>
      <c r="C693" s="3336" t="s">
        <v>3633</v>
      </c>
      <c r="D693" s="3336" t="s">
        <v>3634</v>
      </c>
      <c r="E693" s="3339">
        <v>97.57</v>
      </c>
      <c r="F693" s="3339">
        <v>380</v>
      </c>
      <c r="G693" s="3340">
        <v>42795</v>
      </c>
      <c r="H693" s="3340">
        <v>42824</v>
      </c>
      <c r="I693" s="3340">
        <v>42825</v>
      </c>
      <c r="J693" s="3324"/>
    </row>
    <row r="694" spans="1:12" s="3327" customFormat="1" ht="12.75" customHeight="1">
      <c r="A694" s="3323" t="s">
        <v>3635</v>
      </c>
      <c r="B694" s="3331" t="s">
        <v>3128</v>
      </c>
      <c r="C694" s="3331" t="s">
        <v>3633</v>
      </c>
      <c r="D694" s="3331" t="s">
        <v>3634</v>
      </c>
      <c r="E694" s="3347">
        <v>97.56</v>
      </c>
      <c r="F694" s="3332">
        <v>380</v>
      </c>
      <c r="G694" s="3333">
        <v>42826</v>
      </c>
      <c r="H694" s="3333">
        <v>43130</v>
      </c>
      <c r="I694" s="3333">
        <v>43190</v>
      </c>
      <c r="J694" s="3324"/>
      <c r="K694" s="3334">
        <f>E694</f>
        <v>97.56</v>
      </c>
      <c r="L694" s="3334">
        <f>F694/30</f>
        <v>12.666666666666666</v>
      </c>
    </row>
    <row r="695" spans="1:12" s="3327" customFormat="1" ht="13.5" customHeight="1">
      <c r="A695" s="3335"/>
      <c r="B695" s="3336" t="s">
        <v>3128</v>
      </c>
      <c r="C695" s="3336" t="s">
        <v>3636</v>
      </c>
      <c r="D695" s="3336" t="s">
        <v>3637</v>
      </c>
      <c r="E695" s="3339">
        <v>49.6</v>
      </c>
      <c r="F695" s="3339">
        <v>330</v>
      </c>
      <c r="G695" s="3340">
        <v>40634</v>
      </c>
      <c r="H695" s="3340">
        <v>40801</v>
      </c>
      <c r="I695" s="3340">
        <v>40801</v>
      </c>
      <c r="J695" s="3336"/>
    </row>
    <row r="696" spans="1:12" s="3327" customFormat="1" ht="13.5" customHeight="1">
      <c r="A696" s="3335"/>
      <c r="B696" s="3336" t="s">
        <v>3128</v>
      </c>
      <c r="C696" s="3336" t="s">
        <v>3456</v>
      </c>
      <c r="D696" s="3336" t="s">
        <v>3637</v>
      </c>
      <c r="E696" s="3339">
        <v>49.6</v>
      </c>
      <c r="F696" s="3339">
        <v>335</v>
      </c>
      <c r="G696" s="3340">
        <v>41000</v>
      </c>
      <c r="H696" s="3340">
        <v>41363</v>
      </c>
      <c r="I696" s="3340">
        <v>41364</v>
      </c>
      <c r="J696" s="3336"/>
    </row>
    <row r="697" spans="1:12" s="3327" customFormat="1" ht="12.75" customHeight="1">
      <c r="A697" s="3323"/>
      <c r="B697" s="3324" t="s">
        <v>3128</v>
      </c>
      <c r="C697" s="3324" t="s">
        <v>3629</v>
      </c>
      <c r="D697" s="3324" t="s">
        <v>3483</v>
      </c>
      <c r="E697" s="3325">
        <v>32.5</v>
      </c>
      <c r="F697" s="3325">
        <v>340</v>
      </c>
      <c r="G697" s="3326">
        <v>41699</v>
      </c>
      <c r="H697" s="3326">
        <v>42003</v>
      </c>
      <c r="I697" s="3326">
        <v>42094</v>
      </c>
      <c r="J697" s="3324"/>
    </row>
    <row r="698" spans="1:12" s="3327" customFormat="1" ht="12.75" customHeight="1">
      <c r="A698" s="3323"/>
      <c r="B698" s="3324" t="s">
        <v>3128</v>
      </c>
      <c r="C698" s="3324" t="s">
        <v>3629</v>
      </c>
      <c r="D698" s="3324" t="s">
        <v>3483</v>
      </c>
      <c r="E698" s="3325">
        <v>32.5</v>
      </c>
      <c r="F698" s="3325">
        <v>360</v>
      </c>
      <c r="G698" s="3326">
        <v>42005</v>
      </c>
      <c r="H698" s="3326">
        <v>42093</v>
      </c>
      <c r="I698" s="3326">
        <v>42094</v>
      </c>
      <c r="J698" s="3324"/>
    </row>
    <row r="699" spans="1:12" s="3327" customFormat="1" ht="12.75" customHeight="1">
      <c r="A699" s="3323"/>
      <c r="B699" s="3336" t="s">
        <v>3128</v>
      </c>
      <c r="C699" s="3336" t="s">
        <v>3629</v>
      </c>
      <c r="D699" s="3336" t="s">
        <v>3483</v>
      </c>
      <c r="E699" s="3339">
        <v>32.5</v>
      </c>
      <c r="F699" s="3339">
        <v>360</v>
      </c>
      <c r="G699" s="3340">
        <v>42095</v>
      </c>
      <c r="H699" s="3340">
        <v>42215</v>
      </c>
      <c r="I699" s="3340">
        <v>42460</v>
      </c>
      <c r="J699" s="3324"/>
    </row>
    <row r="700" spans="1:12" s="3327" customFormat="1" ht="12.75" customHeight="1">
      <c r="A700" s="3323"/>
      <c r="B700" s="3336" t="s">
        <v>3128</v>
      </c>
      <c r="C700" s="3336" t="s">
        <v>3638</v>
      </c>
      <c r="D700" s="3336" t="s">
        <v>3639</v>
      </c>
      <c r="E700" s="3339">
        <v>67.2</v>
      </c>
      <c r="F700" s="3339">
        <v>362</v>
      </c>
      <c r="G700" s="3340">
        <v>42217</v>
      </c>
      <c r="H700" s="3340">
        <v>42459</v>
      </c>
      <c r="I700" s="3340">
        <v>42460</v>
      </c>
      <c r="J700" s="3324"/>
    </row>
    <row r="701" spans="1:12" s="3327" customFormat="1" ht="12.75" customHeight="1">
      <c r="A701" s="3323"/>
      <c r="B701" s="3336" t="s">
        <v>3128</v>
      </c>
      <c r="C701" s="3336" t="s">
        <v>3638</v>
      </c>
      <c r="D701" s="3336" t="s">
        <v>3639</v>
      </c>
      <c r="E701" s="3339">
        <v>67.2</v>
      </c>
      <c r="F701" s="3339">
        <v>380</v>
      </c>
      <c r="G701" s="3340">
        <v>42461</v>
      </c>
      <c r="H701" s="3340">
        <v>42754</v>
      </c>
      <c r="I701" s="3340">
        <v>42825</v>
      </c>
      <c r="J701" s="3324"/>
    </row>
    <row r="702" spans="1:12" s="3327" customFormat="1" ht="12.75" customHeight="1">
      <c r="A702" s="3323"/>
      <c r="B702" s="3336" t="s">
        <v>3128</v>
      </c>
      <c r="C702" s="3336" t="s">
        <v>3638</v>
      </c>
      <c r="D702" s="3336" t="s">
        <v>3634</v>
      </c>
      <c r="E702" s="3339">
        <v>67.2</v>
      </c>
      <c r="F702" s="3339">
        <v>380</v>
      </c>
      <c r="G702" s="3340">
        <v>42755</v>
      </c>
      <c r="H702" s="3340">
        <v>42794</v>
      </c>
      <c r="I702" s="3340">
        <v>42825</v>
      </c>
      <c r="J702" s="3324"/>
    </row>
    <row r="703" spans="1:12" s="3327" customFormat="1" ht="12.75" customHeight="1">
      <c r="A703" s="3335"/>
      <c r="B703" s="3336" t="s">
        <v>3128</v>
      </c>
      <c r="C703" s="3336" t="s">
        <v>3610</v>
      </c>
      <c r="D703" s="3336" t="s">
        <v>3640</v>
      </c>
      <c r="E703" s="3339">
        <v>53.3</v>
      </c>
      <c r="F703" s="3339">
        <v>335</v>
      </c>
      <c r="G703" s="3340">
        <v>41000</v>
      </c>
      <c r="H703" s="3340">
        <v>41363</v>
      </c>
      <c r="I703" s="3340">
        <v>41364</v>
      </c>
      <c r="J703" s="3336"/>
    </row>
    <row r="704" spans="1:12" s="3327" customFormat="1" ht="12.75" customHeight="1">
      <c r="A704" s="3323"/>
      <c r="B704" s="3324" t="s">
        <v>3128</v>
      </c>
      <c r="C704" s="3324" t="s">
        <v>3641</v>
      </c>
      <c r="D704" s="3324" t="s">
        <v>3642</v>
      </c>
      <c r="E704" s="3325">
        <v>62.599999999999994</v>
      </c>
      <c r="F704" s="3325">
        <v>340</v>
      </c>
      <c r="G704" s="3326">
        <v>41699</v>
      </c>
      <c r="H704" s="3326">
        <v>42003</v>
      </c>
      <c r="I704" s="3326">
        <v>42094</v>
      </c>
      <c r="J704" s="3324"/>
    </row>
    <row r="705" spans="1:12" s="3327" customFormat="1" ht="12.75" customHeight="1">
      <c r="A705" s="3323"/>
      <c r="B705" s="3324" t="s">
        <v>3128</v>
      </c>
      <c r="C705" s="3324" t="s">
        <v>3641</v>
      </c>
      <c r="D705" s="3324" t="s">
        <v>3642</v>
      </c>
      <c r="E705" s="3325">
        <v>62.599999999999994</v>
      </c>
      <c r="F705" s="3325">
        <v>350</v>
      </c>
      <c r="G705" s="3326">
        <v>42005</v>
      </c>
      <c r="H705" s="3326">
        <v>42093</v>
      </c>
      <c r="I705" s="3326">
        <v>42094</v>
      </c>
      <c r="J705" s="3324"/>
    </row>
    <row r="706" spans="1:12" s="3327" customFormat="1" ht="12.75" customHeight="1">
      <c r="A706" s="3323"/>
      <c r="B706" s="3336" t="s">
        <v>3128</v>
      </c>
      <c r="C706" s="3336" t="s">
        <v>3641</v>
      </c>
      <c r="D706" s="3336" t="s">
        <v>3642</v>
      </c>
      <c r="E706" s="3339">
        <v>62.599999999999994</v>
      </c>
      <c r="F706" s="3339">
        <v>350</v>
      </c>
      <c r="G706" s="3340">
        <v>42095</v>
      </c>
      <c r="H706" s="3340">
        <v>42187</v>
      </c>
      <c r="I706" s="3340">
        <v>42460</v>
      </c>
      <c r="J706" s="3324"/>
    </row>
    <row r="707" spans="1:12" s="3327" customFormat="1" ht="12.75" customHeight="1">
      <c r="A707" s="3323"/>
      <c r="B707" s="3336" t="s">
        <v>3128</v>
      </c>
      <c r="C707" s="3336" t="s">
        <v>3641</v>
      </c>
      <c r="D707" s="3336" t="s">
        <v>3642</v>
      </c>
      <c r="E707" s="3339">
        <v>62.599999999999994</v>
      </c>
      <c r="F707" s="3339">
        <v>362</v>
      </c>
      <c r="G707" s="3340">
        <v>42188</v>
      </c>
      <c r="H707" s="3340">
        <v>42459</v>
      </c>
      <c r="I707" s="3340">
        <v>42460</v>
      </c>
      <c r="J707" s="3324"/>
    </row>
    <row r="708" spans="1:12" s="3327" customFormat="1" ht="12.75" customHeight="1">
      <c r="A708" s="3323"/>
      <c r="B708" s="3336" t="s">
        <v>3128</v>
      </c>
      <c r="C708" s="3336" t="s">
        <v>3641</v>
      </c>
      <c r="D708" s="3336" t="s">
        <v>3642</v>
      </c>
      <c r="E708" s="3339">
        <v>62.599999999999994</v>
      </c>
      <c r="F708" s="3339">
        <v>362</v>
      </c>
      <c r="G708" s="3340">
        <v>42461</v>
      </c>
      <c r="H708" s="3340">
        <v>42824</v>
      </c>
      <c r="I708" s="3340">
        <v>42825</v>
      </c>
      <c r="J708" s="3324"/>
    </row>
    <row r="709" spans="1:12" s="3327" customFormat="1" ht="12.75" customHeight="1">
      <c r="A709" s="3323" t="s">
        <v>3151</v>
      </c>
      <c r="B709" s="3331" t="s">
        <v>3128</v>
      </c>
      <c r="C709" s="3331" t="s">
        <v>3641</v>
      </c>
      <c r="D709" s="3331" t="s">
        <v>3643</v>
      </c>
      <c r="E709" s="3332">
        <v>62.599999999999994</v>
      </c>
      <c r="F709" s="3332">
        <v>370</v>
      </c>
      <c r="G709" s="3333">
        <v>42826</v>
      </c>
      <c r="H709" s="3333">
        <v>43130</v>
      </c>
      <c r="I709" s="3333">
        <v>43190</v>
      </c>
      <c r="J709" s="3324"/>
      <c r="K709" s="3334">
        <f>E709</f>
        <v>62.599999999999994</v>
      </c>
      <c r="L709" s="3334">
        <f>F709/30</f>
        <v>12.333333333333334</v>
      </c>
    </row>
    <row r="710" spans="1:12" s="3327" customFormat="1" ht="12.75" customHeight="1">
      <c r="A710" s="3335"/>
      <c r="B710" s="3336" t="s">
        <v>3128</v>
      </c>
      <c r="C710" s="3336" t="s">
        <v>3644</v>
      </c>
      <c r="D710" s="3336" t="s">
        <v>3640</v>
      </c>
      <c r="E710" s="3339">
        <v>54.5</v>
      </c>
      <c r="F710" s="3339">
        <v>335</v>
      </c>
      <c r="G710" s="3340">
        <v>41000</v>
      </c>
      <c r="H710" s="3340">
        <v>41363</v>
      </c>
      <c r="I710" s="3340">
        <v>41364</v>
      </c>
      <c r="J710" s="3336"/>
    </row>
    <row r="711" spans="1:12" s="3327" customFormat="1" ht="12.75" customHeight="1">
      <c r="A711" s="3335"/>
      <c r="B711" s="3336" t="s">
        <v>3128</v>
      </c>
      <c r="C711" s="3336" t="s">
        <v>3645</v>
      </c>
      <c r="D711" s="3336" t="s">
        <v>3646</v>
      </c>
      <c r="E711" s="3339">
        <v>93.7</v>
      </c>
      <c r="F711" s="3339">
        <v>360</v>
      </c>
      <c r="G711" s="3340">
        <v>40802</v>
      </c>
      <c r="H711" s="3340">
        <v>40877</v>
      </c>
      <c r="I711" s="3340">
        <v>40999</v>
      </c>
      <c r="J711" s="3336"/>
    </row>
    <row r="712" spans="1:12" s="3327" customFormat="1" ht="12.75" customHeight="1">
      <c r="A712" s="3335"/>
      <c r="B712" s="3336" t="s">
        <v>3128</v>
      </c>
      <c r="C712" s="3336" t="s">
        <v>3628</v>
      </c>
      <c r="D712" s="3336" t="s">
        <v>3646</v>
      </c>
      <c r="E712" s="3339">
        <v>43.5</v>
      </c>
      <c r="F712" s="3339">
        <v>335</v>
      </c>
      <c r="G712" s="3340">
        <v>41000</v>
      </c>
      <c r="H712" s="3340">
        <v>41363</v>
      </c>
      <c r="I712" s="3340">
        <v>41364</v>
      </c>
      <c r="J712" s="3336"/>
    </row>
    <row r="713" spans="1:12" s="3327" customFormat="1" ht="12.75" customHeight="1">
      <c r="A713" s="3323"/>
      <c r="B713" s="3324" t="s">
        <v>3128</v>
      </c>
      <c r="C713" s="3324" t="s">
        <v>3647</v>
      </c>
      <c r="D713" s="3324" t="s">
        <v>3648</v>
      </c>
      <c r="E713" s="3325">
        <v>71.099999999999994</v>
      </c>
      <c r="F713" s="3325">
        <v>360</v>
      </c>
      <c r="G713" s="3326">
        <v>41699</v>
      </c>
      <c r="H713" s="3326">
        <v>42003</v>
      </c>
      <c r="I713" s="3326">
        <v>42094</v>
      </c>
      <c r="J713" s="3324"/>
    </row>
    <row r="714" spans="1:12" s="3327" customFormat="1" ht="12.75" customHeight="1">
      <c r="A714" s="3323"/>
      <c r="B714" s="3324" t="s">
        <v>3128</v>
      </c>
      <c r="C714" s="3324" t="s">
        <v>3647</v>
      </c>
      <c r="D714" s="3324" t="s">
        <v>3648</v>
      </c>
      <c r="E714" s="3325">
        <v>71.099999999999994</v>
      </c>
      <c r="F714" s="3325">
        <v>370</v>
      </c>
      <c r="G714" s="3326">
        <v>42005</v>
      </c>
      <c r="H714" s="3326">
        <v>42093</v>
      </c>
      <c r="I714" s="3326">
        <v>42094</v>
      </c>
      <c r="J714" s="3324"/>
    </row>
    <row r="715" spans="1:12" s="3327" customFormat="1" ht="12.75" customHeight="1">
      <c r="A715" s="3323"/>
      <c r="B715" s="3336" t="s">
        <v>3128</v>
      </c>
      <c r="C715" s="3336" t="s">
        <v>3647</v>
      </c>
      <c r="D715" s="3336" t="s">
        <v>3648</v>
      </c>
      <c r="E715" s="3339">
        <v>71.099999999999994</v>
      </c>
      <c r="F715" s="3339">
        <v>370</v>
      </c>
      <c r="G715" s="3340">
        <v>42095</v>
      </c>
      <c r="H715" s="3340">
        <v>42459</v>
      </c>
      <c r="I715" s="3340">
        <v>42460</v>
      </c>
      <c r="J715" s="3324"/>
    </row>
    <row r="716" spans="1:12" s="3327" customFormat="1" ht="12.75" customHeight="1">
      <c r="A716" s="3323"/>
      <c r="B716" s="3336" t="s">
        <v>3128</v>
      </c>
      <c r="C716" s="3336" t="s">
        <v>3647</v>
      </c>
      <c r="D716" s="3336" t="s">
        <v>3648</v>
      </c>
      <c r="E716" s="3339">
        <v>71.099999999999994</v>
      </c>
      <c r="F716" s="3339">
        <v>380</v>
      </c>
      <c r="G716" s="3340">
        <v>42461</v>
      </c>
      <c r="H716" s="3340">
        <v>42643</v>
      </c>
      <c r="I716" s="3340">
        <v>42825</v>
      </c>
      <c r="J716" s="3324"/>
    </row>
    <row r="717" spans="1:12" s="3327" customFormat="1" ht="12.75" customHeight="1">
      <c r="A717" s="3323"/>
      <c r="B717" s="3336" t="s">
        <v>3128</v>
      </c>
      <c r="C717" s="3336" t="s">
        <v>3649</v>
      </c>
      <c r="D717" s="3336" t="s">
        <v>3650</v>
      </c>
      <c r="E717" s="3339">
        <v>71.099999999999994</v>
      </c>
      <c r="F717" s="3339">
        <v>380</v>
      </c>
      <c r="G717" s="3340">
        <v>42644</v>
      </c>
      <c r="H717" s="3340">
        <v>42824</v>
      </c>
      <c r="I717" s="3340">
        <v>42825</v>
      </c>
      <c r="J717" s="3324"/>
    </row>
    <row r="718" spans="1:12" s="3327" customFormat="1" ht="12.75" customHeight="1">
      <c r="A718" s="3323"/>
      <c r="B718" s="3331" t="s">
        <v>3128</v>
      </c>
      <c r="C718" s="3331" t="s">
        <v>3649</v>
      </c>
      <c r="D718" s="3331" t="s">
        <v>3651</v>
      </c>
      <c r="E718" s="3332">
        <v>71.099999999999994</v>
      </c>
      <c r="F718" s="3332">
        <v>380</v>
      </c>
      <c r="G718" s="3333">
        <v>42826</v>
      </c>
      <c r="H718" s="3333">
        <v>42885</v>
      </c>
      <c r="I718" s="3333">
        <v>43190</v>
      </c>
      <c r="J718" s="3324"/>
      <c r="K718" s="3334">
        <f>E718</f>
        <v>71.099999999999994</v>
      </c>
      <c r="L718" s="3334">
        <f>F718/30</f>
        <v>12.666666666666666</v>
      </c>
    </row>
    <row r="719" spans="1:12" s="3327" customFormat="1" ht="12.75" customHeight="1">
      <c r="A719" s="3323"/>
      <c r="B719" s="3324" t="s">
        <v>3128</v>
      </c>
      <c r="C719" s="3324" t="s">
        <v>3652</v>
      </c>
      <c r="D719" s="3324" t="s">
        <v>3653</v>
      </c>
      <c r="E719" s="3325">
        <v>61.4</v>
      </c>
      <c r="F719" s="3325">
        <v>340</v>
      </c>
      <c r="G719" s="3326">
        <v>41699</v>
      </c>
      <c r="H719" s="3326">
        <v>41850</v>
      </c>
      <c r="I719" s="3326">
        <v>42094</v>
      </c>
      <c r="J719" s="3324"/>
    </row>
    <row r="720" spans="1:12" s="3327" customFormat="1" ht="12.75" customHeight="1">
      <c r="A720" s="3354"/>
      <c r="B720" s="3324" t="s">
        <v>3128</v>
      </c>
      <c r="C720" s="3324" t="s">
        <v>3654</v>
      </c>
      <c r="D720" s="3324" t="s">
        <v>3653</v>
      </c>
      <c r="E720" s="3325">
        <v>61.4</v>
      </c>
      <c r="F720" s="3325">
        <v>340.79</v>
      </c>
      <c r="G720" s="3326">
        <v>41852</v>
      </c>
      <c r="H720" s="3326">
        <v>41958</v>
      </c>
      <c r="I720" s="3326">
        <v>42094</v>
      </c>
      <c r="J720" s="3324"/>
    </row>
    <row r="721" spans="1:12" s="3327" customFormat="1" ht="12.75" customHeight="1">
      <c r="A721" s="3354"/>
      <c r="B721" s="3336" t="s">
        <v>3128</v>
      </c>
      <c r="C721" s="3336" t="s">
        <v>3654</v>
      </c>
      <c r="D721" s="3336" t="s">
        <v>3653</v>
      </c>
      <c r="E721" s="3339">
        <v>61.4</v>
      </c>
      <c r="F721" s="3339">
        <v>351</v>
      </c>
      <c r="G721" s="3340">
        <v>42095</v>
      </c>
      <c r="H721" s="3340">
        <v>42459</v>
      </c>
      <c r="I721" s="3340">
        <v>42460</v>
      </c>
      <c r="J721" s="3324"/>
    </row>
    <row r="722" spans="1:12" s="3327" customFormat="1" ht="12.75" customHeight="1">
      <c r="A722" s="3354"/>
      <c r="B722" s="3336" t="s">
        <v>3128</v>
      </c>
      <c r="C722" s="3336" t="s">
        <v>3654</v>
      </c>
      <c r="D722" s="3336" t="s">
        <v>3653</v>
      </c>
      <c r="E722" s="3338">
        <v>64.099999999999994</v>
      </c>
      <c r="F722" s="3339">
        <v>370</v>
      </c>
      <c r="G722" s="3340">
        <v>42461</v>
      </c>
      <c r="H722" s="3340">
        <v>42520</v>
      </c>
      <c r="I722" s="3340">
        <v>42825</v>
      </c>
      <c r="J722" s="3324"/>
    </row>
    <row r="723" spans="1:12" s="3327" customFormat="1" ht="12.75" customHeight="1">
      <c r="A723" s="3354"/>
      <c r="B723" s="3336" t="s">
        <v>3128</v>
      </c>
      <c r="C723" s="3336" t="s">
        <v>3316</v>
      </c>
      <c r="D723" s="3336" t="s">
        <v>3653</v>
      </c>
      <c r="E723" s="3339">
        <v>64.099999999999994</v>
      </c>
      <c r="F723" s="3339">
        <v>370</v>
      </c>
      <c r="G723" s="3340">
        <v>42522</v>
      </c>
      <c r="H723" s="3340">
        <v>42824</v>
      </c>
      <c r="I723" s="3340">
        <v>42825</v>
      </c>
      <c r="J723" s="3324"/>
    </row>
    <row r="724" spans="1:12" s="3327" customFormat="1" ht="12.75" customHeight="1">
      <c r="A724" s="3354"/>
      <c r="B724" s="3331" t="s">
        <v>3128</v>
      </c>
      <c r="C724" s="3331" t="s">
        <v>3316</v>
      </c>
      <c r="D724" s="3331" t="s">
        <v>3179</v>
      </c>
      <c r="E724" s="3332">
        <v>64.099999999999994</v>
      </c>
      <c r="F724" s="3332">
        <v>370</v>
      </c>
      <c r="G724" s="3333">
        <v>42826</v>
      </c>
      <c r="H724" s="3333">
        <v>42885</v>
      </c>
      <c r="I724" s="3333">
        <v>43190</v>
      </c>
      <c r="J724" s="3324"/>
      <c r="K724" s="3334">
        <f t="shared" ref="K724:K728" si="35">E724</f>
        <v>64.099999999999994</v>
      </c>
      <c r="L724" s="3334">
        <f t="shared" ref="L724:L728" si="36">F724/30</f>
        <v>12.333333333333334</v>
      </c>
    </row>
    <row r="725" spans="1:12" s="3327" customFormat="1" ht="12.75" customHeight="1">
      <c r="A725" s="3354" t="s">
        <v>3550</v>
      </c>
      <c r="B725" s="3331" t="s">
        <v>3128</v>
      </c>
      <c r="C725" s="3331" t="s">
        <v>3649</v>
      </c>
      <c r="D725" s="3331" t="s">
        <v>3651</v>
      </c>
      <c r="E725" s="3332">
        <v>47.36</v>
      </c>
      <c r="F725" s="3332">
        <v>400</v>
      </c>
      <c r="G725" s="3333">
        <v>42887</v>
      </c>
      <c r="H725" s="3333">
        <v>42946</v>
      </c>
      <c r="I725" s="3333">
        <v>43190</v>
      </c>
      <c r="J725" s="3324"/>
      <c r="K725" s="3334">
        <f t="shared" si="35"/>
        <v>47.36</v>
      </c>
      <c r="L725" s="3334">
        <f t="shared" si="36"/>
        <v>13.333333333333334</v>
      </c>
    </row>
    <row r="726" spans="1:12" s="3327" customFormat="1" ht="12.75" customHeight="1">
      <c r="A726" s="3354" t="s">
        <v>3151</v>
      </c>
      <c r="B726" s="3331" t="s">
        <v>3128</v>
      </c>
      <c r="C726" s="3331" t="s">
        <v>3655</v>
      </c>
      <c r="D726" s="3331" t="s">
        <v>3651</v>
      </c>
      <c r="E726" s="3332">
        <v>47.36</v>
      </c>
      <c r="F726" s="3332">
        <v>400</v>
      </c>
      <c r="G726" s="3333">
        <v>42948</v>
      </c>
      <c r="H726" s="3333">
        <v>43130</v>
      </c>
      <c r="I726" s="3333">
        <v>43190</v>
      </c>
      <c r="J726" s="3324"/>
      <c r="K726" s="3334">
        <f t="shared" si="35"/>
        <v>47.36</v>
      </c>
      <c r="L726" s="3334">
        <f t="shared" si="36"/>
        <v>13.333333333333334</v>
      </c>
    </row>
    <row r="727" spans="1:12" s="3327" customFormat="1" ht="12.75" customHeight="1">
      <c r="A727" s="3354" t="s">
        <v>3151</v>
      </c>
      <c r="B727" s="3331" t="s">
        <v>3128</v>
      </c>
      <c r="C727" s="3331" t="s">
        <v>3656</v>
      </c>
      <c r="D727" s="3331" t="s">
        <v>3657</v>
      </c>
      <c r="E727" s="3332">
        <v>44.54</v>
      </c>
      <c r="F727" s="3332">
        <v>400</v>
      </c>
      <c r="G727" s="3333">
        <v>42887</v>
      </c>
      <c r="H727" s="3333">
        <v>43130</v>
      </c>
      <c r="I727" s="3333">
        <v>43190</v>
      </c>
      <c r="J727" s="3324"/>
      <c r="K727" s="3334">
        <f t="shared" si="35"/>
        <v>44.54</v>
      </c>
      <c r="L727" s="3334">
        <f t="shared" si="36"/>
        <v>13.333333333333334</v>
      </c>
    </row>
    <row r="728" spans="1:12" s="3327" customFormat="1" ht="12.75" customHeight="1">
      <c r="A728" s="3354" t="s">
        <v>3151</v>
      </c>
      <c r="B728" s="3331" t="s">
        <v>3128</v>
      </c>
      <c r="C728" s="3331" t="s">
        <v>3658</v>
      </c>
      <c r="D728" s="3331" t="s">
        <v>3179</v>
      </c>
      <c r="E728" s="3332">
        <v>46.34</v>
      </c>
      <c r="F728" s="3332">
        <v>400</v>
      </c>
      <c r="G728" s="3333">
        <v>42887</v>
      </c>
      <c r="H728" s="3333">
        <v>43130</v>
      </c>
      <c r="I728" s="3333">
        <v>43190</v>
      </c>
      <c r="J728" s="3324"/>
      <c r="K728" s="3334">
        <f t="shared" si="35"/>
        <v>46.34</v>
      </c>
      <c r="L728" s="3334">
        <f t="shared" si="36"/>
        <v>13.333333333333334</v>
      </c>
    </row>
    <row r="729" spans="1:12" s="3327" customFormat="1" ht="12.75" customHeight="1">
      <c r="A729" s="3355"/>
      <c r="B729" s="3336" t="s">
        <v>3128</v>
      </c>
      <c r="C729" s="3336" t="s">
        <v>3659</v>
      </c>
      <c r="D729" s="3336" t="s">
        <v>3660</v>
      </c>
      <c r="E729" s="3339">
        <v>52.1</v>
      </c>
      <c r="F729" s="3339">
        <v>365</v>
      </c>
      <c r="G729" s="3340">
        <v>41000</v>
      </c>
      <c r="H729" s="3340">
        <v>41363</v>
      </c>
      <c r="I729" s="3340">
        <v>41364</v>
      </c>
      <c r="J729" s="3336"/>
    </row>
    <row r="730" spans="1:12" s="3327" customFormat="1" ht="12.75" customHeight="1">
      <c r="A730" s="3323"/>
      <c r="B730" s="3324" t="s">
        <v>3128</v>
      </c>
      <c r="C730" s="3324" t="s">
        <v>3661</v>
      </c>
      <c r="D730" s="3324" t="s">
        <v>3662</v>
      </c>
      <c r="E730" s="3325">
        <v>52.1</v>
      </c>
      <c r="F730" s="3325">
        <v>360</v>
      </c>
      <c r="G730" s="3326">
        <v>41699</v>
      </c>
      <c r="H730" s="3326">
        <v>42003</v>
      </c>
      <c r="I730" s="3326">
        <v>42094</v>
      </c>
      <c r="J730" s="3324"/>
    </row>
    <row r="731" spans="1:12" s="3327" customFormat="1" ht="12.75" customHeight="1">
      <c r="A731" s="3323"/>
      <c r="B731" s="3324" t="s">
        <v>3128</v>
      </c>
      <c r="C731" s="3324" t="s">
        <v>3661</v>
      </c>
      <c r="D731" s="3324" t="s">
        <v>3662</v>
      </c>
      <c r="E731" s="3325">
        <v>52.1</v>
      </c>
      <c r="F731" s="3325">
        <v>370</v>
      </c>
      <c r="G731" s="3326">
        <v>42005</v>
      </c>
      <c r="H731" s="3326">
        <v>42093</v>
      </c>
      <c r="I731" s="3326">
        <v>42094</v>
      </c>
      <c r="J731" s="3324"/>
    </row>
    <row r="732" spans="1:12" s="3327" customFormat="1" ht="12.75" customHeight="1">
      <c r="A732" s="3323"/>
      <c r="B732" s="3336" t="s">
        <v>3128</v>
      </c>
      <c r="C732" s="3336" t="s">
        <v>3661</v>
      </c>
      <c r="D732" s="3336" t="s">
        <v>3662</v>
      </c>
      <c r="E732" s="3339">
        <v>52.1</v>
      </c>
      <c r="F732" s="3339">
        <v>370</v>
      </c>
      <c r="G732" s="3340">
        <v>42095</v>
      </c>
      <c r="H732" s="3340">
        <v>42187</v>
      </c>
      <c r="I732" s="3340">
        <v>42460</v>
      </c>
      <c r="J732" s="3324"/>
    </row>
    <row r="733" spans="1:12" s="3327" customFormat="1" ht="12.75" customHeight="1">
      <c r="A733" s="3323"/>
      <c r="B733" s="3336" t="s">
        <v>3128</v>
      </c>
      <c r="C733" s="3336" t="s">
        <v>3661</v>
      </c>
      <c r="D733" s="3336" t="s">
        <v>3662</v>
      </c>
      <c r="E733" s="3339">
        <v>52.1</v>
      </c>
      <c r="F733" s="3339">
        <v>370</v>
      </c>
      <c r="G733" s="3340">
        <v>42188</v>
      </c>
      <c r="H733" s="3340">
        <v>42459</v>
      </c>
      <c r="I733" s="3340">
        <v>42460</v>
      </c>
      <c r="J733" s="3324"/>
    </row>
    <row r="734" spans="1:12" s="3327" customFormat="1" ht="12.75" customHeight="1">
      <c r="A734" s="3354"/>
      <c r="B734" s="3336" t="s">
        <v>3128</v>
      </c>
      <c r="C734" s="3336" t="s">
        <v>3661</v>
      </c>
      <c r="D734" s="3336" t="s">
        <v>3662</v>
      </c>
      <c r="E734" s="3339">
        <v>52.1</v>
      </c>
      <c r="F734" s="3339">
        <v>380</v>
      </c>
      <c r="G734" s="3340">
        <v>42461</v>
      </c>
      <c r="H734" s="3340">
        <v>42824</v>
      </c>
      <c r="I734" s="3340">
        <v>42825</v>
      </c>
      <c r="J734" s="3324"/>
    </row>
    <row r="735" spans="1:12" s="3327" customFormat="1" ht="12.75" customHeight="1">
      <c r="A735" s="3354" t="s">
        <v>3151</v>
      </c>
      <c r="B735" s="3331" t="s">
        <v>3128</v>
      </c>
      <c r="C735" s="3331" t="s">
        <v>3661</v>
      </c>
      <c r="D735" s="3331" t="s">
        <v>3662</v>
      </c>
      <c r="E735" s="3332">
        <v>52.1</v>
      </c>
      <c r="F735" s="3332">
        <v>380</v>
      </c>
      <c r="G735" s="3333">
        <v>42826</v>
      </c>
      <c r="H735" s="3333">
        <v>43130</v>
      </c>
      <c r="I735" s="3333">
        <v>43190</v>
      </c>
      <c r="J735" s="3324"/>
      <c r="K735" s="3334">
        <f>E735</f>
        <v>52.1</v>
      </c>
      <c r="L735" s="3334">
        <f>F735/30</f>
        <v>12.666666666666666</v>
      </c>
    </row>
    <row r="736" spans="1:12" s="3327" customFormat="1" ht="12.75" customHeight="1">
      <c r="A736" s="3355"/>
      <c r="B736" s="3336" t="s">
        <v>3128</v>
      </c>
      <c r="C736" s="3336" t="s">
        <v>3663</v>
      </c>
      <c r="D736" s="3336" t="s">
        <v>3664</v>
      </c>
      <c r="E736" s="3339">
        <v>79</v>
      </c>
      <c r="F736" s="3339">
        <v>400</v>
      </c>
      <c r="G736" s="3340">
        <v>41000</v>
      </c>
      <c r="H736" s="3340">
        <v>41363</v>
      </c>
      <c r="I736" s="3340">
        <v>41364</v>
      </c>
      <c r="J736" s="3336"/>
    </row>
    <row r="737" spans="1:12" s="3327" customFormat="1" ht="12.75" customHeight="1">
      <c r="A737" s="3323"/>
      <c r="B737" s="3324" t="s">
        <v>3128</v>
      </c>
      <c r="C737" s="3324" t="s">
        <v>3663</v>
      </c>
      <c r="D737" s="3324" t="s">
        <v>3586</v>
      </c>
      <c r="E737" s="3325">
        <v>75.400000000000006</v>
      </c>
      <c r="F737" s="3325">
        <v>400</v>
      </c>
      <c r="G737" s="3326">
        <v>41730</v>
      </c>
      <c r="H737" s="3326">
        <v>42003</v>
      </c>
      <c r="I737" s="3326">
        <v>42094</v>
      </c>
      <c r="J737" s="3324"/>
    </row>
    <row r="738" spans="1:12" s="3327" customFormat="1" ht="12.75" customHeight="1">
      <c r="A738" s="3323"/>
      <c r="B738" s="3324" t="s">
        <v>3128</v>
      </c>
      <c r="C738" s="3324" t="s">
        <v>3663</v>
      </c>
      <c r="D738" s="3324" t="s">
        <v>3586</v>
      </c>
      <c r="E738" s="3325">
        <v>75.400000000000006</v>
      </c>
      <c r="F738" s="3325">
        <v>405</v>
      </c>
      <c r="G738" s="3326">
        <v>42005</v>
      </c>
      <c r="H738" s="3326">
        <v>42093</v>
      </c>
      <c r="I738" s="3326">
        <v>42094</v>
      </c>
      <c r="J738" s="3324"/>
    </row>
    <row r="739" spans="1:12" s="3327" customFormat="1" ht="12.75" customHeight="1">
      <c r="A739" s="3323"/>
      <c r="B739" s="3336" t="s">
        <v>3128</v>
      </c>
      <c r="C739" s="3336" t="s">
        <v>3663</v>
      </c>
      <c r="D739" s="3336" t="s">
        <v>3586</v>
      </c>
      <c r="E739" s="3339">
        <v>75.400000000000006</v>
      </c>
      <c r="F739" s="3339">
        <v>405</v>
      </c>
      <c r="G739" s="3340">
        <v>42095</v>
      </c>
      <c r="H739" s="3340">
        <v>42154</v>
      </c>
      <c r="I739" s="3340">
        <v>42155</v>
      </c>
      <c r="J739" s="3324"/>
    </row>
    <row r="740" spans="1:12" s="3327" customFormat="1" ht="12.75" customHeight="1">
      <c r="A740" s="3323"/>
      <c r="B740" s="3336" t="s">
        <v>3128</v>
      </c>
      <c r="C740" s="3336" t="s">
        <v>3665</v>
      </c>
      <c r="D740" s="3336" t="s">
        <v>3586</v>
      </c>
      <c r="E740" s="3339">
        <v>75.400000000000006</v>
      </c>
      <c r="F740" s="3339">
        <v>405</v>
      </c>
      <c r="G740" s="3340">
        <v>42156</v>
      </c>
      <c r="H740" s="3340">
        <v>42459</v>
      </c>
      <c r="I740" s="3340">
        <v>42460</v>
      </c>
      <c r="J740" s="3324"/>
    </row>
    <row r="741" spans="1:12" s="3327" customFormat="1" ht="12.75" customHeight="1">
      <c r="A741" s="3323"/>
      <c r="B741" s="3336" t="s">
        <v>3128</v>
      </c>
      <c r="C741" s="3336" t="s">
        <v>3665</v>
      </c>
      <c r="D741" s="3336" t="s">
        <v>3586</v>
      </c>
      <c r="E741" s="3339">
        <v>75.400000000000006</v>
      </c>
      <c r="F741" s="3339">
        <v>410</v>
      </c>
      <c r="G741" s="3340">
        <v>42461</v>
      </c>
      <c r="H741" s="3340">
        <v>42824</v>
      </c>
      <c r="I741" s="3340">
        <v>42825</v>
      </c>
      <c r="J741" s="3324"/>
    </row>
    <row r="742" spans="1:12" s="3327" customFormat="1" ht="12.75" customHeight="1">
      <c r="A742" s="3354"/>
      <c r="B742" s="3331" t="s">
        <v>3128</v>
      </c>
      <c r="C742" s="3331" t="s">
        <v>3665</v>
      </c>
      <c r="D742" s="3331" t="s">
        <v>3586</v>
      </c>
      <c r="E742" s="3332">
        <v>75.400000000000006</v>
      </c>
      <c r="F742" s="3332">
        <v>410</v>
      </c>
      <c r="G742" s="3333">
        <v>42826</v>
      </c>
      <c r="H742" s="3333">
        <v>42946</v>
      </c>
      <c r="I742" s="3333">
        <v>43190</v>
      </c>
      <c r="J742" s="3324"/>
      <c r="K742" s="3334">
        <f t="shared" ref="K742:K744" si="37">E742</f>
        <v>75.400000000000006</v>
      </c>
      <c r="L742" s="3334">
        <f t="shared" ref="L742:L744" si="38">F742/30</f>
        <v>13.666666666666666</v>
      </c>
    </row>
    <row r="743" spans="1:12" s="3327" customFormat="1" ht="12.75" customHeight="1">
      <c r="A743" s="3354"/>
      <c r="B743" s="3331" t="s">
        <v>3128</v>
      </c>
      <c r="C743" s="3331" t="s">
        <v>3665</v>
      </c>
      <c r="D743" s="3331" t="s">
        <v>3586</v>
      </c>
      <c r="E743" s="3332">
        <v>75.400000000000006</v>
      </c>
      <c r="F743" s="3332">
        <v>410</v>
      </c>
      <c r="G743" s="3333">
        <v>42948</v>
      </c>
      <c r="H743" s="3333">
        <v>42983</v>
      </c>
      <c r="I743" s="3333">
        <v>43190</v>
      </c>
      <c r="J743" s="3324"/>
      <c r="K743" s="3334">
        <f t="shared" si="37"/>
        <v>75.400000000000006</v>
      </c>
      <c r="L743" s="3334">
        <f t="shared" si="38"/>
        <v>13.666666666666666</v>
      </c>
    </row>
    <row r="744" spans="1:12" s="3327" customFormat="1" ht="12.75" customHeight="1">
      <c r="A744" s="3354" t="s">
        <v>3151</v>
      </c>
      <c r="B744" s="3331" t="s">
        <v>3128</v>
      </c>
      <c r="C744" s="3331" t="s">
        <v>3665</v>
      </c>
      <c r="D744" s="3331" t="s">
        <v>3586</v>
      </c>
      <c r="E744" s="3332">
        <v>75.400000000000006</v>
      </c>
      <c r="F744" s="3332">
        <v>410</v>
      </c>
      <c r="G744" s="3333">
        <v>42984</v>
      </c>
      <c r="H744" s="3333">
        <v>43130</v>
      </c>
      <c r="I744" s="3333">
        <v>43190</v>
      </c>
      <c r="J744" s="3324"/>
      <c r="K744" s="3334">
        <f t="shared" si="37"/>
        <v>75.400000000000006</v>
      </c>
      <c r="L744" s="3334">
        <f t="shared" si="38"/>
        <v>13.666666666666666</v>
      </c>
    </row>
    <row r="745" spans="1:12" s="3327" customFormat="1" ht="13.5" customHeight="1">
      <c r="A745" s="3355"/>
      <c r="B745" s="3336" t="s">
        <v>3128</v>
      </c>
      <c r="C745" s="3336" t="s">
        <v>3666</v>
      </c>
      <c r="D745" s="3336" t="s">
        <v>3667</v>
      </c>
      <c r="E745" s="3339">
        <v>70.900000000000006</v>
      </c>
      <c r="F745" s="3339">
        <v>400</v>
      </c>
      <c r="G745" s="3340">
        <v>41000</v>
      </c>
      <c r="H745" s="3340">
        <v>41363</v>
      </c>
      <c r="I745" s="3340">
        <v>41364</v>
      </c>
      <c r="J745" s="3336"/>
    </row>
    <row r="746" spans="1:12" s="3327" customFormat="1" ht="13.5" customHeight="1">
      <c r="A746" s="3323"/>
      <c r="B746" s="3324" t="s">
        <v>3128</v>
      </c>
      <c r="C746" s="3324" t="s">
        <v>3666</v>
      </c>
      <c r="D746" s="3324" t="s">
        <v>3668</v>
      </c>
      <c r="E746" s="3325">
        <v>70.900000000000006</v>
      </c>
      <c r="F746" s="3325">
        <v>400</v>
      </c>
      <c r="G746" s="3326">
        <v>41730</v>
      </c>
      <c r="H746" s="3326">
        <v>42093</v>
      </c>
      <c r="I746" s="3326">
        <v>42094</v>
      </c>
      <c r="J746" s="3324"/>
    </row>
    <row r="747" spans="1:12" s="3327" customFormat="1" ht="13.5" customHeight="1">
      <c r="A747" s="3323"/>
      <c r="B747" s="3336" t="s">
        <v>3128</v>
      </c>
      <c r="C747" s="3336" t="s">
        <v>3666</v>
      </c>
      <c r="D747" s="3336" t="s">
        <v>3668</v>
      </c>
      <c r="E747" s="3339">
        <v>70.900000000000006</v>
      </c>
      <c r="F747" s="3339">
        <v>405</v>
      </c>
      <c r="G747" s="3340">
        <v>42095</v>
      </c>
      <c r="H747" s="3340">
        <v>42459</v>
      </c>
      <c r="I747" s="3340">
        <v>42460</v>
      </c>
      <c r="J747" s="3324"/>
    </row>
    <row r="748" spans="1:12" s="3327" customFormat="1" ht="13.5" customHeight="1">
      <c r="A748" s="3323"/>
      <c r="B748" s="3336" t="s">
        <v>3128</v>
      </c>
      <c r="C748" s="3336" t="s">
        <v>3666</v>
      </c>
      <c r="D748" s="3336" t="s">
        <v>3668</v>
      </c>
      <c r="E748" s="3339">
        <v>70.900000000000006</v>
      </c>
      <c r="F748" s="3339">
        <v>410</v>
      </c>
      <c r="G748" s="3340">
        <v>42461</v>
      </c>
      <c r="H748" s="3340">
        <v>42824</v>
      </c>
      <c r="I748" s="3340">
        <v>42825</v>
      </c>
      <c r="J748" s="3324"/>
    </row>
    <row r="749" spans="1:12" s="3327" customFormat="1" ht="13.5" customHeight="1">
      <c r="A749" s="3323" t="s">
        <v>3151</v>
      </c>
      <c r="B749" s="3331" t="s">
        <v>3128</v>
      </c>
      <c r="C749" s="3331" t="s">
        <v>3669</v>
      </c>
      <c r="D749" s="3331" t="s">
        <v>3668</v>
      </c>
      <c r="E749" s="3332">
        <v>70.900000000000006</v>
      </c>
      <c r="F749" s="3332">
        <v>410</v>
      </c>
      <c r="G749" s="3333">
        <v>42826</v>
      </c>
      <c r="H749" s="3333">
        <v>43130</v>
      </c>
      <c r="I749" s="3333">
        <v>43190</v>
      </c>
      <c r="J749" s="3324"/>
      <c r="K749" s="3334">
        <f>E749</f>
        <v>70.900000000000006</v>
      </c>
      <c r="L749" s="3334">
        <f>F749/30</f>
        <v>13.666666666666666</v>
      </c>
    </row>
    <row r="750" spans="1:12" s="3327" customFormat="1" ht="13.5" customHeight="1">
      <c r="A750" s="3355"/>
      <c r="B750" s="3336" t="s">
        <v>3128</v>
      </c>
      <c r="C750" s="3336" t="s">
        <v>3670</v>
      </c>
      <c r="D750" s="3336" t="s">
        <v>3671</v>
      </c>
      <c r="E750" s="3339">
        <v>45.4</v>
      </c>
      <c r="F750" s="3339">
        <v>360</v>
      </c>
      <c r="G750" s="3340">
        <v>41000</v>
      </c>
      <c r="H750" s="3340">
        <v>41363</v>
      </c>
      <c r="I750" s="3340">
        <v>41364</v>
      </c>
      <c r="J750" s="3336"/>
    </row>
    <row r="751" spans="1:12" s="3327" customFormat="1" ht="13.5" customHeight="1">
      <c r="A751" s="3323"/>
      <c r="B751" s="3324" t="s">
        <v>3128</v>
      </c>
      <c r="C751" s="3324" t="s">
        <v>3670</v>
      </c>
      <c r="D751" s="3324" t="s">
        <v>3672</v>
      </c>
      <c r="E751" s="3325">
        <v>45.4</v>
      </c>
      <c r="F751" s="3325">
        <v>360</v>
      </c>
      <c r="G751" s="3326">
        <v>41730</v>
      </c>
      <c r="H751" s="3326">
        <v>42003</v>
      </c>
      <c r="I751" s="3326">
        <v>42094</v>
      </c>
      <c r="J751" s="3324"/>
    </row>
    <row r="752" spans="1:12" s="3327" customFormat="1" ht="13.5" customHeight="1">
      <c r="A752" s="3323"/>
      <c r="B752" s="3324" t="s">
        <v>3128</v>
      </c>
      <c r="C752" s="3324" t="s">
        <v>3670</v>
      </c>
      <c r="D752" s="3324" t="s">
        <v>3672</v>
      </c>
      <c r="E752" s="3325">
        <v>45.4</v>
      </c>
      <c r="F752" s="3325">
        <v>370</v>
      </c>
      <c r="G752" s="3326">
        <v>42005</v>
      </c>
      <c r="H752" s="3326">
        <v>42093</v>
      </c>
      <c r="I752" s="3326">
        <v>42094</v>
      </c>
      <c r="J752" s="3324"/>
    </row>
    <row r="753" spans="1:12" s="3327" customFormat="1" ht="13.5" customHeight="1">
      <c r="A753" s="3323"/>
      <c r="B753" s="3336" t="s">
        <v>3128</v>
      </c>
      <c r="C753" s="3336" t="s">
        <v>3670</v>
      </c>
      <c r="D753" s="3336" t="s">
        <v>3672</v>
      </c>
      <c r="E753" s="3339">
        <v>45.4</v>
      </c>
      <c r="F753" s="3339">
        <v>370</v>
      </c>
      <c r="G753" s="3340">
        <v>42095</v>
      </c>
      <c r="H753" s="3340">
        <v>42459</v>
      </c>
      <c r="I753" s="3340">
        <v>42460</v>
      </c>
      <c r="J753" s="3324"/>
    </row>
    <row r="754" spans="1:12" s="3327" customFormat="1" ht="13.5" customHeight="1">
      <c r="A754" s="3323"/>
      <c r="B754" s="3336" t="s">
        <v>3128</v>
      </c>
      <c r="C754" s="3336" t="s">
        <v>3670</v>
      </c>
      <c r="D754" s="3336" t="s">
        <v>3672</v>
      </c>
      <c r="E754" s="3339">
        <v>45.4</v>
      </c>
      <c r="F754" s="3339">
        <v>380</v>
      </c>
      <c r="G754" s="3340">
        <v>42461</v>
      </c>
      <c r="H754" s="3340">
        <v>42824</v>
      </c>
      <c r="I754" s="3340">
        <v>42825</v>
      </c>
      <c r="J754" s="3324"/>
    </row>
    <row r="755" spans="1:12" s="3327" customFormat="1" ht="13.5" customHeight="1">
      <c r="A755" s="3323" t="s">
        <v>3151</v>
      </c>
      <c r="B755" s="3331" t="s">
        <v>3128</v>
      </c>
      <c r="C755" s="3331" t="s">
        <v>3670</v>
      </c>
      <c r="D755" s="3331" t="s">
        <v>3673</v>
      </c>
      <c r="E755" s="3332">
        <v>45.4</v>
      </c>
      <c r="F755" s="3332">
        <v>380</v>
      </c>
      <c r="G755" s="3333">
        <v>42826</v>
      </c>
      <c r="H755" s="3333">
        <v>43130</v>
      </c>
      <c r="I755" s="3333">
        <v>43190</v>
      </c>
      <c r="J755" s="3324"/>
      <c r="K755" s="3334">
        <f>E755</f>
        <v>45.4</v>
      </c>
      <c r="L755" s="3334">
        <f>F755/30</f>
        <v>12.666666666666666</v>
      </c>
    </row>
    <row r="756" spans="1:12" s="3327" customFormat="1" ht="13.5" customHeight="1">
      <c r="A756" s="3323"/>
      <c r="B756" s="3324" t="s">
        <v>3128</v>
      </c>
      <c r="C756" s="3324" t="s">
        <v>3233</v>
      </c>
      <c r="D756" s="3324" t="s">
        <v>3674</v>
      </c>
      <c r="E756" s="3325">
        <v>78.3</v>
      </c>
      <c r="F756" s="3325">
        <v>335</v>
      </c>
      <c r="G756" s="3326">
        <v>41730</v>
      </c>
      <c r="H756" s="3326">
        <v>42093</v>
      </c>
      <c r="I756" s="3326">
        <v>42094</v>
      </c>
      <c r="J756" s="3324"/>
    </row>
    <row r="757" spans="1:12" s="3327" customFormat="1" ht="13.5" customHeight="1">
      <c r="A757" s="3323"/>
      <c r="B757" s="3336" t="s">
        <v>3128</v>
      </c>
      <c r="C757" s="3336" t="s">
        <v>3233</v>
      </c>
      <c r="D757" s="3336" t="s">
        <v>3674</v>
      </c>
      <c r="E757" s="3339">
        <v>78.3</v>
      </c>
      <c r="F757" s="3339">
        <v>350</v>
      </c>
      <c r="G757" s="3340">
        <v>42095</v>
      </c>
      <c r="H757" s="3340">
        <v>42459</v>
      </c>
      <c r="I757" s="3340">
        <v>42460</v>
      </c>
      <c r="J757" s="3324"/>
    </row>
    <row r="758" spans="1:12" s="3327" customFormat="1" ht="13.5" customHeight="1">
      <c r="A758" s="3323"/>
      <c r="B758" s="3336" t="s">
        <v>3128</v>
      </c>
      <c r="C758" s="3336" t="s">
        <v>3675</v>
      </c>
      <c r="D758" s="3336" t="s">
        <v>3674</v>
      </c>
      <c r="E758" s="3339">
        <v>78.319999999999993</v>
      </c>
      <c r="F758" s="3339">
        <v>380</v>
      </c>
      <c r="G758" s="3340">
        <v>42461</v>
      </c>
      <c r="H758" s="3340">
        <v>42520</v>
      </c>
      <c r="I758" s="3340">
        <v>42825</v>
      </c>
      <c r="J758" s="3324"/>
    </row>
    <row r="759" spans="1:12" s="3327" customFormat="1" ht="13.5" customHeight="1">
      <c r="A759" s="3323"/>
      <c r="B759" s="3336" t="s">
        <v>3128</v>
      </c>
      <c r="C759" s="3336" t="s">
        <v>3675</v>
      </c>
      <c r="D759" s="3336" t="s">
        <v>3674</v>
      </c>
      <c r="E759" s="3339">
        <v>78.319999999999993</v>
      </c>
      <c r="F759" s="3339">
        <v>380</v>
      </c>
      <c r="G759" s="3340">
        <v>42522</v>
      </c>
      <c r="H759" s="3340">
        <v>42824</v>
      </c>
      <c r="I759" s="3340">
        <v>42825</v>
      </c>
      <c r="J759" s="3324"/>
    </row>
    <row r="760" spans="1:12" s="3327" customFormat="1" ht="13.5" customHeight="1">
      <c r="A760" s="3323"/>
      <c r="B760" s="3331" t="s">
        <v>3128</v>
      </c>
      <c r="C760" s="3331" t="s">
        <v>3675</v>
      </c>
      <c r="D760" s="3331" t="s">
        <v>3676</v>
      </c>
      <c r="E760" s="3332">
        <v>78.319999999999993</v>
      </c>
      <c r="F760" s="3332">
        <v>395</v>
      </c>
      <c r="G760" s="3333">
        <v>42826</v>
      </c>
      <c r="H760" s="3333">
        <v>42983</v>
      </c>
      <c r="I760" s="3333">
        <v>43190</v>
      </c>
      <c r="J760" s="3324"/>
      <c r="K760" s="3334">
        <f t="shared" ref="K760:K761" si="39">E760</f>
        <v>78.319999999999993</v>
      </c>
      <c r="L760" s="3334">
        <f t="shared" ref="L760:L761" si="40">F760/30</f>
        <v>13.166666666666666</v>
      </c>
    </row>
    <row r="761" spans="1:12" s="3327" customFormat="1" ht="13.5" customHeight="1">
      <c r="A761" s="3323" t="s">
        <v>3151</v>
      </c>
      <c r="B761" s="3331" t="s">
        <v>3677</v>
      </c>
      <c r="C761" s="3331" t="s">
        <v>3675</v>
      </c>
      <c r="D761" s="3331" t="s">
        <v>3676</v>
      </c>
      <c r="E761" s="3332">
        <v>78.319999999999993</v>
      </c>
      <c r="F761" s="3332">
        <v>395</v>
      </c>
      <c r="G761" s="3333">
        <v>42984</v>
      </c>
      <c r="H761" s="3333">
        <v>43130</v>
      </c>
      <c r="I761" s="3333">
        <v>43190</v>
      </c>
      <c r="J761" s="3324"/>
      <c r="K761" s="3334">
        <f t="shared" si="39"/>
        <v>78.319999999999993</v>
      </c>
      <c r="L761" s="3334">
        <f t="shared" si="40"/>
        <v>13.166666666666666</v>
      </c>
    </row>
    <row r="762" spans="1:12" s="3327" customFormat="1" ht="12.75" customHeight="1">
      <c r="A762" s="3323"/>
      <c r="B762" s="3324" t="s">
        <v>3128</v>
      </c>
      <c r="C762" s="3324" t="s">
        <v>3265</v>
      </c>
      <c r="D762" s="3324" t="s">
        <v>3678</v>
      </c>
      <c r="E762" s="3325">
        <v>38.4</v>
      </c>
      <c r="F762" s="3325">
        <v>340</v>
      </c>
      <c r="G762" s="3326">
        <v>41699</v>
      </c>
      <c r="H762" s="3326">
        <v>42003</v>
      </c>
      <c r="I762" s="3326">
        <v>42094</v>
      </c>
      <c r="J762" s="3324"/>
    </row>
    <row r="763" spans="1:12" s="3327" customFormat="1" ht="12.75" customHeight="1">
      <c r="A763" s="3323"/>
      <c r="B763" s="3324" t="s">
        <v>3128</v>
      </c>
      <c r="C763" s="3324" t="s">
        <v>3265</v>
      </c>
      <c r="D763" s="3324" t="s">
        <v>3678</v>
      </c>
      <c r="E763" s="3325">
        <v>38.4</v>
      </c>
      <c r="F763" s="3325">
        <v>350</v>
      </c>
      <c r="G763" s="3326">
        <v>42005</v>
      </c>
      <c r="H763" s="3326">
        <v>42093</v>
      </c>
      <c r="I763" s="3326">
        <v>42094</v>
      </c>
      <c r="J763" s="3324"/>
    </row>
    <row r="764" spans="1:12" s="3327" customFormat="1" ht="12.75" customHeight="1">
      <c r="A764" s="3323"/>
      <c r="B764" s="3336" t="s">
        <v>3128</v>
      </c>
      <c r="C764" s="3336" t="s">
        <v>3265</v>
      </c>
      <c r="D764" s="3336" t="s">
        <v>3678</v>
      </c>
      <c r="E764" s="3339">
        <v>38.4</v>
      </c>
      <c r="F764" s="3339">
        <v>350</v>
      </c>
      <c r="G764" s="3340">
        <v>42095</v>
      </c>
      <c r="H764" s="3340">
        <v>42459</v>
      </c>
      <c r="I764" s="3340">
        <v>42460</v>
      </c>
      <c r="J764" s="3324"/>
    </row>
    <row r="765" spans="1:12" s="3327" customFormat="1" ht="12.75" customHeight="1">
      <c r="A765" s="3323"/>
      <c r="B765" s="3336" t="s">
        <v>3128</v>
      </c>
      <c r="C765" s="3336" t="s">
        <v>3265</v>
      </c>
      <c r="D765" s="3336" t="s">
        <v>3678</v>
      </c>
      <c r="E765" s="3339">
        <v>38.4</v>
      </c>
      <c r="F765" s="3339">
        <v>370</v>
      </c>
      <c r="G765" s="3340">
        <v>42461</v>
      </c>
      <c r="H765" s="3340">
        <v>42490</v>
      </c>
      <c r="I765" s="3340">
        <v>42825</v>
      </c>
      <c r="J765" s="3324"/>
    </row>
    <row r="766" spans="1:12" s="3327" customFormat="1" ht="12.75" customHeight="1">
      <c r="A766" s="3323"/>
      <c r="B766" s="3336" t="s">
        <v>3128</v>
      </c>
      <c r="C766" s="3336" t="s">
        <v>3679</v>
      </c>
      <c r="D766" s="3336" t="s">
        <v>3678</v>
      </c>
      <c r="E766" s="3339">
        <v>38.4</v>
      </c>
      <c r="F766" s="3339">
        <v>370</v>
      </c>
      <c r="G766" s="3340">
        <v>42491</v>
      </c>
      <c r="H766" s="3340">
        <v>42824</v>
      </c>
      <c r="I766" s="3340">
        <v>42825</v>
      </c>
      <c r="J766" s="3324"/>
    </row>
    <row r="767" spans="1:12" s="3327" customFormat="1" ht="12.75" customHeight="1">
      <c r="A767" s="3354" t="s">
        <v>3635</v>
      </c>
      <c r="B767" s="3331" t="s">
        <v>3128</v>
      </c>
      <c r="C767" s="3331" t="s">
        <v>3679</v>
      </c>
      <c r="D767" s="3331" t="s">
        <v>3680</v>
      </c>
      <c r="E767" s="3332">
        <v>38.4</v>
      </c>
      <c r="F767" s="3332">
        <v>400</v>
      </c>
      <c r="G767" s="3333">
        <v>42826</v>
      </c>
      <c r="H767" s="3333">
        <v>43130</v>
      </c>
      <c r="I767" s="3333">
        <v>43190</v>
      </c>
      <c r="J767" s="3324"/>
      <c r="K767" s="3334">
        <f>E767</f>
        <v>38.4</v>
      </c>
      <c r="L767" s="3334">
        <f>F767/30</f>
        <v>13.333333333333334</v>
      </c>
    </row>
    <row r="768" spans="1:12" s="3327" customFormat="1" ht="12.75" customHeight="1">
      <c r="A768" s="3355"/>
      <c r="B768" s="3336" t="s">
        <v>3128</v>
      </c>
      <c r="C768" s="3336" t="s">
        <v>3681</v>
      </c>
      <c r="D768" s="3336" t="s">
        <v>3682</v>
      </c>
      <c r="E768" s="3339">
        <v>36.9</v>
      </c>
      <c r="F768" s="3339">
        <v>360</v>
      </c>
      <c r="G768" s="3340">
        <v>40634</v>
      </c>
      <c r="H768" s="3340">
        <v>40801</v>
      </c>
      <c r="I768" s="3340">
        <v>40801</v>
      </c>
      <c r="J768" s="3336"/>
    </row>
    <row r="769" spans="1:12" s="3327" customFormat="1" ht="12.75" customHeight="1">
      <c r="A769" s="3323"/>
      <c r="B769" s="3324" t="s">
        <v>3128</v>
      </c>
      <c r="C769" s="3324" t="s">
        <v>3683</v>
      </c>
      <c r="D769" s="3324" t="s">
        <v>3684</v>
      </c>
      <c r="E769" s="3325">
        <v>36.9</v>
      </c>
      <c r="F769" s="3325">
        <v>340</v>
      </c>
      <c r="G769" s="3326">
        <v>41699</v>
      </c>
      <c r="H769" s="3326">
        <v>42003</v>
      </c>
      <c r="I769" s="3326">
        <v>42094</v>
      </c>
      <c r="J769" s="3324"/>
    </row>
    <row r="770" spans="1:12" s="3327" customFormat="1" ht="12.75" customHeight="1">
      <c r="A770" s="3323"/>
      <c r="B770" s="3324" t="s">
        <v>3128</v>
      </c>
      <c r="C770" s="3324" t="s">
        <v>3683</v>
      </c>
      <c r="D770" s="3324" t="s">
        <v>3684</v>
      </c>
      <c r="E770" s="3325">
        <v>36.9</v>
      </c>
      <c r="F770" s="3325">
        <v>350</v>
      </c>
      <c r="G770" s="3326">
        <v>42005</v>
      </c>
      <c r="H770" s="3326">
        <v>42093</v>
      </c>
      <c r="I770" s="3326">
        <v>42094</v>
      </c>
      <c r="J770" s="3324"/>
    </row>
    <row r="771" spans="1:12" s="3327" customFormat="1" ht="12.75" customHeight="1">
      <c r="A771" s="3323"/>
      <c r="B771" s="3336" t="s">
        <v>3128</v>
      </c>
      <c r="C771" s="3336" t="s">
        <v>3685</v>
      </c>
      <c r="D771" s="3336" t="s">
        <v>3684</v>
      </c>
      <c r="E771" s="3339">
        <v>36.9</v>
      </c>
      <c r="F771" s="3339">
        <v>350</v>
      </c>
      <c r="G771" s="3340">
        <v>42095</v>
      </c>
      <c r="H771" s="3340">
        <v>42459</v>
      </c>
      <c r="I771" s="3340">
        <v>42460</v>
      </c>
      <c r="J771" s="3324"/>
    </row>
    <row r="772" spans="1:12" s="3327" customFormat="1" ht="12.75" customHeight="1">
      <c r="A772" s="3323"/>
      <c r="B772" s="3336" t="s">
        <v>3128</v>
      </c>
      <c r="C772" s="3336" t="s">
        <v>3685</v>
      </c>
      <c r="D772" s="3336" t="s">
        <v>3684</v>
      </c>
      <c r="E772" s="3339">
        <v>36.9</v>
      </c>
      <c r="F772" s="3339">
        <v>370</v>
      </c>
      <c r="G772" s="3340">
        <v>42461</v>
      </c>
      <c r="H772" s="3340">
        <v>42824</v>
      </c>
      <c r="I772" s="3340">
        <v>42825</v>
      </c>
      <c r="J772" s="3324"/>
    </row>
    <row r="773" spans="1:12" s="3327" customFormat="1" ht="12.75" customHeight="1">
      <c r="A773" s="3323" t="s">
        <v>3151</v>
      </c>
      <c r="B773" s="3331" t="s">
        <v>3128</v>
      </c>
      <c r="C773" s="3331" t="s">
        <v>3686</v>
      </c>
      <c r="D773" s="3331" t="s">
        <v>3687</v>
      </c>
      <c r="E773" s="3332">
        <v>36.9</v>
      </c>
      <c r="F773" s="3332">
        <v>400</v>
      </c>
      <c r="G773" s="3333">
        <v>42826</v>
      </c>
      <c r="H773" s="3333">
        <v>43130</v>
      </c>
      <c r="I773" s="3333">
        <v>43190</v>
      </c>
      <c r="J773" s="3324"/>
      <c r="K773" s="3334">
        <f>E773</f>
        <v>36.9</v>
      </c>
      <c r="L773" s="3334">
        <f>F773/30</f>
        <v>13.333333333333334</v>
      </c>
    </row>
    <row r="774" spans="1:12" s="3327" customFormat="1" ht="12.75" customHeight="1">
      <c r="A774" s="3354"/>
      <c r="B774" s="3324" t="s">
        <v>3128</v>
      </c>
      <c r="C774" s="3324" t="s">
        <v>3688</v>
      </c>
      <c r="D774" s="3324" t="s">
        <v>3689</v>
      </c>
      <c r="E774" s="3325">
        <v>75.400000000000006</v>
      </c>
      <c r="F774" s="3325">
        <v>330</v>
      </c>
      <c r="G774" s="3326">
        <v>40264</v>
      </c>
      <c r="H774" s="3326">
        <v>40542</v>
      </c>
      <c r="I774" s="3326">
        <v>40632</v>
      </c>
      <c r="J774" s="3324"/>
    </row>
    <row r="775" spans="1:12" s="3327" customFormat="1" ht="12.75" customHeight="1">
      <c r="A775" s="3355"/>
      <c r="B775" s="3336" t="s">
        <v>3128</v>
      </c>
      <c r="C775" s="3336" t="s">
        <v>3357</v>
      </c>
      <c r="D775" s="3336" t="s">
        <v>3690</v>
      </c>
      <c r="E775" s="3339">
        <v>37</v>
      </c>
      <c r="F775" s="3339">
        <v>330</v>
      </c>
      <c r="G775" s="3340">
        <v>40976</v>
      </c>
      <c r="H775" s="3340">
        <v>41363</v>
      </c>
      <c r="I775" s="3340">
        <v>41364</v>
      </c>
      <c r="J775" s="3336"/>
    </row>
    <row r="776" spans="1:12" s="3327" customFormat="1" ht="12.75" customHeight="1">
      <c r="A776" s="3323"/>
      <c r="B776" s="3324" t="s">
        <v>3128</v>
      </c>
      <c r="C776" s="3324" t="s">
        <v>3691</v>
      </c>
      <c r="D776" s="3324" t="s">
        <v>3692</v>
      </c>
      <c r="E776" s="3325">
        <v>37</v>
      </c>
      <c r="F776" s="3325">
        <v>340</v>
      </c>
      <c r="G776" s="3326">
        <v>41699</v>
      </c>
      <c r="H776" s="3326">
        <v>42003</v>
      </c>
      <c r="I776" s="3326">
        <v>42094</v>
      </c>
      <c r="J776" s="3324"/>
    </row>
    <row r="777" spans="1:12" s="3327" customFormat="1" ht="12.75" customHeight="1">
      <c r="A777" s="3323"/>
      <c r="B777" s="3324" t="s">
        <v>3128</v>
      </c>
      <c r="C777" s="3324" t="s">
        <v>3691</v>
      </c>
      <c r="D777" s="3324" t="s">
        <v>3692</v>
      </c>
      <c r="E777" s="3325">
        <v>37</v>
      </c>
      <c r="F777" s="3325">
        <v>350</v>
      </c>
      <c r="G777" s="3326">
        <v>42005</v>
      </c>
      <c r="H777" s="3326">
        <v>42093</v>
      </c>
      <c r="I777" s="3326">
        <v>42094</v>
      </c>
      <c r="J777" s="3324"/>
    </row>
    <row r="778" spans="1:12" s="3327" customFormat="1" ht="12.75" customHeight="1">
      <c r="A778" s="3323"/>
      <c r="B778" s="3336" t="s">
        <v>3128</v>
      </c>
      <c r="C778" s="3336" t="s">
        <v>3691</v>
      </c>
      <c r="D778" s="3336" t="s">
        <v>3692</v>
      </c>
      <c r="E778" s="3339">
        <v>37</v>
      </c>
      <c r="F778" s="3339">
        <v>350</v>
      </c>
      <c r="G778" s="3340">
        <v>42095</v>
      </c>
      <c r="H778" s="3340">
        <v>42459</v>
      </c>
      <c r="I778" s="3340">
        <v>42460</v>
      </c>
      <c r="J778" s="3324"/>
    </row>
    <row r="779" spans="1:12" s="3327" customFormat="1" ht="12.75" customHeight="1">
      <c r="A779" s="3323"/>
      <c r="B779" s="3336" t="s">
        <v>3128</v>
      </c>
      <c r="C779" s="3336" t="s">
        <v>3691</v>
      </c>
      <c r="D779" s="3336" t="s">
        <v>3692</v>
      </c>
      <c r="E779" s="3339">
        <v>37</v>
      </c>
      <c r="F779" s="3339">
        <v>370</v>
      </c>
      <c r="G779" s="3340">
        <v>42461</v>
      </c>
      <c r="H779" s="3340">
        <v>42824</v>
      </c>
      <c r="I779" s="3340">
        <v>42825</v>
      </c>
      <c r="J779" s="3324"/>
    </row>
    <row r="780" spans="1:12" s="3327" customFormat="1" ht="12.75" customHeight="1">
      <c r="A780" s="3323" t="s">
        <v>3151</v>
      </c>
      <c r="B780" s="3331" t="s">
        <v>3128</v>
      </c>
      <c r="C780" s="3331" t="s">
        <v>3693</v>
      </c>
      <c r="D780" s="3331" t="s">
        <v>3694</v>
      </c>
      <c r="E780" s="3332">
        <v>37</v>
      </c>
      <c r="F780" s="3332">
        <v>400</v>
      </c>
      <c r="G780" s="3333">
        <v>42826</v>
      </c>
      <c r="H780" s="3333">
        <v>43130</v>
      </c>
      <c r="I780" s="3333">
        <v>43190</v>
      </c>
      <c r="J780" s="3324"/>
      <c r="K780" s="3334">
        <f>E780</f>
        <v>37</v>
      </c>
      <c r="L780" s="3334">
        <f>F780/30</f>
        <v>13.333333333333334</v>
      </c>
    </row>
    <row r="781" spans="1:12" s="3327" customFormat="1" ht="13.5" customHeight="1">
      <c r="A781" s="3323"/>
      <c r="B781" s="3324" t="s">
        <v>3128</v>
      </c>
      <c r="C781" s="3324" t="s">
        <v>3695</v>
      </c>
      <c r="D781" s="3324" t="s">
        <v>3696</v>
      </c>
      <c r="E781" s="3325">
        <v>37</v>
      </c>
      <c r="F781" s="3325">
        <v>340</v>
      </c>
      <c r="G781" s="3326">
        <v>41699</v>
      </c>
      <c r="H781" s="3326">
        <v>42003</v>
      </c>
      <c r="I781" s="3326">
        <v>42094</v>
      </c>
      <c r="J781" s="3324"/>
    </row>
    <row r="782" spans="1:12" s="3327" customFormat="1" ht="13.5" customHeight="1">
      <c r="A782" s="3323"/>
      <c r="B782" s="3324" t="s">
        <v>3128</v>
      </c>
      <c r="C782" s="3324" t="s">
        <v>3695</v>
      </c>
      <c r="D782" s="3324" t="s">
        <v>3696</v>
      </c>
      <c r="E782" s="3325">
        <v>37</v>
      </c>
      <c r="F782" s="3325">
        <v>350</v>
      </c>
      <c r="G782" s="3326">
        <v>42005</v>
      </c>
      <c r="H782" s="3326">
        <v>42093</v>
      </c>
      <c r="I782" s="3326">
        <v>42094</v>
      </c>
      <c r="J782" s="3324"/>
    </row>
    <row r="783" spans="1:12" s="3327" customFormat="1" ht="13.5" customHeight="1">
      <c r="A783" s="3323"/>
      <c r="B783" s="3336" t="s">
        <v>3128</v>
      </c>
      <c r="C783" s="3336" t="s">
        <v>3695</v>
      </c>
      <c r="D783" s="3336" t="s">
        <v>3696</v>
      </c>
      <c r="E783" s="3339">
        <v>37</v>
      </c>
      <c r="F783" s="3339">
        <v>350</v>
      </c>
      <c r="G783" s="3340">
        <v>42095</v>
      </c>
      <c r="H783" s="3340">
        <v>42459</v>
      </c>
      <c r="I783" s="3340">
        <v>42460</v>
      </c>
      <c r="J783" s="3324"/>
    </row>
    <row r="784" spans="1:12" s="3327" customFormat="1" ht="13.5" customHeight="1">
      <c r="A784" s="3323"/>
      <c r="B784" s="3336" t="s">
        <v>3128</v>
      </c>
      <c r="C784" s="3336" t="s">
        <v>3695</v>
      </c>
      <c r="D784" s="3336" t="s">
        <v>3696</v>
      </c>
      <c r="E784" s="3339">
        <v>37</v>
      </c>
      <c r="F784" s="3339">
        <v>370</v>
      </c>
      <c r="G784" s="3340">
        <v>42461</v>
      </c>
      <c r="H784" s="3340">
        <v>42824</v>
      </c>
      <c r="I784" s="3340">
        <v>42825</v>
      </c>
      <c r="J784" s="3324"/>
    </row>
    <row r="785" spans="1:12" s="3327" customFormat="1" ht="13.5" customHeight="1">
      <c r="A785" s="3323" t="s">
        <v>3151</v>
      </c>
      <c r="B785" s="3331" t="s">
        <v>3128</v>
      </c>
      <c r="C785" s="3331" t="s">
        <v>3695</v>
      </c>
      <c r="D785" s="3331" t="s">
        <v>3697</v>
      </c>
      <c r="E785" s="3332">
        <v>37</v>
      </c>
      <c r="F785" s="3332">
        <v>400</v>
      </c>
      <c r="G785" s="3333">
        <v>42826</v>
      </c>
      <c r="H785" s="3333">
        <v>43130</v>
      </c>
      <c r="I785" s="3333">
        <v>43190</v>
      </c>
      <c r="J785" s="3324"/>
      <c r="K785" s="3334">
        <f>E785</f>
        <v>37</v>
      </c>
      <c r="L785" s="3334">
        <f>F785/30</f>
        <v>13.333333333333334</v>
      </c>
    </row>
    <row r="786" spans="1:12" s="3327" customFormat="1" ht="13.5" customHeight="1">
      <c r="A786" s="3323"/>
      <c r="B786" s="3324" t="s">
        <v>3128</v>
      </c>
      <c r="C786" s="3324" t="s">
        <v>3698</v>
      </c>
      <c r="D786" s="3324" t="s">
        <v>3699</v>
      </c>
      <c r="E786" s="3325">
        <v>142.5</v>
      </c>
      <c r="F786" s="3325">
        <v>360</v>
      </c>
      <c r="G786" s="3326">
        <v>41699</v>
      </c>
      <c r="H786" s="3326">
        <v>42003</v>
      </c>
      <c r="I786" s="3326">
        <v>42094</v>
      </c>
      <c r="J786" s="3324"/>
    </row>
    <row r="787" spans="1:12" s="3327" customFormat="1" ht="13.5" customHeight="1">
      <c r="A787" s="3323"/>
      <c r="B787" s="3324" t="s">
        <v>3128</v>
      </c>
      <c r="C787" s="3324" t="s">
        <v>3698</v>
      </c>
      <c r="D787" s="3324" t="s">
        <v>3699</v>
      </c>
      <c r="E787" s="3325">
        <v>142.5</v>
      </c>
      <c r="F787" s="3325">
        <v>370</v>
      </c>
      <c r="G787" s="3326">
        <v>42005</v>
      </c>
      <c r="H787" s="3326">
        <v>42093</v>
      </c>
      <c r="I787" s="3326">
        <v>42094</v>
      </c>
      <c r="J787" s="3324"/>
    </row>
    <row r="788" spans="1:12" s="3327" customFormat="1" ht="13.5" customHeight="1">
      <c r="A788" s="3323"/>
      <c r="B788" s="3336" t="s">
        <v>3128</v>
      </c>
      <c r="C788" s="3336" t="s">
        <v>3698</v>
      </c>
      <c r="D788" s="3336" t="s">
        <v>3699</v>
      </c>
      <c r="E788" s="3339">
        <v>142.5</v>
      </c>
      <c r="F788" s="3339">
        <v>370</v>
      </c>
      <c r="G788" s="3340">
        <v>42095</v>
      </c>
      <c r="H788" s="3340">
        <v>42187</v>
      </c>
      <c r="I788" s="3340">
        <v>42460</v>
      </c>
      <c r="J788" s="3324"/>
    </row>
    <row r="789" spans="1:12" s="3327" customFormat="1" ht="13.5" customHeight="1">
      <c r="A789" s="3323"/>
      <c r="B789" s="3336" t="s">
        <v>3128</v>
      </c>
      <c r="C789" s="3336" t="s">
        <v>3698</v>
      </c>
      <c r="D789" s="3336" t="s">
        <v>3699</v>
      </c>
      <c r="E789" s="3339">
        <v>142.5</v>
      </c>
      <c r="F789" s="3339">
        <v>370</v>
      </c>
      <c r="G789" s="3340">
        <v>42188</v>
      </c>
      <c r="H789" s="3340">
        <v>42459</v>
      </c>
      <c r="I789" s="3340">
        <v>42460</v>
      </c>
      <c r="J789" s="3324"/>
    </row>
    <row r="790" spans="1:12" s="3327" customFormat="1" ht="13.5" customHeight="1">
      <c r="A790" s="3323"/>
      <c r="B790" s="3336" t="s">
        <v>3128</v>
      </c>
      <c r="C790" s="3336" t="s">
        <v>3698</v>
      </c>
      <c r="D790" s="3336" t="s">
        <v>3699</v>
      </c>
      <c r="E790" s="3339">
        <v>142.5</v>
      </c>
      <c r="F790" s="3339">
        <v>380</v>
      </c>
      <c r="G790" s="3340">
        <v>42461</v>
      </c>
      <c r="H790" s="3340">
        <v>42824</v>
      </c>
      <c r="I790" s="3340">
        <v>42825</v>
      </c>
      <c r="J790" s="3324"/>
    </row>
    <row r="791" spans="1:12" s="3327" customFormat="1" ht="13.5" customHeight="1">
      <c r="A791" s="3323" t="s">
        <v>3151</v>
      </c>
      <c r="B791" s="3331" t="s">
        <v>3128</v>
      </c>
      <c r="C791" s="3331" t="s">
        <v>3698</v>
      </c>
      <c r="D791" s="3331" t="s">
        <v>3700</v>
      </c>
      <c r="E791" s="3332">
        <v>142.5</v>
      </c>
      <c r="F791" s="3332">
        <v>380</v>
      </c>
      <c r="G791" s="3333">
        <v>42826</v>
      </c>
      <c r="H791" s="3333">
        <v>43130</v>
      </c>
      <c r="I791" s="3333">
        <v>43190</v>
      </c>
      <c r="J791" s="3324"/>
      <c r="K791" s="3334">
        <f>E791</f>
        <v>142.5</v>
      </c>
      <c r="L791" s="3334">
        <f>F791/30</f>
        <v>12.666666666666666</v>
      </c>
    </row>
    <row r="792" spans="1:12" s="3327" customFormat="1" ht="13.5" customHeight="1">
      <c r="A792" s="3323"/>
      <c r="B792" s="3324" t="s">
        <v>3128</v>
      </c>
      <c r="C792" s="3324" t="s">
        <v>3515</v>
      </c>
      <c r="D792" s="3324" t="s">
        <v>3701</v>
      </c>
      <c r="E792" s="3325">
        <v>64.599999999999994</v>
      </c>
      <c r="F792" s="3325">
        <v>350</v>
      </c>
      <c r="G792" s="3326">
        <v>41699</v>
      </c>
      <c r="H792" s="3326">
        <v>42003</v>
      </c>
      <c r="I792" s="3326">
        <v>42094</v>
      </c>
      <c r="J792" s="3324"/>
    </row>
    <row r="793" spans="1:12" s="3327" customFormat="1" ht="13.5" customHeight="1">
      <c r="A793" s="3323"/>
      <c r="B793" s="3324" t="s">
        <v>3128</v>
      </c>
      <c r="C793" s="3324" t="s">
        <v>3515</v>
      </c>
      <c r="D793" s="3324" t="s">
        <v>3701</v>
      </c>
      <c r="E793" s="3325">
        <v>64.599999999999994</v>
      </c>
      <c r="F793" s="3325">
        <v>355</v>
      </c>
      <c r="G793" s="3326">
        <v>42005</v>
      </c>
      <c r="H793" s="3326">
        <v>42093</v>
      </c>
      <c r="I793" s="3326">
        <v>42094</v>
      </c>
      <c r="J793" s="3324"/>
    </row>
    <row r="794" spans="1:12" s="3327" customFormat="1" ht="13.5" customHeight="1">
      <c r="A794" s="3323"/>
      <c r="B794" s="3336" t="s">
        <v>3128</v>
      </c>
      <c r="C794" s="3336" t="s">
        <v>3515</v>
      </c>
      <c r="D794" s="3336" t="s">
        <v>3701</v>
      </c>
      <c r="E794" s="3339">
        <v>64.599999999999994</v>
      </c>
      <c r="F794" s="3339">
        <v>355</v>
      </c>
      <c r="G794" s="3340">
        <v>42095</v>
      </c>
      <c r="H794" s="3340">
        <v>42459</v>
      </c>
      <c r="I794" s="3340">
        <v>42460</v>
      </c>
      <c r="J794" s="3324"/>
    </row>
    <row r="795" spans="1:12" s="3327" customFormat="1" ht="13.5" customHeight="1">
      <c r="A795" s="3323"/>
      <c r="B795" s="3336" t="s">
        <v>3128</v>
      </c>
      <c r="C795" s="3336" t="s">
        <v>3515</v>
      </c>
      <c r="D795" s="3336" t="s">
        <v>3701</v>
      </c>
      <c r="E795" s="3339">
        <v>64.599999999999994</v>
      </c>
      <c r="F795" s="3339">
        <v>375</v>
      </c>
      <c r="G795" s="3340">
        <v>42461</v>
      </c>
      <c r="H795" s="3340">
        <v>42824</v>
      </c>
      <c r="I795" s="3340">
        <v>42825</v>
      </c>
      <c r="J795" s="3324"/>
    </row>
    <row r="796" spans="1:12" s="3327" customFormat="1" ht="13.5" customHeight="1">
      <c r="A796" s="3323"/>
      <c r="B796" s="3331" t="s">
        <v>3128</v>
      </c>
      <c r="C796" s="3331" t="s">
        <v>3515</v>
      </c>
      <c r="D796" s="3331" t="s">
        <v>3702</v>
      </c>
      <c r="E796" s="3332">
        <v>64.599999999999994</v>
      </c>
      <c r="F796" s="3332">
        <v>400</v>
      </c>
      <c r="G796" s="3333">
        <v>42826</v>
      </c>
      <c r="H796" s="3333">
        <v>42986</v>
      </c>
      <c r="I796" s="3333">
        <v>43190</v>
      </c>
      <c r="J796" s="3324"/>
      <c r="K796" s="3334">
        <f t="shared" ref="K796:K797" si="41">E796</f>
        <v>64.599999999999994</v>
      </c>
      <c r="L796" s="3334">
        <f t="shared" ref="L796:L797" si="42">F796/30</f>
        <v>13.333333333333334</v>
      </c>
    </row>
    <row r="797" spans="1:12" s="3327" customFormat="1" ht="13.5" customHeight="1">
      <c r="A797" s="3323" t="s">
        <v>3151</v>
      </c>
      <c r="B797" s="3331" t="s">
        <v>3128</v>
      </c>
      <c r="C797" s="3331" t="s">
        <v>3515</v>
      </c>
      <c r="D797" s="3331" t="s">
        <v>3702</v>
      </c>
      <c r="E797" s="3332">
        <v>64.599999999999994</v>
      </c>
      <c r="F797" s="3332">
        <v>400</v>
      </c>
      <c r="G797" s="3333">
        <v>42987</v>
      </c>
      <c r="H797" s="3333">
        <v>43130</v>
      </c>
      <c r="I797" s="3333">
        <v>43190</v>
      </c>
      <c r="J797" s="3324"/>
      <c r="K797" s="3334">
        <f t="shared" si="41"/>
        <v>64.599999999999994</v>
      </c>
      <c r="L797" s="3334">
        <f t="shared" si="42"/>
        <v>13.333333333333334</v>
      </c>
    </row>
    <row r="798" spans="1:12" s="3327" customFormat="1" ht="13.5" customHeight="1">
      <c r="A798" s="3354"/>
      <c r="B798" s="3324" t="s">
        <v>3128</v>
      </c>
      <c r="C798" s="3324" t="s">
        <v>3703</v>
      </c>
      <c r="D798" s="3324" t="s">
        <v>3704</v>
      </c>
      <c r="E798" s="3325">
        <v>46.6</v>
      </c>
      <c r="F798" s="3325">
        <v>330</v>
      </c>
      <c r="G798" s="3326">
        <v>40264</v>
      </c>
      <c r="H798" s="3326">
        <v>40632</v>
      </c>
      <c r="I798" s="3326">
        <v>40632</v>
      </c>
      <c r="J798" s="3324"/>
    </row>
    <row r="799" spans="1:12" s="3327" customFormat="1" ht="13.5" customHeight="1">
      <c r="A799" s="3355"/>
      <c r="B799" s="3336" t="s">
        <v>3128</v>
      </c>
      <c r="C799" s="3336" t="s">
        <v>3346</v>
      </c>
      <c r="D799" s="3336" t="s">
        <v>3704</v>
      </c>
      <c r="E799" s="3339">
        <v>45.6</v>
      </c>
      <c r="F799" s="3339">
        <v>360</v>
      </c>
      <c r="G799" s="3340">
        <v>41000</v>
      </c>
      <c r="H799" s="3340">
        <v>41363</v>
      </c>
      <c r="I799" s="3340">
        <v>41364</v>
      </c>
      <c r="J799" s="3336"/>
    </row>
    <row r="800" spans="1:12" s="3327" customFormat="1" ht="13.5" customHeight="1">
      <c r="A800" s="3355"/>
      <c r="B800" s="3336" t="s">
        <v>3128</v>
      </c>
      <c r="C800" s="3336" t="s">
        <v>3705</v>
      </c>
      <c r="D800" s="3336" t="s">
        <v>3706</v>
      </c>
      <c r="E800" s="3339">
        <v>89.6</v>
      </c>
      <c r="F800" s="3339">
        <v>360</v>
      </c>
      <c r="G800" s="3340">
        <v>40634</v>
      </c>
      <c r="H800" s="3340">
        <v>40759</v>
      </c>
      <c r="I800" s="3340">
        <v>40801</v>
      </c>
      <c r="J800" s="3336"/>
    </row>
    <row r="801" spans="1:12" s="3327" customFormat="1" ht="13.5" customHeight="1">
      <c r="A801" s="3355"/>
      <c r="B801" s="3336" t="s">
        <v>3128</v>
      </c>
      <c r="C801" s="3336" t="s">
        <v>3707</v>
      </c>
      <c r="D801" s="3336" t="s">
        <v>3706</v>
      </c>
      <c r="E801" s="3339">
        <v>89.6</v>
      </c>
      <c r="F801" s="3339">
        <v>360</v>
      </c>
      <c r="G801" s="3340">
        <v>41000</v>
      </c>
      <c r="H801" s="3340">
        <v>41333</v>
      </c>
      <c r="I801" s="3340">
        <v>41364</v>
      </c>
      <c r="J801" s="3336"/>
    </row>
    <row r="802" spans="1:12" s="3327" customFormat="1" ht="13.5" customHeight="1">
      <c r="A802" s="3355"/>
      <c r="B802" s="3336" t="s">
        <v>3128</v>
      </c>
      <c r="C802" s="3336" t="s">
        <v>3329</v>
      </c>
      <c r="D802" s="3336" t="s">
        <v>3708</v>
      </c>
      <c r="E802" s="3339">
        <v>36.799999999999997</v>
      </c>
      <c r="F802" s="3339">
        <v>360</v>
      </c>
      <c r="G802" s="3340">
        <v>41275</v>
      </c>
      <c r="H802" s="3340">
        <v>41363</v>
      </c>
      <c r="I802" s="3340">
        <v>41364</v>
      </c>
      <c r="J802" s="3336"/>
    </row>
    <row r="803" spans="1:12" s="3327" customFormat="1" ht="12.75" customHeight="1">
      <c r="A803" s="3323"/>
      <c r="B803" s="3324" t="s">
        <v>3128</v>
      </c>
      <c r="C803" s="3324" t="s">
        <v>3568</v>
      </c>
      <c r="D803" s="3324" t="s">
        <v>3709</v>
      </c>
      <c r="E803" s="3325">
        <v>76.599999999999994</v>
      </c>
      <c r="F803" s="3325">
        <v>330</v>
      </c>
      <c r="G803" s="3326">
        <v>41699</v>
      </c>
      <c r="H803" s="3326">
        <v>42003</v>
      </c>
      <c r="I803" s="3326">
        <v>42094</v>
      </c>
      <c r="J803" s="3324"/>
    </row>
    <row r="804" spans="1:12" s="3327" customFormat="1" ht="12.75" customHeight="1">
      <c r="A804" s="3323"/>
      <c r="B804" s="3324" t="s">
        <v>3128</v>
      </c>
      <c r="C804" s="3324" t="s">
        <v>3568</v>
      </c>
      <c r="D804" s="3324" t="s">
        <v>3709</v>
      </c>
      <c r="E804" s="3325">
        <v>76.599999999999994</v>
      </c>
      <c r="F804" s="3325">
        <v>350</v>
      </c>
      <c r="G804" s="3326">
        <v>42005</v>
      </c>
      <c r="H804" s="3326">
        <v>42093</v>
      </c>
      <c r="I804" s="3326">
        <v>42094</v>
      </c>
      <c r="J804" s="3324"/>
    </row>
    <row r="805" spans="1:12" s="3327" customFormat="1" ht="12.75" customHeight="1">
      <c r="A805" s="3323"/>
      <c r="B805" s="3336" t="s">
        <v>3128</v>
      </c>
      <c r="C805" s="3336" t="s">
        <v>3568</v>
      </c>
      <c r="D805" s="3336" t="s">
        <v>3709</v>
      </c>
      <c r="E805" s="3339">
        <v>76.599999999999994</v>
      </c>
      <c r="F805" s="3339">
        <v>350</v>
      </c>
      <c r="G805" s="3340">
        <v>42095</v>
      </c>
      <c r="H805" s="3340">
        <v>42459</v>
      </c>
      <c r="I805" s="3340">
        <v>42460</v>
      </c>
      <c r="J805" s="3324"/>
    </row>
    <row r="806" spans="1:12" s="3327" customFormat="1" ht="12.75" customHeight="1">
      <c r="A806" s="3323"/>
      <c r="B806" s="3336" t="s">
        <v>3128</v>
      </c>
      <c r="C806" s="3336" t="s">
        <v>3568</v>
      </c>
      <c r="D806" s="3336" t="s">
        <v>3709</v>
      </c>
      <c r="E806" s="3339">
        <v>76.599999999999994</v>
      </c>
      <c r="F806" s="3339">
        <v>370</v>
      </c>
      <c r="G806" s="3340">
        <v>42461</v>
      </c>
      <c r="H806" s="3340">
        <v>42824</v>
      </c>
      <c r="I806" s="3340">
        <v>42825</v>
      </c>
      <c r="J806" s="3324"/>
    </row>
    <row r="807" spans="1:12" s="3327" customFormat="1" ht="12.75" customHeight="1">
      <c r="A807" s="3354" t="s">
        <v>3151</v>
      </c>
      <c r="B807" s="3331" t="s">
        <v>3128</v>
      </c>
      <c r="C807" s="3331" t="s">
        <v>3568</v>
      </c>
      <c r="D807" s="3331" t="s">
        <v>3710</v>
      </c>
      <c r="E807" s="3332">
        <v>76.599999999999994</v>
      </c>
      <c r="F807" s="3332">
        <v>400</v>
      </c>
      <c r="G807" s="3333">
        <v>42826</v>
      </c>
      <c r="H807" s="3333">
        <v>43130</v>
      </c>
      <c r="I807" s="3333">
        <v>43190</v>
      </c>
      <c r="J807" s="3324"/>
      <c r="K807" s="3334">
        <f>E807</f>
        <v>76.599999999999994</v>
      </c>
      <c r="L807" s="3334">
        <f>F807/30</f>
        <v>13.333333333333334</v>
      </c>
    </row>
    <row r="808" spans="1:12" s="3327" customFormat="1" ht="12.75" customHeight="1">
      <c r="A808" s="3355"/>
      <c r="B808" s="3336" t="s">
        <v>3128</v>
      </c>
      <c r="C808" s="3336" t="s">
        <v>3711</v>
      </c>
      <c r="D808" s="3336" t="s">
        <v>3712</v>
      </c>
      <c r="E808" s="3339">
        <v>150.6</v>
      </c>
      <c r="F808" s="3339">
        <v>360</v>
      </c>
      <c r="G808" s="3340">
        <v>41000</v>
      </c>
      <c r="H808" s="3340">
        <v>41363</v>
      </c>
      <c r="I808" s="3340">
        <v>41364</v>
      </c>
      <c r="J808" s="3336"/>
    </row>
    <row r="809" spans="1:12" s="3327" customFormat="1" ht="12.75" customHeight="1">
      <c r="A809" s="3323"/>
      <c r="B809" s="3324" t="s">
        <v>3128</v>
      </c>
      <c r="C809" s="3324" t="s">
        <v>3713</v>
      </c>
      <c r="D809" s="3324" t="s">
        <v>3714</v>
      </c>
      <c r="E809" s="3325">
        <v>129.5</v>
      </c>
      <c r="F809" s="3325">
        <v>360</v>
      </c>
      <c r="G809" s="3326">
        <v>41699</v>
      </c>
      <c r="H809" s="3326">
        <v>42003</v>
      </c>
      <c r="I809" s="3326">
        <v>42094</v>
      </c>
      <c r="J809" s="3324"/>
    </row>
    <row r="810" spans="1:12" s="3327" customFormat="1" ht="13.5" customHeight="1">
      <c r="A810" s="3323"/>
      <c r="B810" s="3324" t="s">
        <v>3128</v>
      </c>
      <c r="C810" s="3324" t="s">
        <v>3713</v>
      </c>
      <c r="D810" s="3324" t="s">
        <v>3714</v>
      </c>
      <c r="E810" s="3325">
        <v>129.5</v>
      </c>
      <c r="F810" s="3325">
        <v>370</v>
      </c>
      <c r="G810" s="3326">
        <v>42005</v>
      </c>
      <c r="H810" s="3326">
        <v>42093</v>
      </c>
      <c r="I810" s="3326">
        <v>42094</v>
      </c>
      <c r="J810" s="3324"/>
    </row>
    <row r="811" spans="1:12" s="3327" customFormat="1" ht="13.5" customHeight="1">
      <c r="A811" s="3323"/>
      <c r="B811" s="3336" t="s">
        <v>3128</v>
      </c>
      <c r="C811" s="3336" t="s">
        <v>3713</v>
      </c>
      <c r="D811" s="3336" t="s">
        <v>3714</v>
      </c>
      <c r="E811" s="3339">
        <v>129.5</v>
      </c>
      <c r="F811" s="3339">
        <v>370</v>
      </c>
      <c r="G811" s="3340">
        <v>42095</v>
      </c>
      <c r="H811" s="3340">
        <v>42459</v>
      </c>
      <c r="I811" s="3340">
        <v>42460</v>
      </c>
      <c r="J811" s="3324"/>
    </row>
    <row r="812" spans="1:12" s="3327" customFormat="1" ht="13.5" customHeight="1">
      <c r="A812" s="3323"/>
      <c r="B812" s="3336" t="s">
        <v>3128</v>
      </c>
      <c r="C812" s="3336" t="s">
        <v>3713</v>
      </c>
      <c r="D812" s="3336" t="s">
        <v>3714</v>
      </c>
      <c r="E812" s="3339">
        <v>129.5</v>
      </c>
      <c r="F812" s="3339">
        <v>380</v>
      </c>
      <c r="G812" s="3340">
        <v>42461</v>
      </c>
      <c r="H812" s="3340">
        <v>42824</v>
      </c>
      <c r="I812" s="3340">
        <v>42825</v>
      </c>
      <c r="J812" s="3324"/>
    </row>
    <row r="813" spans="1:12" s="3327" customFormat="1" ht="13.5" customHeight="1">
      <c r="A813" s="3323" t="s">
        <v>3151</v>
      </c>
      <c r="B813" s="3331" t="s">
        <v>3128</v>
      </c>
      <c r="C813" s="3331" t="s">
        <v>3196</v>
      </c>
      <c r="D813" s="3331" t="s">
        <v>3715</v>
      </c>
      <c r="E813" s="3332">
        <v>129.5</v>
      </c>
      <c r="F813" s="3332">
        <v>380</v>
      </c>
      <c r="G813" s="3333">
        <v>42826</v>
      </c>
      <c r="H813" s="3333">
        <v>43130</v>
      </c>
      <c r="I813" s="3333">
        <v>43190</v>
      </c>
      <c r="J813" s="3324"/>
      <c r="K813" s="3334">
        <f>E813</f>
        <v>129.5</v>
      </c>
      <c r="L813" s="3334">
        <f>F813/30</f>
        <v>12.666666666666666</v>
      </c>
    </row>
    <row r="814" spans="1:12" s="3327" customFormat="1" ht="13.5" customHeight="1">
      <c r="A814" s="3323"/>
      <c r="B814" s="3324" t="s">
        <v>3128</v>
      </c>
      <c r="C814" s="3324" t="s">
        <v>3716</v>
      </c>
      <c r="D814" s="3324" t="s">
        <v>3717</v>
      </c>
      <c r="E814" s="3325">
        <v>41.7</v>
      </c>
      <c r="F814" s="3325">
        <v>300</v>
      </c>
      <c r="G814" s="3326">
        <v>41699</v>
      </c>
      <c r="H814" s="3326">
        <v>42003</v>
      </c>
      <c r="I814" s="3326">
        <v>42094</v>
      </c>
      <c r="J814" s="3324"/>
    </row>
    <row r="815" spans="1:12" s="3327" customFormat="1" ht="13.5" customHeight="1">
      <c r="A815" s="3323"/>
      <c r="B815" s="3324" t="s">
        <v>3128</v>
      </c>
      <c r="C815" s="3324" t="s">
        <v>3716</v>
      </c>
      <c r="D815" s="3324" t="s">
        <v>3717</v>
      </c>
      <c r="E815" s="3325">
        <v>41.7</v>
      </c>
      <c r="F815" s="3325">
        <v>310</v>
      </c>
      <c r="G815" s="3326">
        <v>42005</v>
      </c>
      <c r="H815" s="3326">
        <v>42093</v>
      </c>
      <c r="I815" s="3326">
        <v>42094</v>
      </c>
      <c r="J815" s="3324"/>
    </row>
    <row r="816" spans="1:12" s="3327" customFormat="1" ht="13.5" customHeight="1">
      <c r="A816" s="3323"/>
      <c r="B816" s="3336" t="s">
        <v>3128</v>
      </c>
      <c r="C816" s="3336" t="s">
        <v>3716</v>
      </c>
      <c r="D816" s="3336" t="s">
        <v>3717</v>
      </c>
      <c r="E816" s="3339">
        <v>41.7</v>
      </c>
      <c r="F816" s="3339">
        <v>310</v>
      </c>
      <c r="G816" s="3340">
        <v>42095</v>
      </c>
      <c r="H816" s="3340">
        <v>42459</v>
      </c>
      <c r="I816" s="3340">
        <v>42460</v>
      </c>
      <c r="J816" s="3324"/>
    </row>
    <row r="817" spans="1:12" s="3327" customFormat="1" ht="13.5" customHeight="1">
      <c r="A817" s="3323"/>
      <c r="B817" s="3336" t="s">
        <v>3128</v>
      </c>
      <c r="C817" s="3336" t="s">
        <v>3716</v>
      </c>
      <c r="D817" s="3336" t="s">
        <v>3717</v>
      </c>
      <c r="E817" s="3339">
        <v>41.7</v>
      </c>
      <c r="F817" s="3339">
        <v>340</v>
      </c>
      <c r="G817" s="3340">
        <v>42461</v>
      </c>
      <c r="H817" s="3340">
        <v>42824</v>
      </c>
      <c r="I817" s="3340">
        <v>42825</v>
      </c>
      <c r="J817" s="3324"/>
    </row>
    <row r="818" spans="1:12" s="3327" customFormat="1" ht="13.5" customHeight="1">
      <c r="A818" s="3323" t="s">
        <v>3151</v>
      </c>
      <c r="B818" s="3331" t="s">
        <v>3128</v>
      </c>
      <c r="C818" s="3331" t="s">
        <v>3718</v>
      </c>
      <c r="D818" s="3331" t="s">
        <v>3719</v>
      </c>
      <c r="E818" s="3332">
        <v>41.7</v>
      </c>
      <c r="F818" s="3332">
        <v>400</v>
      </c>
      <c r="G818" s="3333">
        <v>42826</v>
      </c>
      <c r="H818" s="3333">
        <v>43130</v>
      </c>
      <c r="I818" s="3333">
        <v>43190</v>
      </c>
      <c r="J818" s="3324"/>
      <c r="K818" s="3334">
        <f>E818</f>
        <v>41.7</v>
      </c>
      <c r="L818" s="3334">
        <f>F818/30</f>
        <v>13.333333333333334</v>
      </c>
    </row>
    <row r="819" spans="1:12" s="3327" customFormat="1" ht="12.75" customHeight="1">
      <c r="A819" s="3323"/>
      <c r="B819" s="3324" t="s">
        <v>3128</v>
      </c>
      <c r="C819" s="3324" t="s">
        <v>3720</v>
      </c>
      <c r="D819" s="3324" t="s">
        <v>3721</v>
      </c>
      <c r="E819" s="3325">
        <v>38.299999999999997</v>
      </c>
      <c r="F819" s="3325">
        <v>330</v>
      </c>
      <c r="G819" s="3326">
        <v>41699</v>
      </c>
      <c r="H819" s="3326">
        <v>42003</v>
      </c>
      <c r="I819" s="3326">
        <v>42094</v>
      </c>
      <c r="J819" s="3324"/>
    </row>
    <row r="820" spans="1:12" s="3327" customFormat="1" ht="12.75" customHeight="1">
      <c r="A820" s="3323"/>
      <c r="B820" s="3324" t="s">
        <v>3128</v>
      </c>
      <c r="C820" s="3324" t="s">
        <v>3720</v>
      </c>
      <c r="D820" s="3324" t="s">
        <v>3721</v>
      </c>
      <c r="E820" s="3325">
        <v>38.299999999999997</v>
      </c>
      <c r="F820" s="3325">
        <v>340</v>
      </c>
      <c r="G820" s="3326">
        <v>42005</v>
      </c>
      <c r="H820" s="3326">
        <v>42093</v>
      </c>
      <c r="I820" s="3326">
        <v>42094</v>
      </c>
      <c r="J820" s="3324"/>
    </row>
    <row r="821" spans="1:12" s="3327" customFormat="1" ht="12.75" customHeight="1">
      <c r="A821" s="3323"/>
      <c r="B821" s="3336" t="s">
        <v>3128</v>
      </c>
      <c r="C821" s="3336" t="s">
        <v>3720</v>
      </c>
      <c r="D821" s="3336" t="s">
        <v>3721</v>
      </c>
      <c r="E821" s="3339">
        <v>38.299999999999997</v>
      </c>
      <c r="F821" s="3339">
        <v>340</v>
      </c>
      <c r="G821" s="3340">
        <v>42095</v>
      </c>
      <c r="H821" s="3340">
        <v>42185</v>
      </c>
      <c r="I821" s="3340">
        <v>42460</v>
      </c>
      <c r="J821" s="3324"/>
    </row>
    <row r="822" spans="1:12" s="3327" customFormat="1" ht="12.75" customHeight="1">
      <c r="A822" s="3354"/>
      <c r="B822" s="3336" t="s">
        <v>3128</v>
      </c>
      <c r="C822" s="3336" t="s">
        <v>3722</v>
      </c>
      <c r="D822" s="3336" t="s">
        <v>3721</v>
      </c>
      <c r="E822" s="3339">
        <v>38.299999999999997</v>
      </c>
      <c r="F822" s="3339">
        <v>340</v>
      </c>
      <c r="G822" s="3340">
        <v>42186</v>
      </c>
      <c r="H822" s="3340">
        <v>42459</v>
      </c>
      <c r="I822" s="3340">
        <v>42460</v>
      </c>
      <c r="J822" s="3324"/>
    </row>
    <row r="823" spans="1:12" s="3327" customFormat="1" ht="12.75" customHeight="1">
      <c r="A823" s="3354"/>
      <c r="B823" s="3336" t="s">
        <v>3128</v>
      </c>
      <c r="C823" s="3336" t="s">
        <v>3722</v>
      </c>
      <c r="D823" s="3336" t="s">
        <v>3721</v>
      </c>
      <c r="E823" s="3339">
        <v>38.299999999999997</v>
      </c>
      <c r="F823" s="3339">
        <v>360</v>
      </c>
      <c r="G823" s="3340">
        <v>42461</v>
      </c>
      <c r="H823" s="3340">
        <v>42824</v>
      </c>
      <c r="I823" s="3340">
        <v>42825</v>
      </c>
      <c r="J823" s="3324"/>
    </row>
    <row r="824" spans="1:12" s="3327" customFormat="1" ht="12.75" customHeight="1">
      <c r="A824" s="3354" t="s">
        <v>3151</v>
      </c>
      <c r="B824" s="3331" t="s">
        <v>3128</v>
      </c>
      <c r="C824" s="3331" t="s">
        <v>3722</v>
      </c>
      <c r="D824" s="3331" t="s">
        <v>3723</v>
      </c>
      <c r="E824" s="3332">
        <v>38.299999999999997</v>
      </c>
      <c r="F824" s="3332">
        <v>400</v>
      </c>
      <c r="G824" s="3333">
        <v>42826</v>
      </c>
      <c r="H824" s="3333">
        <v>43130</v>
      </c>
      <c r="I824" s="3333">
        <v>43190</v>
      </c>
      <c r="J824" s="3324"/>
      <c r="K824" s="3334">
        <f>E824</f>
        <v>38.299999999999997</v>
      </c>
      <c r="L824" s="3334">
        <f>F824/30</f>
        <v>13.333333333333334</v>
      </c>
    </row>
    <row r="825" spans="1:12" s="3327" customFormat="1" ht="12.75" customHeight="1">
      <c r="A825" s="3355"/>
      <c r="B825" s="3336" t="s">
        <v>3128</v>
      </c>
      <c r="C825" s="3336" t="s">
        <v>3724</v>
      </c>
      <c r="D825" s="3336" t="s">
        <v>3725</v>
      </c>
      <c r="E825" s="3339">
        <v>76.400000000000006</v>
      </c>
      <c r="F825" s="3339">
        <v>400</v>
      </c>
      <c r="G825" s="3340">
        <v>41000</v>
      </c>
      <c r="H825" s="3340">
        <v>41363</v>
      </c>
      <c r="I825" s="3340">
        <v>41364</v>
      </c>
      <c r="J825" s="3336"/>
    </row>
    <row r="826" spans="1:12" s="3327" customFormat="1" ht="12.75" customHeight="1">
      <c r="A826" s="3354"/>
      <c r="B826" s="3324" t="s">
        <v>3128</v>
      </c>
      <c r="C826" s="3324" t="s">
        <v>3724</v>
      </c>
      <c r="D826" s="3324" t="s">
        <v>3726</v>
      </c>
      <c r="E826" s="3325">
        <v>76.400000000000006</v>
      </c>
      <c r="F826" s="3325">
        <v>400</v>
      </c>
      <c r="G826" s="3326">
        <v>41365</v>
      </c>
      <c r="H826" s="3326">
        <v>41728</v>
      </c>
      <c r="I826" s="3326">
        <v>41729</v>
      </c>
      <c r="J826" s="3324"/>
    </row>
    <row r="827" spans="1:12" s="3327" customFormat="1" ht="12.75" customHeight="1">
      <c r="A827" s="3323"/>
      <c r="B827" s="3324" t="s">
        <v>3128</v>
      </c>
      <c r="C827" s="3324" t="s">
        <v>3724</v>
      </c>
      <c r="D827" s="3324" t="s">
        <v>3726</v>
      </c>
      <c r="E827" s="3325">
        <v>76.400000000000006</v>
      </c>
      <c r="F827" s="3325">
        <v>400</v>
      </c>
      <c r="G827" s="3326">
        <v>41730</v>
      </c>
      <c r="H827" s="3326">
        <v>42093</v>
      </c>
      <c r="I827" s="3326">
        <v>42094</v>
      </c>
      <c r="J827" s="3324"/>
    </row>
    <row r="828" spans="1:12" s="3327" customFormat="1" ht="12.75" customHeight="1">
      <c r="A828" s="3323"/>
      <c r="B828" s="3336" t="s">
        <v>3128</v>
      </c>
      <c r="C828" s="3336" t="s">
        <v>3724</v>
      </c>
      <c r="D828" s="3336" t="s">
        <v>3726</v>
      </c>
      <c r="E828" s="3339">
        <v>76.400000000000006</v>
      </c>
      <c r="F828" s="3339">
        <v>405</v>
      </c>
      <c r="G828" s="3340">
        <v>42095</v>
      </c>
      <c r="H828" s="3340">
        <v>42154</v>
      </c>
      <c r="I828" s="3340">
        <v>42155</v>
      </c>
      <c r="J828" s="3324"/>
    </row>
    <row r="829" spans="1:12" s="3327" customFormat="1" ht="12.75" customHeight="1">
      <c r="A829" s="3323"/>
      <c r="B829" s="3336" t="s">
        <v>3128</v>
      </c>
      <c r="C829" s="3336" t="s">
        <v>3727</v>
      </c>
      <c r="D829" s="3336" t="s">
        <v>3726</v>
      </c>
      <c r="E829" s="3339">
        <v>76.400000000000006</v>
      </c>
      <c r="F829" s="3339">
        <v>400</v>
      </c>
      <c r="G829" s="3340">
        <v>42156</v>
      </c>
      <c r="H829" s="3340">
        <v>42459</v>
      </c>
      <c r="I829" s="3340">
        <v>42460</v>
      </c>
      <c r="J829" s="3324"/>
    </row>
    <row r="830" spans="1:12" s="3327" customFormat="1" ht="12.75" customHeight="1">
      <c r="A830" s="3323"/>
      <c r="B830" s="3336" t="s">
        <v>3128</v>
      </c>
      <c r="C830" s="3336" t="s">
        <v>3727</v>
      </c>
      <c r="D830" s="3336" t="s">
        <v>3726</v>
      </c>
      <c r="E830" s="3339">
        <v>76.400000000000006</v>
      </c>
      <c r="F830" s="3339">
        <v>400</v>
      </c>
      <c r="G830" s="3340">
        <v>42461</v>
      </c>
      <c r="H830" s="3340">
        <v>42824</v>
      </c>
      <c r="I830" s="3340">
        <v>42825</v>
      </c>
      <c r="J830" s="3324"/>
    </row>
    <row r="831" spans="1:12" s="3327" customFormat="1" ht="12.75" customHeight="1">
      <c r="A831" s="3323" t="s">
        <v>3151</v>
      </c>
      <c r="B831" s="3331" t="s">
        <v>3128</v>
      </c>
      <c r="C831" s="3331" t="s">
        <v>3728</v>
      </c>
      <c r="D831" s="3331" t="s">
        <v>3161</v>
      </c>
      <c r="E831" s="3332">
        <v>76.400000000000006</v>
      </c>
      <c r="F831" s="3332">
        <v>420</v>
      </c>
      <c r="G831" s="3333">
        <v>42826</v>
      </c>
      <c r="H831" s="3333">
        <v>43130</v>
      </c>
      <c r="I831" s="3333">
        <v>43190</v>
      </c>
      <c r="J831" s="3324"/>
      <c r="K831" s="3334">
        <f>E831</f>
        <v>76.400000000000006</v>
      </c>
      <c r="L831" s="3334">
        <f>F831/30</f>
        <v>14</v>
      </c>
    </row>
    <row r="832" spans="1:12" s="3327" customFormat="1" ht="13.5" customHeight="1">
      <c r="A832" s="3355"/>
      <c r="B832" s="3336" t="s">
        <v>3128</v>
      </c>
      <c r="C832" s="3336" t="s">
        <v>3729</v>
      </c>
      <c r="D832" s="3336" t="s">
        <v>3730</v>
      </c>
      <c r="E832" s="3339">
        <v>112.3</v>
      </c>
      <c r="F832" s="3339">
        <v>400</v>
      </c>
      <c r="G832" s="3340">
        <v>41000</v>
      </c>
      <c r="H832" s="3340">
        <v>41363</v>
      </c>
      <c r="I832" s="3340">
        <v>41364</v>
      </c>
      <c r="J832" s="3336"/>
    </row>
    <row r="833" spans="1:12" s="3327" customFormat="1" ht="13.5" customHeight="1">
      <c r="A833" s="3323"/>
      <c r="B833" s="3324" t="s">
        <v>3128</v>
      </c>
      <c r="C833" s="3324" t="s">
        <v>3729</v>
      </c>
      <c r="D833" s="3324" t="s">
        <v>3731</v>
      </c>
      <c r="E833" s="3325">
        <v>112.3</v>
      </c>
      <c r="F833" s="3325">
        <v>400</v>
      </c>
      <c r="G833" s="3326">
        <v>41730</v>
      </c>
      <c r="H833" s="3326">
        <v>42003</v>
      </c>
      <c r="I833" s="3326">
        <v>42094</v>
      </c>
      <c r="J833" s="3324"/>
    </row>
    <row r="834" spans="1:12" s="3327" customFormat="1" ht="13.5" customHeight="1">
      <c r="A834" s="3323"/>
      <c r="B834" s="3324" t="s">
        <v>3128</v>
      </c>
      <c r="C834" s="3324" t="s">
        <v>3729</v>
      </c>
      <c r="D834" s="3324" t="s">
        <v>3731</v>
      </c>
      <c r="E834" s="3325">
        <v>112.3</v>
      </c>
      <c r="F834" s="3325">
        <v>405</v>
      </c>
      <c r="G834" s="3326">
        <v>42005</v>
      </c>
      <c r="H834" s="3326">
        <v>42093</v>
      </c>
      <c r="I834" s="3326">
        <v>42094</v>
      </c>
      <c r="J834" s="3324"/>
    </row>
    <row r="835" spans="1:12" s="3327" customFormat="1" ht="13.5" customHeight="1">
      <c r="A835" s="3323"/>
      <c r="B835" s="3336" t="s">
        <v>3128</v>
      </c>
      <c r="C835" s="3336" t="s">
        <v>3729</v>
      </c>
      <c r="D835" s="3336" t="s">
        <v>3731</v>
      </c>
      <c r="E835" s="3339">
        <v>112.3</v>
      </c>
      <c r="F835" s="3339">
        <v>405</v>
      </c>
      <c r="G835" s="3340">
        <v>42095</v>
      </c>
      <c r="H835" s="3340">
        <v>42459</v>
      </c>
      <c r="I835" s="3340">
        <v>42460</v>
      </c>
      <c r="J835" s="3324"/>
    </row>
    <row r="836" spans="1:12" s="3327" customFormat="1" ht="13.5" customHeight="1">
      <c r="A836" s="3323"/>
      <c r="B836" s="3336" t="s">
        <v>3128</v>
      </c>
      <c r="C836" s="3336" t="s">
        <v>3729</v>
      </c>
      <c r="D836" s="3336" t="s">
        <v>3731</v>
      </c>
      <c r="E836" s="3339">
        <v>112.3</v>
      </c>
      <c r="F836" s="3339">
        <v>410</v>
      </c>
      <c r="G836" s="3340">
        <v>42461</v>
      </c>
      <c r="H836" s="3340">
        <v>42673</v>
      </c>
      <c r="I836" s="3340">
        <v>42825</v>
      </c>
      <c r="J836" s="3324"/>
    </row>
    <row r="837" spans="1:12" s="3327" customFormat="1" ht="13.5" customHeight="1">
      <c r="A837" s="3354"/>
      <c r="B837" s="3336" t="s">
        <v>3128</v>
      </c>
      <c r="C837" s="3336" t="s">
        <v>3729</v>
      </c>
      <c r="D837" s="3336" t="s">
        <v>3731</v>
      </c>
      <c r="E837" s="3339">
        <v>112.3</v>
      </c>
      <c r="F837" s="3339">
        <v>410</v>
      </c>
      <c r="G837" s="3340">
        <v>42675</v>
      </c>
      <c r="H837" s="3340">
        <v>42824</v>
      </c>
      <c r="I837" s="3340">
        <v>42825</v>
      </c>
      <c r="J837" s="3324"/>
    </row>
    <row r="838" spans="1:12" s="3327" customFormat="1" ht="13.5" customHeight="1">
      <c r="A838" s="3354" t="s">
        <v>3635</v>
      </c>
      <c r="B838" s="3331" t="s">
        <v>3128</v>
      </c>
      <c r="C838" s="3331" t="s">
        <v>3732</v>
      </c>
      <c r="D838" s="3331" t="s">
        <v>3731</v>
      </c>
      <c r="E838" s="3332">
        <v>112.3</v>
      </c>
      <c r="F838" s="3332">
        <v>410</v>
      </c>
      <c r="G838" s="3333">
        <v>42826</v>
      </c>
      <c r="H838" s="3333">
        <v>43130</v>
      </c>
      <c r="I838" s="3333">
        <v>43190</v>
      </c>
      <c r="J838" s="3324"/>
      <c r="K838" s="3334">
        <f>E838</f>
        <v>112.3</v>
      </c>
      <c r="L838" s="3334">
        <f>F838/30</f>
        <v>13.666666666666666</v>
      </c>
    </row>
    <row r="839" spans="1:12" s="3327" customFormat="1" ht="13.5" customHeight="1">
      <c r="A839" s="3355"/>
      <c r="B839" s="3336" t="s">
        <v>3128</v>
      </c>
      <c r="C839" s="3336" t="s">
        <v>3665</v>
      </c>
      <c r="D839" s="3336" t="s">
        <v>3733</v>
      </c>
      <c r="E839" s="3339">
        <v>95.1</v>
      </c>
      <c r="F839" s="3339">
        <v>360</v>
      </c>
      <c r="G839" s="3340">
        <v>41000</v>
      </c>
      <c r="H839" s="3340">
        <v>41363</v>
      </c>
      <c r="I839" s="3340">
        <v>41364</v>
      </c>
      <c r="J839" s="3336"/>
    </row>
    <row r="840" spans="1:12" s="3327" customFormat="1" ht="12.75" customHeight="1">
      <c r="A840" s="3323"/>
      <c r="B840" s="3324" t="s">
        <v>3128</v>
      </c>
      <c r="C840" s="3324" t="s">
        <v>3665</v>
      </c>
      <c r="D840" s="3324" t="s">
        <v>3734</v>
      </c>
      <c r="E840" s="3325">
        <v>95.1</v>
      </c>
      <c r="F840" s="3325">
        <v>370</v>
      </c>
      <c r="G840" s="3326">
        <v>41730</v>
      </c>
      <c r="H840" s="3326">
        <v>42003</v>
      </c>
      <c r="I840" s="3326">
        <v>42094</v>
      </c>
      <c r="J840" s="3324"/>
    </row>
    <row r="841" spans="1:12" s="3327" customFormat="1" ht="12.75" customHeight="1">
      <c r="A841" s="3323"/>
      <c r="B841" s="3324" t="s">
        <v>3128</v>
      </c>
      <c r="C841" s="3324" t="s">
        <v>3665</v>
      </c>
      <c r="D841" s="3324" t="s">
        <v>3734</v>
      </c>
      <c r="E841" s="3325">
        <v>95.1</v>
      </c>
      <c r="F841" s="3325">
        <v>380</v>
      </c>
      <c r="G841" s="3326">
        <v>42005</v>
      </c>
      <c r="H841" s="3326">
        <v>42093</v>
      </c>
      <c r="I841" s="3326">
        <v>42094</v>
      </c>
      <c r="J841" s="3324"/>
    </row>
    <row r="842" spans="1:12" s="3327" customFormat="1" ht="12.75" customHeight="1">
      <c r="A842" s="3323"/>
      <c r="B842" s="3336" t="s">
        <v>3128</v>
      </c>
      <c r="C842" s="3336" t="s">
        <v>3665</v>
      </c>
      <c r="D842" s="3336" t="s">
        <v>3734</v>
      </c>
      <c r="E842" s="3339">
        <v>95.1</v>
      </c>
      <c r="F842" s="3339">
        <v>380</v>
      </c>
      <c r="G842" s="3340">
        <v>42095</v>
      </c>
      <c r="H842" s="3340">
        <v>42141</v>
      </c>
      <c r="I842" s="3340">
        <v>42460</v>
      </c>
      <c r="J842" s="3324"/>
    </row>
    <row r="843" spans="1:12" s="3327" customFormat="1" ht="12.75" customHeight="1">
      <c r="A843" s="3323"/>
      <c r="B843" s="3336" t="s">
        <v>3128</v>
      </c>
      <c r="C843" s="3336" t="s">
        <v>3451</v>
      </c>
      <c r="D843" s="3336" t="s">
        <v>3734</v>
      </c>
      <c r="E843" s="3339">
        <v>95.1</v>
      </c>
      <c r="F843" s="3339">
        <v>380</v>
      </c>
      <c r="G843" s="3340">
        <v>42142</v>
      </c>
      <c r="H843" s="3340">
        <v>42155</v>
      </c>
      <c r="I843" s="3340">
        <v>42460</v>
      </c>
      <c r="J843" s="3324"/>
    </row>
    <row r="844" spans="1:12" s="3327" customFormat="1" ht="12.75" customHeight="1">
      <c r="A844" s="3323"/>
      <c r="B844" s="3336" t="s">
        <v>3128</v>
      </c>
      <c r="C844" s="3336" t="s">
        <v>3451</v>
      </c>
      <c r="D844" s="3336" t="s">
        <v>3734</v>
      </c>
      <c r="E844" s="3339">
        <v>95.1</v>
      </c>
      <c r="F844" s="3339">
        <v>380</v>
      </c>
      <c r="G844" s="3340">
        <v>42156</v>
      </c>
      <c r="H844" s="3340">
        <v>42459</v>
      </c>
      <c r="I844" s="3340">
        <v>42460</v>
      </c>
      <c r="J844" s="3324"/>
    </row>
    <row r="845" spans="1:12" s="3327" customFormat="1" ht="12.75" customHeight="1">
      <c r="A845" s="3323"/>
      <c r="B845" s="3336" t="s">
        <v>3128</v>
      </c>
      <c r="C845" s="3336" t="s">
        <v>3451</v>
      </c>
      <c r="D845" s="3336" t="s">
        <v>3734</v>
      </c>
      <c r="E845" s="3338">
        <v>95.11</v>
      </c>
      <c r="F845" s="3339">
        <v>380</v>
      </c>
      <c r="G845" s="3340">
        <v>42461</v>
      </c>
      <c r="H845" s="3340">
        <v>42824</v>
      </c>
      <c r="I845" s="3340">
        <v>42825</v>
      </c>
      <c r="J845" s="3324"/>
    </row>
    <row r="846" spans="1:12" s="3327" customFormat="1" ht="12.75" customHeight="1">
      <c r="A846" s="3323"/>
      <c r="B846" s="3331" t="s">
        <v>3128</v>
      </c>
      <c r="C846" s="3331" t="s">
        <v>3735</v>
      </c>
      <c r="D846" s="3331" t="s">
        <v>3734</v>
      </c>
      <c r="E846" s="3347">
        <v>95.11</v>
      </c>
      <c r="F846" s="3332">
        <v>430</v>
      </c>
      <c r="G846" s="3333">
        <v>42826</v>
      </c>
      <c r="H846" s="3333">
        <v>42986</v>
      </c>
      <c r="I846" s="3333">
        <v>43190</v>
      </c>
      <c r="J846" s="3324"/>
      <c r="K846" s="3334">
        <f t="shared" ref="K846:K848" si="43">E846</f>
        <v>95.11</v>
      </c>
      <c r="L846" s="3334">
        <f t="shared" ref="L846:L848" si="44">F846/30</f>
        <v>14.333333333333334</v>
      </c>
    </row>
    <row r="847" spans="1:12" s="3327" customFormat="1" ht="12.75" customHeight="1">
      <c r="A847" s="3323"/>
      <c r="B847" s="3331" t="s">
        <v>3128</v>
      </c>
      <c r="C847" s="3331" t="s">
        <v>3735</v>
      </c>
      <c r="D847" s="3331" t="s">
        <v>3734</v>
      </c>
      <c r="E847" s="3347">
        <v>95.11</v>
      </c>
      <c r="F847" s="3332">
        <v>430</v>
      </c>
      <c r="G847" s="3333">
        <v>42987</v>
      </c>
      <c r="H847" s="3333">
        <v>43008</v>
      </c>
      <c r="I847" s="3333">
        <v>43190</v>
      </c>
      <c r="J847" s="3324"/>
      <c r="K847" s="3334">
        <f t="shared" si="43"/>
        <v>95.11</v>
      </c>
      <c r="L847" s="3334">
        <f t="shared" si="44"/>
        <v>14.333333333333334</v>
      </c>
    </row>
    <row r="848" spans="1:12" s="3327" customFormat="1" ht="12.75" customHeight="1">
      <c r="A848" s="3323" t="s">
        <v>3151</v>
      </c>
      <c r="B848" s="3331" t="s">
        <v>3128</v>
      </c>
      <c r="C848" s="3331" t="s">
        <v>3735</v>
      </c>
      <c r="D848" s="3331" t="s">
        <v>3734</v>
      </c>
      <c r="E848" s="3347">
        <v>95.11</v>
      </c>
      <c r="F848" s="3332">
        <v>430</v>
      </c>
      <c r="G848" s="3333">
        <v>43009</v>
      </c>
      <c r="H848" s="3333">
        <v>43130</v>
      </c>
      <c r="I848" s="3333">
        <v>43190</v>
      </c>
      <c r="J848" s="3324"/>
      <c r="K848" s="3334">
        <f t="shared" si="43"/>
        <v>95.11</v>
      </c>
      <c r="L848" s="3334">
        <f t="shared" si="44"/>
        <v>14.333333333333334</v>
      </c>
    </row>
    <row r="849" spans="1:12" s="3327" customFormat="1" ht="12.75" customHeight="1">
      <c r="A849" s="3323"/>
      <c r="B849" s="3336" t="s">
        <v>3128</v>
      </c>
      <c r="C849" s="3336" t="s">
        <v>3736</v>
      </c>
      <c r="D849" s="3336" t="s">
        <v>3737</v>
      </c>
      <c r="E849" s="3339">
        <v>120</v>
      </c>
      <c r="F849" s="3339">
        <v>250</v>
      </c>
      <c r="G849" s="3340">
        <v>41000</v>
      </c>
      <c r="H849" s="3340">
        <v>41363</v>
      </c>
      <c r="I849" s="3340">
        <v>41364</v>
      </c>
      <c r="J849" s="3336"/>
    </row>
    <row r="850" spans="1:12" s="3327" customFormat="1" ht="12.75" customHeight="1">
      <c r="A850" s="3323"/>
      <c r="B850" s="3324" t="s">
        <v>3128</v>
      </c>
      <c r="C850" s="3324" t="s">
        <v>3738</v>
      </c>
      <c r="D850" s="3324" t="s">
        <v>3739</v>
      </c>
      <c r="E850" s="3325">
        <v>120</v>
      </c>
      <c r="F850" s="3325">
        <v>300</v>
      </c>
      <c r="G850" s="3326">
        <v>41730</v>
      </c>
      <c r="H850" s="3326">
        <v>42093</v>
      </c>
      <c r="I850" s="3326">
        <v>42094</v>
      </c>
      <c r="J850" s="3324"/>
    </row>
    <row r="851" spans="1:12" s="3327" customFormat="1" ht="12.75" customHeight="1">
      <c r="A851" s="3323"/>
      <c r="B851" s="3336" t="s">
        <v>3128</v>
      </c>
      <c r="C851" s="3336" t="s">
        <v>3738</v>
      </c>
      <c r="D851" s="3336" t="s">
        <v>3739</v>
      </c>
      <c r="E851" s="3339">
        <v>120</v>
      </c>
      <c r="F851" s="3339">
        <v>330</v>
      </c>
      <c r="G851" s="3340">
        <v>42095</v>
      </c>
      <c r="H851" s="3340">
        <v>42459</v>
      </c>
      <c r="I851" s="3340">
        <v>42460</v>
      </c>
      <c r="J851" s="3324"/>
    </row>
    <row r="852" spans="1:12" s="3327" customFormat="1" ht="12.75" customHeight="1">
      <c r="A852" s="3354"/>
      <c r="B852" s="3336" t="s">
        <v>3128</v>
      </c>
      <c r="C852" s="3336" t="s">
        <v>3740</v>
      </c>
      <c r="D852" s="3336" t="s">
        <v>3741</v>
      </c>
      <c r="E852" s="3339">
        <v>60.69</v>
      </c>
      <c r="F852" s="3339">
        <v>340</v>
      </c>
      <c r="G852" s="3340">
        <v>42461</v>
      </c>
      <c r="H852" s="3340">
        <v>42824</v>
      </c>
      <c r="I852" s="3340">
        <v>42825</v>
      </c>
      <c r="J852" s="3324"/>
    </row>
    <row r="853" spans="1:12" s="3327" customFormat="1" ht="12.75" customHeight="1">
      <c r="A853" s="3354" t="s">
        <v>3151</v>
      </c>
      <c r="B853" s="3331" t="s">
        <v>3128</v>
      </c>
      <c r="C853" s="3331" t="s">
        <v>3742</v>
      </c>
      <c r="D853" s="3331" t="s">
        <v>3741</v>
      </c>
      <c r="E853" s="3332">
        <v>60.69</v>
      </c>
      <c r="F853" s="3332">
        <v>360</v>
      </c>
      <c r="G853" s="3333">
        <v>42826</v>
      </c>
      <c r="H853" s="3333">
        <v>43130</v>
      </c>
      <c r="I853" s="3333">
        <v>43190</v>
      </c>
      <c r="J853" s="3324"/>
      <c r="K853" s="3334">
        <f>E853</f>
        <v>60.69</v>
      </c>
      <c r="L853" s="3334">
        <f>F853/30</f>
        <v>12</v>
      </c>
    </row>
    <row r="854" spans="1:12" s="3327" customFormat="1" ht="12.75" customHeight="1">
      <c r="A854" s="3354"/>
      <c r="B854" s="3336" t="s">
        <v>3128</v>
      </c>
      <c r="C854" s="3336" t="s">
        <v>3743</v>
      </c>
      <c r="D854" s="3336" t="s">
        <v>3744</v>
      </c>
      <c r="E854" s="3339">
        <v>60.97</v>
      </c>
      <c r="F854" s="3339">
        <v>340</v>
      </c>
      <c r="G854" s="3340">
        <v>42461</v>
      </c>
      <c r="H854" s="3340">
        <v>42824</v>
      </c>
      <c r="I854" s="3340">
        <v>42825</v>
      </c>
      <c r="J854" s="3324"/>
    </row>
    <row r="855" spans="1:12" s="3327" customFormat="1" ht="12.75" customHeight="1">
      <c r="A855" s="3354" t="s">
        <v>3151</v>
      </c>
      <c r="B855" s="3331" t="s">
        <v>3128</v>
      </c>
      <c r="C855" s="3331" t="s">
        <v>3743</v>
      </c>
      <c r="D855" s="3331" t="s">
        <v>3744</v>
      </c>
      <c r="E855" s="3332">
        <v>60.97</v>
      </c>
      <c r="F855" s="3332">
        <v>355</v>
      </c>
      <c r="G855" s="3333">
        <v>42826</v>
      </c>
      <c r="H855" s="3333">
        <v>43130</v>
      </c>
      <c r="I855" s="3333">
        <v>43190</v>
      </c>
      <c r="J855" s="3324"/>
      <c r="K855" s="3334">
        <f>E855</f>
        <v>60.97</v>
      </c>
      <c r="L855" s="3334">
        <f>F855/30</f>
        <v>11.833333333333334</v>
      </c>
    </row>
    <row r="856" spans="1:12" s="3327" customFormat="1" ht="13.5" customHeight="1">
      <c r="A856" s="3355"/>
      <c r="B856" s="3336" t="s">
        <v>3128</v>
      </c>
      <c r="C856" s="3336" t="s">
        <v>3745</v>
      </c>
      <c r="D856" s="3336" t="s">
        <v>3746</v>
      </c>
      <c r="E856" s="3339">
        <v>86.4</v>
      </c>
      <c r="F856" s="3339">
        <v>330</v>
      </c>
      <c r="G856" s="3340">
        <v>41000</v>
      </c>
      <c r="H856" s="3340">
        <v>41363</v>
      </c>
      <c r="I856" s="3340">
        <v>41364</v>
      </c>
      <c r="J856" s="3336"/>
    </row>
    <row r="857" spans="1:12" s="3327" customFormat="1" ht="13.5" customHeight="1">
      <c r="A857" s="3354"/>
      <c r="B857" s="3324" t="s">
        <v>3128</v>
      </c>
      <c r="C857" s="3324" t="s">
        <v>3745</v>
      </c>
      <c r="D857" s="3324" t="s">
        <v>3747</v>
      </c>
      <c r="E857" s="3325">
        <v>86.4</v>
      </c>
      <c r="F857" s="3325">
        <v>330</v>
      </c>
      <c r="G857" s="3326">
        <v>41365</v>
      </c>
      <c r="H857" s="3326">
        <v>41728</v>
      </c>
      <c r="I857" s="3326">
        <v>41729</v>
      </c>
      <c r="J857" s="3324"/>
    </row>
    <row r="858" spans="1:12" s="3327" customFormat="1" ht="13.5" customHeight="1">
      <c r="A858" s="3323"/>
      <c r="B858" s="3324" t="s">
        <v>3128</v>
      </c>
      <c r="C858" s="3324" t="s">
        <v>3745</v>
      </c>
      <c r="D858" s="3324" t="s">
        <v>3747</v>
      </c>
      <c r="E858" s="3325">
        <v>99.4</v>
      </c>
      <c r="F858" s="3325">
        <v>300</v>
      </c>
      <c r="G858" s="3326">
        <v>41730</v>
      </c>
      <c r="H858" s="3326">
        <v>42093</v>
      </c>
      <c r="I858" s="3326">
        <v>42094</v>
      </c>
      <c r="J858" s="3324"/>
    </row>
    <row r="859" spans="1:12" s="3327" customFormat="1" ht="13.5" customHeight="1">
      <c r="A859" s="3323"/>
      <c r="B859" s="3336" t="s">
        <v>3128</v>
      </c>
      <c r="C859" s="3336" t="s">
        <v>3745</v>
      </c>
      <c r="D859" s="3336" t="s">
        <v>3747</v>
      </c>
      <c r="E859" s="3339">
        <v>99.4</v>
      </c>
      <c r="F859" s="3339">
        <v>330</v>
      </c>
      <c r="G859" s="3340">
        <v>42095</v>
      </c>
      <c r="H859" s="3340">
        <v>42459</v>
      </c>
      <c r="I859" s="3340">
        <v>42460</v>
      </c>
      <c r="J859" s="3324"/>
    </row>
    <row r="860" spans="1:12" s="3327" customFormat="1" ht="13.5" customHeight="1">
      <c r="A860" s="3354"/>
      <c r="B860" s="3336" t="s">
        <v>3128</v>
      </c>
      <c r="C860" s="3336" t="s">
        <v>3720</v>
      </c>
      <c r="D860" s="3336" t="s">
        <v>3747</v>
      </c>
      <c r="E860" s="3339">
        <v>99.4</v>
      </c>
      <c r="F860" s="3339">
        <v>380</v>
      </c>
      <c r="G860" s="3340">
        <v>42461</v>
      </c>
      <c r="H860" s="3340">
        <v>42612</v>
      </c>
      <c r="I860" s="3340">
        <v>42825</v>
      </c>
      <c r="J860" s="3324"/>
    </row>
    <row r="861" spans="1:12" s="3327" customFormat="1" ht="13.5" customHeight="1">
      <c r="A861" s="3354"/>
      <c r="B861" s="3336" t="s">
        <v>3128</v>
      </c>
      <c r="C861" s="3336" t="s">
        <v>3720</v>
      </c>
      <c r="D861" s="3336" t="s">
        <v>3747</v>
      </c>
      <c r="E861" s="3339">
        <v>99.4</v>
      </c>
      <c r="F861" s="3339">
        <v>380</v>
      </c>
      <c r="G861" s="3340">
        <v>42614</v>
      </c>
      <c r="H861" s="3340">
        <v>42824</v>
      </c>
      <c r="I861" s="3340">
        <v>42825</v>
      </c>
      <c r="J861" s="3324"/>
    </row>
    <row r="862" spans="1:12" s="3327" customFormat="1" ht="13.5" customHeight="1">
      <c r="A862" s="3354" t="s">
        <v>3151</v>
      </c>
      <c r="B862" s="3331" t="s">
        <v>3128</v>
      </c>
      <c r="C862" s="3331" t="s">
        <v>3720</v>
      </c>
      <c r="D862" s="3331" t="s">
        <v>3748</v>
      </c>
      <c r="E862" s="3332">
        <v>99.4</v>
      </c>
      <c r="F862" s="3332">
        <v>395</v>
      </c>
      <c r="G862" s="3333">
        <v>42826</v>
      </c>
      <c r="H862" s="3333">
        <v>43130</v>
      </c>
      <c r="I862" s="3333">
        <v>43190</v>
      </c>
      <c r="J862" s="3324"/>
      <c r="K862" s="3334">
        <f>E862</f>
        <v>99.4</v>
      </c>
      <c r="L862" s="3334">
        <f>F862/30</f>
        <v>13.166666666666666</v>
      </c>
    </row>
    <row r="863" spans="1:12" s="3327" customFormat="1" ht="13.5" customHeight="1">
      <c r="A863" s="3355"/>
      <c r="B863" s="3336" t="s">
        <v>3128</v>
      </c>
      <c r="C863" s="3336" t="s">
        <v>3749</v>
      </c>
      <c r="D863" s="3336" t="s">
        <v>3750</v>
      </c>
      <c r="E863" s="3339">
        <v>81.900000000000006</v>
      </c>
      <c r="F863" s="3339">
        <v>330</v>
      </c>
      <c r="G863" s="3340">
        <v>41000</v>
      </c>
      <c r="H863" s="3340">
        <v>41363</v>
      </c>
      <c r="I863" s="3340">
        <v>41364</v>
      </c>
      <c r="J863" s="3336"/>
    </row>
    <row r="864" spans="1:12" s="3327" customFormat="1" ht="13.5" customHeight="1">
      <c r="A864" s="3355"/>
      <c r="B864" s="3336" t="s">
        <v>3128</v>
      </c>
      <c r="C864" s="3336" t="s">
        <v>3749</v>
      </c>
      <c r="D864" s="3336" t="s">
        <v>3751</v>
      </c>
      <c r="E864" s="3339">
        <v>81.900000000000006</v>
      </c>
      <c r="F864" s="3339">
        <v>330</v>
      </c>
      <c r="G864" s="3340">
        <v>41365</v>
      </c>
      <c r="H864" s="3340">
        <v>41728</v>
      </c>
      <c r="I864" s="3340">
        <v>41729</v>
      </c>
      <c r="J864" s="3336"/>
    </row>
    <row r="865" spans="1:12" s="3327" customFormat="1" ht="13.5" customHeight="1">
      <c r="A865" s="3323"/>
      <c r="B865" s="3324" t="s">
        <v>3128</v>
      </c>
      <c r="C865" s="3324" t="s">
        <v>3749</v>
      </c>
      <c r="D865" s="3324" t="s">
        <v>3751</v>
      </c>
      <c r="E865" s="3325">
        <v>94.2</v>
      </c>
      <c r="F865" s="3325">
        <v>300</v>
      </c>
      <c r="G865" s="3326">
        <v>41730</v>
      </c>
      <c r="H865" s="3326">
        <v>42093</v>
      </c>
      <c r="I865" s="3326">
        <v>42094</v>
      </c>
      <c r="J865" s="3324"/>
    </row>
    <row r="866" spans="1:12" s="3327" customFormat="1" ht="13.5" customHeight="1">
      <c r="A866" s="3323"/>
      <c r="B866" s="3336" t="s">
        <v>3128</v>
      </c>
      <c r="C866" s="3336" t="s">
        <v>3749</v>
      </c>
      <c r="D866" s="3336" t="s">
        <v>3751</v>
      </c>
      <c r="E866" s="3339">
        <v>94.2</v>
      </c>
      <c r="F866" s="3339">
        <v>330</v>
      </c>
      <c r="G866" s="3340">
        <v>42095</v>
      </c>
      <c r="H866" s="3340">
        <v>42459</v>
      </c>
      <c r="I866" s="3340">
        <v>42460</v>
      </c>
      <c r="J866" s="3324"/>
    </row>
    <row r="867" spans="1:12" s="3327" customFormat="1" ht="13.5" customHeight="1">
      <c r="A867" s="3354"/>
      <c r="B867" s="3336" t="s">
        <v>3128</v>
      </c>
      <c r="C867" s="3336" t="s">
        <v>3752</v>
      </c>
      <c r="D867" s="3336"/>
      <c r="E867" s="3339">
        <v>31.25</v>
      </c>
      <c r="F867" s="3339">
        <v>330</v>
      </c>
      <c r="G867" s="3340">
        <v>42461</v>
      </c>
      <c r="H867" s="3340">
        <v>42551</v>
      </c>
      <c r="I867" s="3340">
        <v>42825</v>
      </c>
      <c r="J867" s="3324"/>
    </row>
    <row r="868" spans="1:12" s="3327" customFormat="1" ht="13.5" customHeight="1">
      <c r="A868" s="3354"/>
      <c r="B868" s="3336" t="s">
        <v>3128</v>
      </c>
      <c r="C868" s="3336" t="s">
        <v>3752</v>
      </c>
      <c r="D868" s="3336"/>
      <c r="E868" s="3339">
        <v>31.25</v>
      </c>
      <c r="F868" s="3339">
        <v>330</v>
      </c>
      <c r="G868" s="3340">
        <v>42552</v>
      </c>
      <c r="H868" s="3340">
        <v>42824</v>
      </c>
      <c r="I868" s="3340">
        <v>42825</v>
      </c>
      <c r="J868" s="3324"/>
    </row>
    <row r="869" spans="1:12" s="3327" customFormat="1" ht="13.5" customHeight="1">
      <c r="A869" s="3354" t="s">
        <v>3151</v>
      </c>
      <c r="B869" s="3331" t="s">
        <v>3128</v>
      </c>
      <c r="C869" s="3331" t="s">
        <v>3752</v>
      </c>
      <c r="D869" s="3331"/>
      <c r="E869" s="3332">
        <v>31.25</v>
      </c>
      <c r="F869" s="3332">
        <v>310</v>
      </c>
      <c r="G869" s="3333">
        <v>42826</v>
      </c>
      <c r="H869" s="3333">
        <v>43130</v>
      </c>
      <c r="I869" s="3333">
        <v>43190</v>
      </c>
      <c r="J869" s="3324"/>
      <c r="K869" s="3334">
        <f>E869</f>
        <v>31.25</v>
      </c>
      <c r="L869" s="3334">
        <f>F869/30</f>
        <v>10.333333333333334</v>
      </c>
    </row>
    <row r="870" spans="1:12" s="3327" customFormat="1" ht="13.5" customHeight="1">
      <c r="A870" s="3354"/>
      <c r="B870" s="3336" t="s">
        <v>3128</v>
      </c>
      <c r="C870" s="3336" t="s">
        <v>3753</v>
      </c>
      <c r="D870" s="3336"/>
      <c r="E870" s="3339">
        <v>23.25</v>
      </c>
      <c r="F870" s="3339">
        <v>330</v>
      </c>
      <c r="G870" s="3340">
        <v>42461</v>
      </c>
      <c r="H870" s="3340">
        <v>42520</v>
      </c>
      <c r="I870" s="3340">
        <v>42825</v>
      </c>
      <c r="J870" s="3324"/>
    </row>
    <row r="871" spans="1:12" s="3327" customFormat="1" ht="13.5" customHeight="1">
      <c r="A871" s="3354"/>
      <c r="B871" s="3336" t="s">
        <v>3128</v>
      </c>
      <c r="C871" s="3336" t="s">
        <v>3754</v>
      </c>
      <c r="D871" s="3336"/>
      <c r="E871" s="3339">
        <v>23.25</v>
      </c>
      <c r="F871" s="3339">
        <v>330</v>
      </c>
      <c r="G871" s="3340">
        <v>42522</v>
      </c>
      <c r="H871" s="3340">
        <v>42824</v>
      </c>
      <c r="I871" s="3340">
        <v>42825</v>
      </c>
      <c r="J871" s="3324"/>
    </row>
    <row r="872" spans="1:12" s="3327" customFormat="1" ht="13.5" customHeight="1">
      <c r="A872" s="3354"/>
      <c r="B872" s="3331" t="s">
        <v>3128</v>
      </c>
      <c r="C872" s="3331" t="s">
        <v>3754</v>
      </c>
      <c r="D872" s="3331"/>
      <c r="E872" s="3332">
        <v>23.25</v>
      </c>
      <c r="F872" s="3332">
        <v>300</v>
      </c>
      <c r="G872" s="3333">
        <v>42826</v>
      </c>
      <c r="H872" s="3333">
        <v>42983</v>
      </c>
      <c r="I872" s="3333">
        <v>43190</v>
      </c>
      <c r="J872" s="3324"/>
      <c r="K872" s="3334">
        <f t="shared" ref="K872:K873" si="45">E872</f>
        <v>23.25</v>
      </c>
      <c r="L872" s="3334">
        <f t="shared" ref="L872:L873" si="46">F872/30</f>
        <v>10</v>
      </c>
    </row>
    <row r="873" spans="1:12" s="3327" customFormat="1" ht="13.5" customHeight="1">
      <c r="A873" s="3354" t="s">
        <v>3151</v>
      </c>
      <c r="B873" s="3331" t="s">
        <v>3128</v>
      </c>
      <c r="C873" s="3331" t="s">
        <v>3754</v>
      </c>
      <c r="D873" s="3331"/>
      <c r="E873" s="3332">
        <v>23.25</v>
      </c>
      <c r="F873" s="3332">
        <v>300</v>
      </c>
      <c r="G873" s="3333">
        <v>42984</v>
      </c>
      <c r="H873" s="3333">
        <v>43130</v>
      </c>
      <c r="I873" s="3333">
        <v>43190</v>
      </c>
      <c r="J873" s="3324"/>
      <c r="K873" s="3334">
        <f t="shared" si="45"/>
        <v>23.25</v>
      </c>
      <c r="L873" s="3334">
        <f t="shared" si="46"/>
        <v>10</v>
      </c>
    </row>
    <row r="874" spans="1:12" s="3327" customFormat="1" ht="13.5" customHeight="1">
      <c r="A874" s="3354"/>
      <c r="B874" s="3336" t="s">
        <v>3128</v>
      </c>
      <c r="C874" s="3336" t="s">
        <v>3755</v>
      </c>
      <c r="D874" s="3336"/>
      <c r="E874" s="3339">
        <v>26.12</v>
      </c>
      <c r="F874" s="3339">
        <v>330</v>
      </c>
      <c r="G874" s="3340">
        <v>42461</v>
      </c>
      <c r="H874" s="3340">
        <v>42824</v>
      </c>
      <c r="I874" s="3340">
        <v>42825</v>
      </c>
      <c r="J874" s="3324"/>
    </row>
    <row r="875" spans="1:12" s="3327" customFormat="1" ht="13.5" customHeight="1">
      <c r="A875" s="3354" t="s">
        <v>3151</v>
      </c>
      <c r="B875" s="3331" t="s">
        <v>3128</v>
      </c>
      <c r="C875" s="3331" t="s">
        <v>3755</v>
      </c>
      <c r="D875" s="3331" t="s">
        <v>3756</v>
      </c>
      <c r="E875" s="3332">
        <v>26.12</v>
      </c>
      <c r="F875" s="3332">
        <v>300</v>
      </c>
      <c r="G875" s="3333">
        <v>42826</v>
      </c>
      <c r="H875" s="3333">
        <v>43130</v>
      </c>
      <c r="I875" s="3333">
        <v>43190</v>
      </c>
      <c r="J875" s="3324"/>
      <c r="K875" s="3334">
        <f>E875</f>
        <v>26.12</v>
      </c>
      <c r="L875" s="3334">
        <f>F875/30</f>
        <v>10</v>
      </c>
    </row>
    <row r="876" spans="1:12" s="3327" customFormat="1" ht="13.5" customHeight="1">
      <c r="A876" s="3354"/>
      <c r="B876" s="3336" t="s">
        <v>3128</v>
      </c>
      <c r="C876" s="3336" t="s">
        <v>3757</v>
      </c>
      <c r="D876" s="3336"/>
      <c r="E876" s="3339">
        <v>27.08</v>
      </c>
      <c r="F876" s="3339">
        <v>330</v>
      </c>
      <c r="G876" s="3340">
        <v>42461</v>
      </c>
      <c r="H876" s="3340">
        <v>42526</v>
      </c>
      <c r="I876" s="3340">
        <v>42825</v>
      </c>
      <c r="J876" s="3324"/>
    </row>
    <row r="877" spans="1:12" s="3327" customFormat="1" ht="13.5" customHeight="1">
      <c r="A877" s="3354"/>
      <c r="B877" s="3336" t="s">
        <v>3128</v>
      </c>
      <c r="C877" s="3336" t="s">
        <v>3757</v>
      </c>
      <c r="D877" s="3336"/>
      <c r="E877" s="3339">
        <v>27.08</v>
      </c>
      <c r="F877" s="3339">
        <v>330</v>
      </c>
      <c r="G877" s="3340">
        <v>42527</v>
      </c>
      <c r="H877" s="3340">
        <v>42824</v>
      </c>
      <c r="I877" s="3340">
        <v>42825</v>
      </c>
      <c r="J877" s="3324"/>
    </row>
    <row r="878" spans="1:12" s="3327" customFormat="1" ht="13.5" customHeight="1">
      <c r="A878" s="3354"/>
      <c r="B878" s="3331" t="s">
        <v>3128</v>
      </c>
      <c r="C878" s="3331" t="s">
        <v>3757</v>
      </c>
      <c r="D878" s="3331"/>
      <c r="E878" s="3332">
        <v>27.08</v>
      </c>
      <c r="F878" s="3332">
        <v>290</v>
      </c>
      <c r="G878" s="3333">
        <v>42826</v>
      </c>
      <c r="H878" s="3333">
        <v>42983</v>
      </c>
      <c r="I878" s="3333">
        <v>43190</v>
      </c>
      <c r="J878" s="3324"/>
      <c r="K878" s="3334">
        <f>E878</f>
        <v>27.08</v>
      </c>
      <c r="L878" s="3334">
        <f>F878/30</f>
        <v>9.6666666666666661</v>
      </c>
    </row>
    <row r="879" spans="1:12" s="3327" customFormat="1" ht="13.5" customHeight="1">
      <c r="A879" s="3354" t="s">
        <v>3151</v>
      </c>
      <c r="B879" s="3331" t="s">
        <v>3128</v>
      </c>
      <c r="C879" s="3331" t="s">
        <v>3757</v>
      </c>
      <c r="D879" s="3331"/>
      <c r="E879" s="3332">
        <v>27.08</v>
      </c>
      <c r="F879" s="3332">
        <v>290</v>
      </c>
      <c r="G879" s="3333">
        <v>42984</v>
      </c>
      <c r="H879" s="3333">
        <v>43130</v>
      </c>
      <c r="I879" s="3333">
        <v>43190</v>
      </c>
      <c r="J879" s="3324"/>
      <c r="K879" s="3334">
        <f>E879</f>
        <v>27.08</v>
      </c>
      <c r="L879" s="3334">
        <f>F879/30</f>
        <v>9.6666666666666661</v>
      </c>
    </row>
    <row r="880" spans="1:12" s="3327" customFormat="1" ht="14.25" customHeight="1">
      <c r="A880" s="3354"/>
      <c r="B880" s="3336" t="s">
        <v>3128</v>
      </c>
      <c r="C880" s="3336" t="s">
        <v>3758</v>
      </c>
      <c r="D880" s="3336"/>
      <c r="E880" s="3339">
        <v>27.47</v>
      </c>
      <c r="F880" s="3339">
        <v>330</v>
      </c>
      <c r="G880" s="3340">
        <v>42461</v>
      </c>
      <c r="H880" s="3340">
        <v>42824</v>
      </c>
      <c r="I880" s="3340">
        <v>42825</v>
      </c>
      <c r="J880" s="3324"/>
    </row>
    <row r="881" spans="1:12" s="3327" customFormat="1" ht="14.25" customHeight="1">
      <c r="A881" s="3354" t="s">
        <v>3151</v>
      </c>
      <c r="B881" s="3331" t="s">
        <v>3128</v>
      </c>
      <c r="C881" s="3331" t="s">
        <v>3758</v>
      </c>
      <c r="D881" s="3331"/>
      <c r="E881" s="3332">
        <v>27.47</v>
      </c>
      <c r="F881" s="3332">
        <v>290</v>
      </c>
      <c r="G881" s="3333">
        <v>42826</v>
      </c>
      <c r="H881" s="3333">
        <v>43130</v>
      </c>
      <c r="I881" s="3333">
        <v>43190</v>
      </c>
      <c r="J881" s="3324"/>
      <c r="K881" s="3334">
        <f>E881</f>
        <v>27.47</v>
      </c>
      <c r="L881" s="3334">
        <f>F881/30</f>
        <v>9.6666666666666661</v>
      </c>
    </row>
    <row r="882" spans="1:12" s="3327" customFormat="1" ht="13.5" customHeight="1">
      <c r="A882" s="3354"/>
      <c r="B882" s="3336" t="s">
        <v>3128</v>
      </c>
      <c r="C882" s="3336" t="s">
        <v>3759</v>
      </c>
      <c r="D882" s="3336"/>
      <c r="E882" s="3339">
        <v>24.82</v>
      </c>
      <c r="F882" s="3339">
        <v>330</v>
      </c>
      <c r="G882" s="3340">
        <v>42461</v>
      </c>
      <c r="H882" s="3340">
        <v>42824</v>
      </c>
      <c r="I882" s="3340">
        <v>42825</v>
      </c>
      <c r="J882" s="3324"/>
    </row>
    <row r="883" spans="1:12" s="3327" customFormat="1" ht="13.5" customHeight="1">
      <c r="A883" s="3354" t="s">
        <v>3151</v>
      </c>
      <c r="B883" s="3331" t="s">
        <v>3128</v>
      </c>
      <c r="C883" s="3331" t="s">
        <v>3759</v>
      </c>
      <c r="D883" s="3331"/>
      <c r="E883" s="3332">
        <v>24.82</v>
      </c>
      <c r="F883" s="3332">
        <v>310</v>
      </c>
      <c r="G883" s="3333">
        <v>42826</v>
      </c>
      <c r="H883" s="3333">
        <v>43130</v>
      </c>
      <c r="I883" s="3333">
        <v>43190</v>
      </c>
      <c r="J883" s="3324"/>
      <c r="K883" s="3334">
        <f>E883</f>
        <v>24.82</v>
      </c>
      <c r="L883" s="3334">
        <f>F883/30</f>
        <v>10.333333333333334</v>
      </c>
    </row>
    <row r="884" spans="1:12" s="3327" customFormat="1" ht="13.5" customHeight="1">
      <c r="A884" s="3354"/>
      <c r="B884" s="3336" t="s">
        <v>3128</v>
      </c>
      <c r="C884" s="3336" t="s">
        <v>3760</v>
      </c>
      <c r="D884" s="3336"/>
      <c r="E884" s="3339">
        <v>25.7</v>
      </c>
      <c r="F884" s="3339">
        <v>330</v>
      </c>
      <c r="G884" s="3340">
        <v>42461</v>
      </c>
      <c r="H884" s="3340">
        <v>42824</v>
      </c>
      <c r="I884" s="3340">
        <v>42825</v>
      </c>
      <c r="J884" s="3324"/>
    </row>
    <row r="885" spans="1:12" s="3327" customFormat="1" ht="13.5" customHeight="1">
      <c r="A885" s="3354" t="s">
        <v>3151</v>
      </c>
      <c r="B885" s="3331" t="s">
        <v>3128</v>
      </c>
      <c r="C885" s="3331" t="s">
        <v>3761</v>
      </c>
      <c r="D885" s="3331"/>
      <c r="E885" s="3332">
        <v>25.7</v>
      </c>
      <c r="F885" s="3332">
        <v>310</v>
      </c>
      <c r="G885" s="3333">
        <v>42826</v>
      </c>
      <c r="H885" s="3333">
        <v>43130</v>
      </c>
      <c r="I885" s="3333">
        <v>43190</v>
      </c>
      <c r="J885" s="3324"/>
      <c r="K885" s="3334">
        <f>E885</f>
        <v>25.7</v>
      </c>
      <c r="L885" s="3334">
        <f>F885/30</f>
        <v>10.333333333333334</v>
      </c>
    </row>
    <row r="886" spans="1:12" s="3327" customFormat="1" ht="13.5" customHeight="1">
      <c r="A886" s="3354"/>
      <c r="B886" s="3336" t="s">
        <v>3128</v>
      </c>
      <c r="C886" s="3336" t="s">
        <v>3762</v>
      </c>
      <c r="D886" s="3336"/>
      <c r="E886" s="3339">
        <v>27.6</v>
      </c>
      <c r="F886" s="3339">
        <v>330</v>
      </c>
      <c r="G886" s="3340">
        <v>42461</v>
      </c>
      <c r="H886" s="3340">
        <v>42824</v>
      </c>
      <c r="I886" s="3340">
        <v>42825</v>
      </c>
      <c r="J886" s="3324"/>
    </row>
    <row r="887" spans="1:12" s="3327" customFormat="1" ht="13.5" customHeight="1">
      <c r="A887" s="3354" t="s">
        <v>3151</v>
      </c>
      <c r="B887" s="3331" t="s">
        <v>3128</v>
      </c>
      <c r="C887" s="3331" t="s">
        <v>3763</v>
      </c>
      <c r="D887" s="3331" t="s">
        <v>3764</v>
      </c>
      <c r="E887" s="3332">
        <v>27.6</v>
      </c>
      <c r="F887" s="3332">
        <v>310</v>
      </c>
      <c r="G887" s="3333">
        <v>42826</v>
      </c>
      <c r="H887" s="3333">
        <v>43130</v>
      </c>
      <c r="I887" s="3333">
        <v>43190</v>
      </c>
      <c r="J887" s="3324"/>
      <c r="K887" s="3334">
        <f>E887</f>
        <v>27.6</v>
      </c>
      <c r="L887" s="3334">
        <f>F887/30</f>
        <v>10.333333333333334</v>
      </c>
    </row>
    <row r="888" spans="1:12" s="3327" customFormat="1" ht="13.5" customHeight="1">
      <c r="A888" s="3355"/>
      <c r="B888" s="3336" t="s">
        <v>3128</v>
      </c>
      <c r="C888" s="3336" t="s">
        <v>3765</v>
      </c>
      <c r="D888" s="3336" t="s">
        <v>3766</v>
      </c>
      <c r="E888" s="3339">
        <v>75.7</v>
      </c>
      <c r="F888" s="3339">
        <v>330</v>
      </c>
      <c r="G888" s="3340">
        <v>41000</v>
      </c>
      <c r="H888" s="3340">
        <v>41363</v>
      </c>
      <c r="I888" s="3340">
        <v>41364</v>
      </c>
      <c r="J888" s="3336"/>
    </row>
    <row r="889" spans="1:12" s="3327" customFormat="1" ht="13.5" customHeight="1">
      <c r="A889" s="3323"/>
      <c r="B889" s="3324" t="s">
        <v>3128</v>
      </c>
      <c r="C889" s="3324" t="s">
        <v>3765</v>
      </c>
      <c r="D889" s="3324" t="s">
        <v>3767</v>
      </c>
      <c r="E889" s="3325">
        <v>87.1</v>
      </c>
      <c r="F889" s="3325">
        <v>300</v>
      </c>
      <c r="G889" s="3326">
        <v>41730</v>
      </c>
      <c r="H889" s="3326">
        <v>42093</v>
      </c>
      <c r="I889" s="3326">
        <v>42094</v>
      </c>
      <c r="J889" s="3324"/>
    </row>
    <row r="890" spans="1:12" s="3327" customFormat="1" ht="13.5" customHeight="1">
      <c r="A890" s="3323"/>
      <c r="B890" s="3336" t="s">
        <v>3128</v>
      </c>
      <c r="C890" s="3336" t="s">
        <v>3765</v>
      </c>
      <c r="D890" s="3336" t="s">
        <v>3767</v>
      </c>
      <c r="E890" s="3339">
        <v>87.1</v>
      </c>
      <c r="F890" s="3339">
        <v>330</v>
      </c>
      <c r="G890" s="3340">
        <v>42095</v>
      </c>
      <c r="H890" s="3340">
        <v>42459</v>
      </c>
      <c r="I890" s="3340">
        <v>42460</v>
      </c>
      <c r="J890" s="3324"/>
    </row>
    <row r="891" spans="1:12" s="3327" customFormat="1" ht="13.5" customHeight="1">
      <c r="A891" s="3354"/>
      <c r="B891" s="3336" t="s">
        <v>3128</v>
      </c>
      <c r="C891" s="3336" t="s">
        <v>3768</v>
      </c>
      <c r="D891" s="3336" t="s">
        <v>3767</v>
      </c>
      <c r="E891" s="3339">
        <v>48.48</v>
      </c>
      <c r="F891" s="3339">
        <v>370</v>
      </c>
      <c r="G891" s="3340">
        <v>42461</v>
      </c>
      <c r="H891" s="3340">
        <v>42824</v>
      </c>
      <c r="I891" s="3340">
        <v>42825</v>
      </c>
      <c r="J891" s="3324"/>
    </row>
    <row r="892" spans="1:12" s="3327" customFormat="1" ht="13.5" customHeight="1">
      <c r="A892" s="3354" t="s">
        <v>3151</v>
      </c>
      <c r="B892" s="3331" t="s">
        <v>3128</v>
      </c>
      <c r="C892" s="3331" t="s">
        <v>3768</v>
      </c>
      <c r="D892" s="3331"/>
      <c r="E892" s="3332">
        <v>48.48</v>
      </c>
      <c r="F892" s="3332">
        <v>400</v>
      </c>
      <c r="G892" s="3333">
        <v>42826</v>
      </c>
      <c r="H892" s="3333">
        <v>43130</v>
      </c>
      <c r="I892" s="3333">
        <v>43190</v>
      </c>
      <c r="J892" s="3324"/>
      <c r="K892" s="3334">
        <f>E892</f>
        <v>48.48</v>
      </c>
      <c r="L892" s="3334">
        <f>F892/30</f>
        <v>13.333333333333334</v>
      </c>
    </row>
    <row r="893" spans="1:12" s="3327" customFormat="1" ht="13.5" customHeight="1">
      <c r="A893" s="3354"/>
      <c r="B893" s="3336" t="s">
        <v>3128</v>
      </c>
      <c r="C893" s="3336" t="s">
        <v>3769</v>
      </c>
      <c r="D893" s="3336"/>
      <c r="E893" s="3339">
        <v>53.14</v>
      </c>
      <c r="F893" s="3339">
        <v>380</v>
      </c>
      <c r="G893" s="3340">
        <v>42461</v>
      </c>
      <c r="H893" s="3340">
        <v>42520</v>
      </c>
      <c r="I893" s="3340">
        <v>42825</v>
      </c>
      <c r="J893" s="3324"/>
    </row>
    <row r="894" spans="1:12" s="3327" customFormat="1" ht="13.5" customHeight="1">
      <c r="A894" s="3354"/>
      <c r="B894" s="3336" t="s">
        <v>3128</v>
      </c>
      <c r="C894" s="3336" t="s">
        <v>3769</v>
      </c>
      <c r="D894" s="3336"/>
      <c r="E894" s="3339">
        <v>53.14</v>
      </c>
      <c r="F894" s="3339">
        <v>380</v>
      </c>
      <c r="G894" s="3340">
        <v>42522</v>
      </c>
      <c r="H894" s="3340">
        <v>42824</v>
      </c>
      <c r="I894" s="3340">
        <v>42825</v>
      </c>
      <c r="J894" s="3324"/>
    </row>
    <row r="895" spans="1:12" s="3327" customFormat="1" ht="13.5" customHeight="1">
      <c r="A895" s="3354"/>
      <c r="B895" s="3331" t="s">
        <v>3128</v>
      </c>
      <c r="C895" s="3331" t="s">
        <v>3769</v>
      </c>
      <c r="D895" s="3331"/>
      <c r="E895" s="3332">
        <v>53.14</v>
      </c>
      <c r="F895" s="3332">
        <v>400</v>
      </c>
      <c r="G895" s="3333">
        <v>42826</v>
      </c>
      <c r="H895" s="3333">
        <v>42983</v>
      </c>
      <c r="I895" s="3333">
        <v>43190</v>
      </c>
      <c r="J895" s="3324"/>
      <c r="K895" s="3334">
        <f t="shared" ref="K895:K896" si="47">E895</f>
        <v>53.14</v>
      </c>
      <c r="L895" s="3334">
        <f t="shared" ref="L895:L896" si="48">F895/30</f>
        <v>13.333333333333334</v>
      </c>
    </row>
    <row r="896" spans="1:12" s="3327" customFormat="1" ht="13.5" customHeight="1">
      <c r="A896" s="3354" t="s">
        <v>3151</v>
      </c>
      <c r="B896" s="3331" t="s">
        <v>3128</v>
      </c>
      <c r="C896" s="3331" t="s">
        <v>3769</v>
      </c>
      <c r="D896" s="3331"/>
      <c r="E896" s="3332">
        <v>53.14</v>
      </c>
      <c r="F896" s="3332">
        <v>400</v>
      </c>
      <c r="G896" s="3333">
        <v>42984</v>
      </c>
      <c r="H896" s="3333">
        <v>43130</v>
      </c>
      <c r="I896" s="3333">
        <v>43190</v>
      </c>
      <c r="J896" s="3324"/>
      <c r="K896" s="3334">
        <f t="shared" si="47"/>
        <v>53.14</v>
      </c>
      <c r="L896" s="3334">
        <f t="shared" si="48"/>
        <v>13.333333333333334</v>
      </c>
    </row>
    <row r="897" spans="1:12" s="3327" customFormat="1" ht="13.5" customHeight="1">
      <c r="A897" s="3354"/>
      <c r="B897" s="3336" t="s">
        <v>3128</v>
      </c>
      <c r="C897" s="3356" t="s">
        <v>3770</v>
      </c>
      <c r="D897" s="3336"/>
      <c r="E897" s="3339">
        <v>38.47</v>
      </c>
      <c r="F897" s="3339">
        <v>370</v>
      </c>
      <c r="G897" s="3340">
        <v>42461</v>
      </c>
      <c r="H897" s="3340">
        <v>42824</v>
      </c>
      <c r="I897" s="3340">
        <v>42825</v>
      </c>
      <c r="J897" s="3324"/>
    </row>
    <row r="898" spans="1:12" s="3327" customFormat="1" ht="13.5" customHeight="1">
      <c r="A898" s="3354"/>
      <c r="B898" s="3331" t="s">
        <v>3128</v>
      </c>
      <c r="C898" s="3357" t="s">
        <v>3770</v>
      </c>
      <c r="D898" s="3331"/>
      <c r="E898" s="3332">
        <v>38.47</v>
      </c>
      <c r="F898" s="3332">
        <v>400</v>
      </c>
      <c r="G898" s="3333">
        <v>42826</v>
      </c>
      <c r="H898" s="3333">
        <v>43038</v>
      </c>
      <c r="I898" s="3333">
        <v>43190</v>
      </c>
      <c r="J898" s="3324"/>
      <c r="K898" s="3334">
        <f t="shared" ref="K898:K899" si="49">E898</f>
        <v>38.47</v>
      </c>
      <c r="L898" s="3334">
        <f t="shared" ref="L898:L899" si="50">F898/30</f>
        <v>13.333333333333334</v>
      </c>
    </row>
    <row r="899" spans="1:12" s="3327" customFormat="1" ht="13.5" customHeight="1">
      <c r="A899" s="3354" t="s">
        <v>3151</v>
      </c>
      <c r="B899" s="3331" t="s">
        <v>3128</v>
      </c>
      <c r="C899" s="3358" t="s">
        <v>3771</v>
      </c>
      <c r="D899" s="3331"/>
      <c r="E899" s="3332">
        <v>38.47</v>
      </c>
      <c r="F899" s="3332">
        <v>400</v>
      </c>
      <c r="G899" s="3333">
        <v>43040</v>
      </c>
      <c r="H899" s="3333">
        <v>43130</v>
      </c>
      <c r="I899" s="3333">
        <v>43190</v>
      </c>
      <c r="J899" s="3324"/>
      <c r="K899" s="3334">
        <f t="shared" si="49"/>
        <v>38.47</v>
      </c>
      <c r="L899" s="3334">
        <f t="shared" si="50"/>
        <v>13.333333333333334</v>
      </c>
    </row>
    <row r="900" spans="1:12" s="3327" customFormat="1" ht="13.5" customHeight="1">
      <c r="A900" s="3354"/>
      <c r="B900" s="3336" t="s">
        <v>3128</v>
      </c>
      <c r="C900" s="3336" t="s">
        <v>3772</v>
      </c>
      <c r="D900" s="3336"/>
      <c r="E900" s="3339">
        <v>34.65</v>
      </c>
      <c r="F900" s="3339">
        <v>370</v>
      </c>
      <c r="G900" s="3340">
        <v>42461</v>
      </c>
      <c r="H900" s="3340">
        <v>42734</v>
      </c>
      <c r="I900" s="3340">
        <v>42825</v>
      </c>
      <c r="J900" s="3324"/>
    </row>
    <row r="901" spans="1:12" s="3327" customFormat="1" ht="13.5" customHeight="1">
      <c r="A901" s="3354"/>
      <c r="B901" s="3336" t="s">
        <v>3128</v>
      </c>
      <c r="C901" s="3336" t="s">
        <v>3773</v>
      </c>
      <c r="D901" s="3336"/>
      <c r="E901" s="3339">
        <v>34.65</v>
      </c>
      <c r="F901" s="3339">
        <v>370</v>
      </c>
      <c r="G901" s="3340">
        <v>42736</v>
      </c>
      <c r="H901" s="3340">
        <v>42824</v>
      </c>
      <c r="I901" s="3340">
        <v>42825</v>
      </c>
      <c r="J901" s="3324"/>
    </row>
    <row r="902" spans="1:12" s="3327" customFormat="1" ht="13.5" customHeight="1">
      <c r="A902" s="3354"/>
      <c r="B902" s="3331" t="s">
        <v>3128</v>
      </c>
      <c r="C902" s="3331" t="s">
        <v>3773</v>
      </c>
      <c r="D902" s="3331"/>
      <c r="E902" s="3332">
        <v>34.65</v>
      </c>
      <c r="F902" s="3332">
        <v>400</v>
      </c>
      <c r="G902" s="3333">
        <v>42826</v>
      </c>
      <c r="H902" s="3333">
        <v>42983</v>
      </c>
      <c r="I902" s="3333">
        <v>43190</v>
      </c>
      <c r="J902" s="3324"/>
      <c r="K902" s="3334">
        <f t="shared" ref="K902:K903" si="51">E902</f>
        <v>34.65</v>
      </c>
      <c r="L902" s="3334">
        <f t="shared" ref="L902:L903" si="52">F902/30</f>
        <v>13.333333333333334</v>
      </c>
    </row>
    <row r="903" spans="1:12" s="3327" customFormat="1" ht="13.5" customHeight="1">
      <c r="A903" s="3354" t="s">
        <v>3151</v>
      </c>
      <c r="B903" s="3331" t="s">
        <v>3128</v>
      </c>
      <c r="C903" s="3331" t="s">
        <v>3773</v>
      </c>
      <c r="D903" s="3331"/>
      <c r="E903" s="3332">
        <v>34.65</v>
      </c>
      <c r="F903" s="3332">
        <v>400</v>
      </c>
      <c r="G903" s="3333">
        <v>42984</v>
      </c>
      <c r="H903" s="3333">
        <v>43130</v>
      </c>
      <c r="I903" s="3333">
        <v>43190</v>
      </c>
      <c r="J903" s="3324"/>
      <c r="K903" s="3334">
        <f t="shared" si="51"/>
        <v>34.65</v>
      </c>
      <c r="L903" s="3334">
        <f t="shared" si="52"/>
        <v>13.333333333333334</v>
      </c>
    </row>
    <row r="904" spans="1:12" s="3327" customFormat="1" ht="13.5" customHeight="1">
      <c r="A904" s="3355"/>
      <c r="B904" s="3336" t="s">
        <v>3128</v>
      </c>
      <c r="C904" s="3336" t="s">
        <v>3774</v>
      </c>
      <c r="D904" s="3336" t="s">
        <v>3775</v>
      </c>
      <c r="E904" s="3339">
        <v>113.4</v>
      </c>
      <c r="F904" s="3339">
        <v>330</v>
      </c>
      <c r="G904" s="3340">
        <v>41000</v>
      </c>
      <c r="H904" s="3340">
        <v>41363</v>
      </c>
      <c r="I904" s="3340">
        <v>41364</v>
      </c>
      <c r="J904" s="3336"/>
    </row>
    <row r="905" spans="1:12" s="3327" customFormat="1" ht="13.5" customHeight="1">
      <c r="A905" s="3323"/>
      <c r="B905" s="3324" t="s">
        <v>3128</v>
      </c>
      <c r="C905" s="3324" t="s">
        <v>3774</v>
      </c>
      <c r="D905" s="3324" t="s">
        <v>3776</v>
      </c>
      <c r="E905" s="3325">
        <v>130.4</v>
      </c>
      <c r="F905" s="3325">
        <v>300</v>
      </c>
      <c r="G905" s="3326">
        <v>41730</v>
      </c>
      <c r="H905" s="3326">
        <v>42093</v>
      </c>
      <c r="I905" s="3326">
        <v>42094</v>
      </c>
      <c r="J905" s="3324"/>
    </row>
    <row r="906" spans="1:12" s="3327" customFormat="1" ht="13.5" customHeight="1">
      <c r="A906" s="3323"/>
      <c r="B906" s="3336" t="s">
        <v>3128</v>
      </c>
      <c r="C906" s="3336" t="s">
        <v>3774</v>
      </c>
      <c r="D906" s="3336" t="s">
        <v>3776</v>
      </c>
      <c r="E906" s="3339">
        <v>130.4</v>
      </c>
      <c r="F906" s="3339">
        <v>330</v>
      </c>
      <c r="G906" s="3340">
        <v>42095</v>
      </c>
      <c r="H906" s="3340">
        <v>42459</v>
      </c>
      <c r="I906" s="3340">
        <v>42460</v>
      </c>
      <c r="J906" s="3324"/>
    </row>
    <row r="907" spans="1:12" s="3327" customFormat="1" ht="13.5" customHeight="1">
      <c r="A907" s="3354"/>
      <c r="B907" s="3324" t="s">
        <v>3128</v>
      </c>
      <c r="C907" s="3324" t="s">
        <v>3777</v>
      </c>
      <c r="D907" s="3324" t="s">
        <v>3778</v>
      </c>
      <c r="E907" s="3325">
        <v>65.2</v>
      </c>
      <c r="F907" s="3325">
        <v>330</v>
      </c>
      <c r="G907" s="3326">
        <v>41000</v>
      </c>
      <c r="H907" s="3326">
        <v>41363</v>
      </c>
      <c r="I907" s="3326">
        <v>41364</v>
      </c>
      <c r="J907" s="3324"/>
    </row>
    <row r="908" spans="1:12" s="3327" customFormat="1" ht="13.5" customHeight="1">
      <c r="A908" s="3323"/>
      <c r="B908" s="3324" t="s">
        <v>3128</v>
      </c>
      <c r="C908" s="3324" t="s">
        <v>3777</v>
      </c>
      <c r="D908" s="3324" t="s">
        <v>3779</v>
      </c>
      <c r="E908" s="3325">
        <v>75</v>
      </c>
      <c r="F908" s="3325">
        <v>300</v>
      </c>
      <c r="G908" s="3326">
        <v>41730</v>
      </c>
      <c r="H908" s="3326">
        <v>42093</v>
      </c>
      <c r="I908" s="3326">
        <v>42094</v>
      </c>
      <c r="J908" s="3324"/>
    </row>
    <row r="909" spans="1:12" s="3327" customFormat="1" ht="13.5" customHeight="1">
      <c r="A909" s="3323"/>
      <c r="B909" s="3336" t="s">
        <v>3128</v>
      </c>
      <c r="C909" s="3336" t="s">
        <v>3777</v>
      </c>
      <c r="D909" s="3336" t="s">
        <v>3779</v>
      </c>
      <c r="E909" s="3339">
        <v>75</v>
      </c>
      <c r="F909" s="3339">
        <v>330</v>
      </c>
      <c r="G909" s="3340">
        <v>42095</v>
      </c>
      <c r="H909" s="3340">
        <v>42459</v>
      </c>
      <c r="I909" s="3340">
        <v>42460</v>
      </c>
      <c r="J909" s="3324"/>
    </row>
    <row r="910" spans="1:12" s="3327" customFormat="1" ht="13.5" customHeight="1">
      <c r="A910" s="3354"/>
      <c r="B910" s="3336" t="s">
        <v>3128</v>
      </c>
      <c r="C910" s="3336" t="s">
        <v>3780</v>
      </c>
      <c r="D910" s="3336" t="s">
        <v>3779</v>
      </c>
      <c r="E910" s="3339">
        <v>48.82</v>
      </c>
      <c r="F910" s="3339">
        <v>370</v>
      </c>
      <c r="G910" s="3340">
        <v>42461</v>
      </c>
      <c r="H910" s="3340">
        <v>42824</v>
      </c>
      <c r="I910" s="3340">
        <v>42825</v>
      </c>
      <c r="J910" s="3324"/>
    </row>
    <row r="911" spans="1:12" s="3327" customFormat="1" ht="13.5" customHeight="1">
      <c r="A911" s="3354"/>
      <c r="B911" s="3331" t="s">
        <v>3128</v>
      </c>
      <c r="C911" s="3331" t="s">
        <v>3780</v>
      </c>
      <c r="D911" s="3331" t="s">
        <v>3779</v>
      </c>
      <c r="E911" s="3332">
        <v>48.82</v>
      </c>
      <c r="F911" s="3332">
        <v>400</v>
      </c>
      <c r="G911" s="3333">
        <v>42826</v>
      </c>
      <c r="H911" s="3333">
        <v>43008</v>
      </c>
      <c r="I911" s="3333">
        <v>43190</v>
      </c>
      <c r="J911" s="3324"/>
      <c r="K911" s="3334">
        <f>E911</f>
        <v>48.82</v>
      </c>
      <c r="L911" s="3334">
        <f>F911/30</f>
        <v>13.333333333333334</v>
      </c>
    </row>
    <row r="912" spans="1:12" s="3327" customFormat="1" ht="13.5" customHeight="1">
      <c r="A912" s="3354" t="s">
        <v>3151</v>
      </c>
      <c r="B912" s="3331" t="s">
        <v>3128</v>
      </c>
      <c r="C912" s="3331" t="s">
        <v>3781</v>
      </c>
      <c r="D912" s="3331" t="s">
        <v>3779</v>
      </c>
      <c r="E912" s="3332">
        <v>48.82</v>
      </c>
      <c r="F912" s="3332">
        <v>400</v>
      </c>
      <c r="G912" s="3333">
        <v>43009</v>
      </c>
      <c r="H912" s="3333">
        <v>43130</v>
      </c>
      <c r="I912" s="3333">
        <v>43190</v>
      </c>
      <c r="J912" s="3324"/>
      <c r="K912" s="3334">
        <f>E912</f>
        <v>48.82</v>
      </c>
      <c r="L912" s="3334">
        <f>F912/30</f>
        <v>13.333333333333334</v>
      </c>
    </row>
    <row r="913" spans="1:12" s="3327" customFormat="1" ht="13.5" customHeight="1">
      <c r="A913" s="3354"/>
      <c r="B913" s="3324" t="s">
        <v>3128</v>
      </c>
      <c r="C913" s="3324" t="s">
        <v>3782</v>
      </c>
      <c r="D913" s="3324" t="s">
        <v>3783</v>
      </c>
      <c r="E913" s="3325">
        <v>79.5</v>
      </c>
      <c r="F913" s="3325">
        <v>330</v>
      </c>
      <c r="G913" s="3326">
        <v>41365</v>
      </c>
      <c r="H913" s="3326">
        <v>41455</v>
      </c>
      <c r="I913" s="3326">
        <v>41455</v>
      </c>
      <c r="J913" s="3324"/>
    </row>
    <row r="914" spans="1:12" s="3327" customFormat="1" ht="13.5" customHeight="1">
      <c r="A914" s="3354"/>
      <c r="B914" s="3324" t="s">
        <v>3128</v>
      </c>
      <c r="C914" s="3324" t="s">
        <v>3784</v>
      </c>
      <c r="D914" s="3324" t="s">
        <v>3785</v>
      </c>
      <c r="E914" s="3325">
        <v>79.5</v>
      </c>
      <c r="F914" s="3325">
        <v>330</v>
      </c>
      <c r="G914" s="3326">
        <v>41711</v>
      </c>
      <c r="H914" s="3326">
        <v>41728</v>
      </c>
      <c r="I914" s="3326">
        <v>41729</v>
      </c>
      <c r="J914" s="3324"/>
    </row>
    <row r="915" spans="1:12" s="3327" customFormat="1" ht="13.5" customHeight="1">
      <c r="A915" s="3354"/>
      <c r="B915" s="3324" t="s">
        <v>3128</v>
      </c>
      <c r="C915" s="3324" t="s">
        <v>3786</v>
      </c>
      <c r="D915" s="3324" t="s">
        <v>3785</v>
      </c>
      <c r="E915" s="3325">
        <v>91.4</v>
      </c>
      <c r="F915" s="3325">
        <v>330</v>
      </c>
      <c r="G915" s="3326">
        <v>41730</v>
      </c>
      <c r="H915" s="3326">
        <v>41850</v>
      </c>
      <c r="I915" s="3326">
        <v>41851</v>
      </c>
      <c r="J915" s="3324"/>
    </row>
    <row r="916" spans="1:12" s="3327" customFormat="1" ht="13.5" customHeight="1">
      <c r="A916" s="3354"/>
      <c r="B916" s="3324" t="s">
        <v>3128</v>
      </c>
      <c r="C916" s="3324" t="s">
        <v>3787</v>
      </c>
      <c r="D916" s="3324" t="s">
        <v>3788</v>
      </c>
      <c r="E916" s="3325">
        <v>51.7</v>
      </c>
      <c r="F916" s="3325">
        <v>330</v>
      </c>
      <c r="G916" s="3326">
        <v>41852</v>
      </c>
      <c r="H916" s="3326">
        <v>41912</v>
      </c>
      <c r="I916" s="3326">
        <v>42094</v>
      </c>
      <c r="J916" s="3324"/>
    </row>
    <row r="917" spans="1:12" s="3327" customFormat="1" ht="13.5" customHeight="1">
      <c r="A917" s="3323"/>
      <c r="B917" s="3324" t="s">
        <v>3128</v>
      </c>
      <c r="C917" s="3324" t="s">
        <v>3787</v>
      </c>
      <c r="D917" s="3324" t="s">
        <v>3788</v>
      </c>
      <c r="E917" s="3325">
        <v>51.7</v>
      </c>
      <c r="F917" s="3325">
        <v>330</v>
      </c>
      <c r="G917" s="3326">
        <v>41913</v>
      </c>
      <c r="H917" s="3326">
        <v>42093</v>
      </c>
      <c r="I917" s="3326">
        <v>42094</v>
      </c>
      <c r="J917" s="3324"/>
    </row>
    <row r="918" spans="1:12" s="3327" customFormat="1" ht="13.5" customHeight="1">
      <c r="A918" s="3323"/>
      <c r="B918" s="3336" t="s">
        <v>3128</v>
      </c>
      <c r="C918" s="3336" t="s">
        <v>3789</v>
      </c>
      <c r="D918" s="3336" t="s">
        <v>3788</v>
      </c>
      <c r="E918" s="3339">
        <v>51.7</v>
      </c>
      <c r="F918" s="3339">
        <v>350</v>
      </c>
      <c r="G918" s="3340">
        <v>42095</v>
      </c>
      <c r="H918" s="3340">
        <v>42459</v>
      </c>
      <c r="I918" s="3340">
        <v>42460</v>
      </c>
      <c r="J918" s="3324"/>
    </row>
    <row r="919" spans="1:12" s="3327" customFormat="1" ht="13.5" customHeight="1">
      <c r="A919" s="3323"/>
      <c r="B919" s="3336" t="s">
        <v>3128</v>
      </c>
      <c r="C919" s="3336" t="s">
        <v>3790</v>
      </c>
      <c r="D919" s="3336" t="s">
        <v>3788</v>
      </c>
      <c r="E919" s="3339">
        <v>51.7</v>
      </c>
      <c r="F919" s="3339">
        <v>350</v>
      </c>
      <c r="G919" s="3340">
        <v>42461</v>
      </c>
      <c r="H919" s="3340">
        <v>42824</v>
      </c>
      <c r="I919" s="3340">
        <v>42825</v>
      </c>
      <c r="J919" s="3324"/>
    </row>
    <row r="920" spans="1:12" s="3327" customFormat="1" ht="13.5" customHeight="1">
      <c r="A920" s="3323" t="s">
        <v>3151</v>
      </c>
      <c r="B920" s="3331" t="s">
        <v>3128</v>
      </c>
      <c r="C920" s="3331" t="s">
        <v>3791</v>
      </c>
      <c r="D920" s="3331" t="s">
        <v>3792</v>
      </c>
      <c r="E920" s="3332">
        <v>51.7</v>
      </c>
      <c r="F920" s="3332">
        <v>400</v>
      </c>
      <c r="G920" s="3333">
        <v>42826</v>
      </c>
      <c r="H920" s="3333">
        <v>43130</v>
      </c>
      <c r="I920" s="3333">
        <v>43190</v>
      </c>
      <c r="J920" s="3324"/>
      <c r="K920" s="3334">
        <f>E920</f>
        <v>51.7</v>
      </c>
      <c r="L920" s="3334">
        <f>F920/30</f>
        <v>13.333333333333334</v>
      </c>
    </row>
    <row r="921" spans="1:12" s="3327" customFormat="1" ht="13.5" customHeight="1">
      <c r="A921" s="3323"/>
      <c r="B921" s="3324" t="s">
        <v>3128</v>
      </c>
      <c r="C921" s="3324" t="s">
        <v>3789</v>
      </c>
      <c r="D921" s="3324" t="s">
        <v>3793</v>
      </c>
      <c r="E921" s="3325">
        <v>39.700000000000003</v>
      </c>
      <c r="F921" s="3325">
        <v>330</v>
      </c>
      <c r="G921" s="3326">
        <v>41852</v>
      </c>
      <c r="H921" s="3326">
        <v>42093</v>
      </c>
      <c r="I921" s="3326">
        <v>42094</v>
      </c>
      <c r="J921" s="3324"/>
    </row>
    <row r="922" spans="1:12" s="3327" customFormat="1" ht="13.5" customHeight="1">
      <c r="A922" s="3323"/>
      <c r="B922" s="3336" t="s">
        <v>3128</v>
      </c>
      <c r="C922" s="3336" t="s">
        <v>3787</v>
      </c>
      <c r="D922" s="3336" t="s">
        <v>3793</v>
      </c>
      <c r="E922" s="3339">
        <v>39.700000000000003</v>
      </c>
      <c r="F922" s="3339">
        <v>330</v>
      </c>
      <c r="G922" s="3340">
        <v>42095</v>
      </c>
      <c r="H922" s="3340">
        <v>42154</v>
      </c>
      <c r="I922" s="3340">
        <v>42155</v>
      </c>
      <c r="J922" s="3324"/>
    </row>
    <row r="923" spans="1:12" s="3327" customFormat="1" ht="13.5" customHeight="1">
      <c r="A923" s="3323"/>
      <c r="B923" s="3336" t="s">
        <v>3128</v>
      </c>
      <c r="C923" s="3336" t="s">
        <v>3780</v>
      </c>
      <c r="D923" s="3336" t="s">
        <v>3793</v>
      </c>
      <c r="E923" s="3339">
        <v>39.700000000000003</v>
      </c>
      <c r="F923" s="3339">
        <v>330</v>
      </c>
      <c r="G923" s="3340">
        <v>42156</v>
      </c>
      <c r="H923" s="3340">
        <v>42459</v>
      </c>
      <c r="I923" s="3340">
        <v>42460</v>
      </c>
      <c r="J923" s="3324"/>
    </row>
    <row r="924" spans="1:12" s="3327" customFormat="1" ht="13.5" customHeight="1">
      <c r="A924" s="3355"/>
      <c r="B924" s="3336" t="s">
        <v>3128</v>
      </c>
      <c r="C924" s="3336" t="s">
        <v>3794</v>
      </c>
      <c r="D924" s="3336" t="s">
        <v>3795</v>
      </c>
      <c r="E924" s="3339">
        <v>116</v>
      </c>
      <c r="F924" s="3339">
        <v>330</v>
      </c>
      <c r="G924" s="3340">
        <v>41223</v>
      </c>
      <c r="H924" s="3340">
        <v>41363</v>
      </c>
      <c r="I924" s="3340">
        <v>41364</v>
      </c>
      <c r="J924" s="3336"/>
    </row>
    <row r="925" spans="1:12" s="3327" customFormat="1" ht="13.5" customHeight="1">
      <c r="A925" s="3323"/>
      <c r="B925" s="3324" t="s">
        <v>3128</v>
      </c>
      <c r="C925" s="3324" t="s">
        <v>3794</v>
      </c>
      <c r="D925" s="3324" t="s">
        <v>3796</v>
      </c>
      <c r="E925" s="3325">
        <v>45.9</v>
      </c>
      <c r="F925" s="3325">
        <v>290</v>
      </c>
      <c r="G925" s="3326">
        <v>41699</v>
      </c>
      <c r="H925" s="3326">
        <v>42003</v>
      </c>
      <c r="I925" s="3326">
        <v>42094</v>
      </c>
      <c r="J925" s="3324"/>
    </row>
    <row r="926" spans="1:12" s="3327" customFormat="1" ht="13.5" customHeight="1">
      <c r="A926" s="3323"/>
      <c r="B926" s="3324" t="s">
        <v>3128</v>
      </c>
      <c r="C926" s="3324" t="s">
        <v>3794</v>
      </c>
      <c r="D926" s="3324" t="s">
        <v>3796</v>
      </c>
      <c r="E926" s="3325">
        <v>45.9</v>
      </c>
      <c r="F926" s="3325">
        <v>300</v>
      </c>
      <c r="G926" s="3326">
        <v>42005</v>
      </c>
      <c r="H926" s="3326">
        <v>42093</v>
      </c>
      <c r="I926" s="3326">
        <v>42094</v>
      </c>
      <c r="J926" s="3324"/>
    </row>
    <row r="927" spans="1:12" s="3327" customFormat="1" ht="13.5" customHeight="1">
      <c r="A927" s="3323"/>
      <c r="B927" s="3336" t="s">
        <v>3128</v>
      </c>
      <c r="C927" s="3336" t="s">
        <v>3794</v>
      </c>
      <c r="D927" s="3336" t="s">
        <v>3796</v>
      </c>
      <c r="E927" s="3339">
        <v>45.9</v>
      </c>
      <c r="F927" s="3339">
        <v>300</v>
      </c>
      <c r="G927" s="3340">
        <v>42095</v>
      </c>
      <c r="H927" s="3340">
        <v>42459</v>
      </c>
      <c r="I927" s="3340">
        <v>42460</v>
      </c>
      <c r="J927" s="3324"/>
    </row>
    <row r="928" spans="1:12" s="3327" customFormat="1" ht="13.5" customHeight="1">
      <c r="A928" s="3323"/>
      <c r="B928" s="3336" t="s">
        <v>3128</v>
      </c>
      <c r="C928" s="3336" t="s">
        <v>3794</v>
      </c>
      <c r="D928" s="3336" t="s">
        <v>3796</v>
      </c>
      <c r="E928" s="3339">
        <v>45.9</v>
      </c>
      <c r="F928" s="3339">
        <v>310</v>
      </c>
      <c r="G928" s="3340">
        <v>42461</v>
      </c>
      <c r="H928" s="3340">
        <v>42824</v>
      </c>
      <c r="I928" s="3340">
        <v>42825</v>
      </c>
      <c r="J928" s="3324"/>
    </row>
    <row r="929" spans="1:12" s="3327" customFormat="1" ht="13.5" customHeight="1">
      <c r="A929" s="3323"/>
      <c r="B929" s="3331" t="s">
        <v>3128</v>
      </c>
      <c r="C929" s="3331" t="s">
        <v>3794</v>
      </c>
      <c r="D929" s="3331" t="s">
        <v>3797</v>
      </c>
      <c r="E929" s="3332">
        <v>45.9</v>
      </c>
      <c r="F929" s="3332">
        <v>320</v>
      </c>
      <c r="G929" s="3333">
        <v>42826</v>
      </c>
      <c r="H929" s="3333">
        <v>42983</v>
      </c>
      <c r="I929" s="3333">
        <v>43190</v>
      </c>
      <c r="J929" s="3324"/>
      <c r="K929" s="3334">
        <f t="shared" ref="K929:K930" si="53">E929</f>
        <v>45.9</v>
      </c>
      <c r="L929" s="3334">
        <f t="shared" ref="L929:L930" si="54">F929/30</f>
        <v>10.666666666666666</v>
      </c>
    </row>
    <row r="930" spans="1:12" s="3327" customFormat="1" ht="13.5" customHeight="1">
      <c r="A930" s="3323" t="s">
        <v>3151</v>
      </c>
      <c r="B930" s="3331" t="s">
        <v>3128</v>
      </c>
      <c r="C930" s="3331" t="s">
        <v>3794</v>
      </c>
      <c r="D930" s="3331" t="s">
        <v>3797</v>
      </c>
      <c r="E930" s="3332">
        <v>45.9</v>
      </c>
      <c r="F930" s="3332">
        <v>320</v>
      </c>
      <c r="G930" s="3333">
        <v>42984</v>
      </c>
      <c r="H930" s="3333">
        <v>43130</v>
      </c>
      <c r="I930" s="3333">
        <v>43190</v>
      </c>
      <c r="J930" s="3324"/>
      <c r="K930" s="3334">
        <f t="shared" si="53"/>
        <v>45.9</v>
      </c>
      <c r="L930" s="3334">
        <f t="shared" si="54"/>
        <v>10.666666666666666</v>
      </c>
    </row>
    <row r="931" spans="1:12" s="3327" customFormat="1" ht="13.5" customHeight="1">
      <c r="A931" s="3323"/>
      <c r="B931" s="3324" t="s">
        <v>3128</v>
      </c>
      <c r="C931" s="3324" t="s">
        <v>3798</v>
      </c>
      <c r="D931" s="3324" t="s">
        <v>3799</v>
      </c>
      <c r="E931" s="3325">
        <v>51.4</v>
      </c>
      <c r="F931" s="3325">
        <v>350</v>
      </c>
      <c r="G931" s="3326">
        <v>41699</v>
      </c>
      <c r="H931" s="3326">
        <v>42093</v>
      </c>
      <c r="I931" s="3326">
        <v>42094</v>
      </c>
      <c r="J931" s="3324"/>
    </row>
    <row r="932" spans="1:12" s="3327" customFormat="1" ht="13.5" customHeight="1">
      <c r="A932" s="3323"/>
      <c r="B932" s="3336" t="s">
        <v>3128</v>
      </c>
      <c r="C932" s="3336" t="s">
        <v>3798</v>
      </c>
      <c r="D932" s="3336" t="s">
        <v>3799</v>
      </c>
      <c r="E932" s="3339">
        <v>51.4</v>
      </c>
      <c r="F932" s="3339">
        <v>355</v>
      </c>
      <c r="G932" s="3340">
        <v>42095</v>
      </c>
      <c r="H932" s="3340">
        <v>42187</v>
      </c>
      <c r="I932" s="3340">
        <v>42460</v>
      </c>
      <c r="J932" s="3324"/>
    </row>
    <row r="933" spans="1:12" s="3327" customFormat="1" ht="13.5" customHeight="1">
      <c r="A933" s="3354"/>
      <c r="B933" s="3336" t="s">
        <v>3128</v>
      </c>
      <c r="C933" s="3336" t="s">
        <v>3798</v>
      </c>
      <c r="D933" s="3336" t="s">
        <v>3799</v>
      </c>
      <c r="E933" s="3339">
        <v>51.4</v>
      </c>
      <c r="F933" s="3339">
        <v>355</v>
      </c>
      <c r="G933" s="3340">
        <v>42188</v>
      </c>
      <c r="H933" s="3340">
        <v>42338</v>
      </c>
      <c r="I933" s="3340">
        <v>42460</v>
      </c>
      <c r="J933" s="3324"/>
    </row>
    <row r="934" spans="1:12" s="3327" customFormat="1" ht="13.5" customHeight="1">
      <c r="A934" s="3354"/>
      <c r="B934" s="3336" t="s">
        <v>3128</v>
      </c>
      <c r="C934" s="3336" t="s">
        <v>3800</v>
      </c>
      <c r="D934" s="3336" t="s">
        <v>3799</v>
      </c>
      <c r="E934" s="3339">
        <v>51.4</v>
      </c>
      <c r="F934" s="3339">
        <v>355</v>
      </c>
      <c r="G934" s="3340">
        <v>42339</v>
      </c>
      <c r="H934" s="3340">
        <v>42459</v>
      </c>
      <c r="I934" s="3340">
        <v>42460</v>
      </c>
      <c r="J934" s="3324"/>
    </row>
    <row r="935" spans="1:12" s="3327" customFormat="1" ht="13.5" customHeight="1">
      <c r="A935" s="3354"/>
      <c r="B935" s="3336" t="s">
        <v>3128</v>
      </c>
      <c r="C935" s="3336" t="s">
        <v>3800</v>
      </c>
      <c r="D935" s="3336" t="s">
        <v>3799</v>
      </c>
      <c r="E935" s="3338">
        <v>51.41</v>
      </c>
      <c r="F935" s="3339">
        <v>375</v>
      </c>
      <c r="G935" s="3340">
        <v>42461</v>
      </c>
      <c r="H935" s="3340">
        <v>42520</v>
      </c>
      <c r="I935" s="3340">
        <v>42825</v>
      </c>
      <c r="J935" s="3324"/>
    </row>
    <row r="936" spans="1:12" s="3327" customFormat="1" ht="13.5" customHeight="1">
      <c r="A936" s="3354"/>
      <c r="B936" s="3336" t="s">
        <v>3128</v>
      </c>
      <c r="C936" s="3336" t="s">
        <v>3801</v>
      </c>
      <c r="D936" s="3336" t="s">
        <v>3799</v>
      </c>
      <c r="E936" s="3339">
        <v>51.4</v>
      </c>
      <c r="F936" s="3339">
        <v>375</v>
      </c>
      <c r="G936" s="3340">
        <v>42522</v>
      </c>
      <c r="H936" s="3340">
        <v>42824</v>
      </c>
      <c r="I936" s="3340">
        <v>42825</v>
      </c>
      <c r="J936" s="3324"/>
    </row>
    <row r="937" spans="1:12" s="3327" customFormat="1" ht="13.5" customHeight="1">
      <c r="A937" s="3354" t="s">
        <v>3151</v>
      </c>
      <c r="B937" s="3331" t="s">
        <v>3128</v>
      </c>
      <c r="C937" s="3331" t="s">
        <v>3802</v>
      </c>
      <c r="D937" s="3331" t="s">
        <v>3803</v>
      </c>
      <c r="E937" s="3332">
        <v>51.4</v>
      </c>
      <c r="F937" s="3332">
        <v>400</v>
      </c>
      <c r="G937" s="3333">
        <v>42826</v>
      </c>
      <c r="H937" s="3333">
        <v>43130</v>
      </c>
      <c r="I937" s="3333">
        <v>43190</v>
      </c>
      <c r="J937" s="3324"/>
      <c r="K937" s="3334">
        <f>E937</f>
        <v>51.4</v>
      </c>
      <c r="L937" s="3334">
        <f>F937/30</f>
        <v>13.333333333333334</v>
      </c>
    </row>
    <row r="938" spans="1:12" s="3327" customFormat="1" ht="13.5" customHeight="1">
      <c r="A938" s="3355"/>
      <c r="B938" s="3336" t="s">
        <v>3128</v>
      </c>
      <c r="C938" s="3336" t="s">
        <v>3804</v>
      </c>
      <c r="D938" s="3336" t="s">
        <v>3805</v>
      </c>
      <c r="E938" s="3339">
        <v>76</v>
      </c>
      <c r="F938" s="3339">
        <v>315</v>
      </c>
      <c r="G938" s="3340">
        <v>41136</v>
      </c>
      <c r="H938" s="3340">
        <v>41363</v>
      </c>
      <c r="I938" s="3340">
        <v>40999</v>
      </c>
      <c r="J938" s="3336"/>
    </row>
    <row r="939" spans="1:12" s="3327" customFormat="1" ht="13.5" customHeight="1">
      <c r="A939" s="3354"/>
      <c r="B939" s="3324" t="s">
        <v>3128</v>
      </c>
      <c r="C939" s="3324" t="s">
        <v>3353</v>
      </c>
      <c r="D939" s="3324" t="s">
        <v>3806</v>
      </c>
      <c r="E939" s="3325">
        <v>40.5</v>
      </c>
      <c r="F939" s="3325">
        <v>315</v>
      </c>
      <c r="G939" s="3326">
        <v>41487</v>
      </c>
      <c r="H939" s="3326">
        <v>41516</v>
      </c>
      <c r="I939" s="3326">
        <v>41729</v>
      </c>
      <c r="J939" s="3324"/>
    </row>
    <row r="940" spans="1:12" s="3327" customFormat="1" ht="13.5" customHeight="1">
      <c r="A940" s="3323"/>
      <c r="B940" s="3324" t="s">
        <v>3128</v>
      </c>
      <c r="C940" s="3324" t="s">
        <v>3534</v>
      </c>
      <c r="D940" s="3324" t="s">
        <v>3807</v>
      </c>
      <c r="E940" s="3325">
        <v>44.9</v>
      </c>
      <c r="F940" s="3325">
        <v>340</v>
      </c>
      <c r="G940" s="3326">
        <v>41699</v>
      </c>
      <c r="H940" s="3326">
        <v>42003</v>
      </c>
      <c r="I940" s="3326">
        <v>42094</v>
      </c>
      <c r="J940" s="3324"/>
    </row>
    <row r="941" spans="1:12" s="3327" customFormat="1" ht="13.5" customHeight="1">
      <c r="A941" s="3323"/>
      <c r="B941" s="3324" t="s">
        <v>3128</v>
      </c>
      <c r="C941" s="3324" t="s">
        <v>3534</v>
      </c>
      <c r="D941" s="3324" t="s">
        <v>3807</v>
      </c>
      <c r="E941" s="3325">
        <v>44.9</v>
      </c>
      <c r="F941" s="3325">
        <v>350</v>
      </c>
      <c r="G941" s="3326">
        <v>42005</v>
      </c>
      <c r="H941" s="3326">
        <v>42093</v>
      </c>
      <c r="I941" s="3326">
        <v>42094</v>
      </c>
      <c r="J941" s="3324"/>
    </row>
    <row r="942" spans="1:12" s="3327" customFormat="1" ht="13.5" customHeight="1">
      <c r="A942" s="3323"/>
      <c r="B942" s="3336" t="s">
        <v>3128</v>
      </c>
      <c r="C942" s="3336" t="s">
        <v>3534</v>
      </c>
      <c r="D942" s="3336" t="s">
        <v>3807</v>
      </c>
      <c r="E942" s="3339">
        <v>44.9</v>
      </c>
      <c r="F942" s="3339">
        <v>350</v>
      </c>
      <c r="G942" s="3340">
        <v>42095</v>
      </c>
      <c r="H942" s="3340">
        <v>42459</v>
      </c>
      <c r="I942" s="3340">
        <v>42460</v>
      </c>
      <c r="J942" s="3324"/>
    </row>
    <row r="943" spans="1:12" s="3327" customFormat="1" ht="13.5" customHeight="1">
      <c r="A943" s="3323"/>
      <c r="B943" s="3336" t="s">
        <v>3128</v>
      </c>
      <c r="C943" s="3336" t="s">
        <v>3534</v>
      </c>
      <c r="D943" s="3336" t="s">
        <v>3807</v>
      </c>
      <c r="E943" s="3339">
        <v>44.9</v>
      </c>
      <c r="F943" s="3339">
        <v>370</v>
      </c>
      <c r="G943" s="3340">
        <v>42461</v>
      </c>
      <c r="H943" s="3340">
        <v>42824</v>
      </c>
      <c r="I943" s="3340">
        <v>42825</v>
      </c>
      <c r="J943" s="3324"/>
    </row>
    <row r="944" spans="1:12" s="3327" customFormat="1" ht="13.5" customHeight="1">
      <c r="A944" s="3323" t="s">
        <v>3151</v>
      </c>
      <c r="B944" s="3331" t="s">
        <v>3128</v>
      </c>
      <c r="C944" s="3331" t="s">
        <v>3534</v>
      </c>
      <c r="D944" s="3331" t="s">
        <v>3808</v>
      </c>
      <c r="E944" s="3332">
        <v>44.9</v>
      </c>
      <c r="F944" s="3332">
        <v>400</v>
      </c>
      <c r="G944" s="3333">
        <v>42826</v>
      </c>
      <c r="H944" s="3333">
        <v>43130</v>
      </c>
      <c r="I944" s="3333">
        <v>43190</v>
      </c>
      <c r="J944" s="3324"/>
      <c r="K944" s="3334">
        <f>E944</f>
        <v>44.9</v>
      </c>
      <c r="L944" s="3334">
        <f>F944/30</f>
        <v>13.333333333333334</v>
      </c>
    </row>
    <row r="945" spans="1:12" s="3327" customFormat="1" ht="13.5" customHeight="1">
      <c r="A945" s="3323"/>
      <c r="B945" s="3324" t="s">
        <v>3128</v>
      </c>
      <c r="C945" s="3324" t="s">
        <v>3809</v>
      </c>
      <c r="D945" s="3324" t="s">
        <v>3810</v>
      </c>
      <c r="E945" s="3325">
        <v>28.8</v>
      </c>
      <c r="F945" s="3325">
        <v>160</v>
      </c>
      <c r="G945" s="3326">
        <v>41699</v>
      </c>
      <c r="H945" s="3326">
        <v>42093</v>
      </c>
      <c r="I945" s="3326">
        <v>42094</v>
      </c>
      <c r="J945" s="3324"/>
    </row>
    <row r="946" spans="1:12" s="3327" customFormat="1" ht="13.5" customHeight="1">
      <c r="A946" s="3323"/>
      <c r="B946" s="3336" t="s">
        <v>3128</v>
      </c>
      <c r="C946" s="3336" t="s">
        <v>3809</v>
      </c>
      <c r="D946" s="3336" t="s">
        <v>3810</v>
      </c>
      <c r="E946" s="3339">
        <v>28.8</v>
      </c>
      <c r="F946" s="3339">
        <v>160</v>
      </c>
      <c r="G946" s="3340">
        <v>42095</v>
      </c>
      <c r="H946" s="3340">
        <v>42459</v>
      </c>
      <c r="I946" s="3340">
        <v>42460</v>
      </c>
      <c r="J946" s="3324"/>
    </row>
    <row r="947" spans="1:12" s="3327" customFormat="1" ht="13.5" customHeight="1">
      <c r="A947" s="3323"/>
      <c r="B947" s="3336" t="s">
        <v>3128</v>
      </c>
      <c r="C947" s="3336" t="s">
        <v>3809</v>
      </c>
      <c r="D947" s="3336" t="s">
        <v>3810</v>
      </c>
      <c r="E947" s="3339">
        <v>28.75</v>
      </c>
      <c r="F947" s="3339">
        <v>180</v>
      </c>
      <c r="G947" s="3340">
        <v>42461</v>
      </c>
      <c r="H947" s="3340">
        <v>42824</v>
      </c>
      <c r="I947" s="3340">
        <v>42825</v>
      </c>
      <c r="J947" s="3324"/>
    </row>
    <row r="948" spans="1:12" s="3327" customFormat="1" ht="13.5" customHeight="1">
      <c r="A948" s="3323"/>
      <c r="B948" s="3331" t="s">
        <v>3128</v>
      </c>
      <c r="C948" s="3331" t="s">
        <v>3809</v>
      </c>
      <c r="D948" s="3331" t="s">
        <v>3811</v>
      </c>
      <c r="E948" s="3332">
        <v>28.75</v>
      </c>
      <c r="F948" s="3332">
        <v>200</v>
      </c>
      <c r="G948" s="3333">
        <v>42826</v>
      </c>
      <c r="H948" s="3333">
        <v>42983</v>
      </c>
      <c r="I948" s="3333">
        <v>43190</v>
      </c>
      <c r="J948" s="3324"/>
      <c r="K948" s="3334">
        <f t="shared" ref="K948:K949" si="55">E948</f>
        <v>28.75</v>
      </c>
      <c r="L948" s="3334">
        <f t="shared" ref="L948:L949" si="56">F948/30</f>
        <v>6.666666666666667</v>
      </c>
    </row>
    <row r="949" spans="1:12" s="3327" customFormat="1" ht="13.5" customHeight="1">
      <c r="A949" s="3323" t="s">
        <v>3151</v>
      </c>
      <c r="B949" s="3331" t="s">
        <v>3128</v>
      </c>
      <c r="C949" s="3331" t="s">
        <v>3809</v>
      </c>
      <c r="D949" s="3331" t="s">
        <v>3811</v>
      </c>
      <c r="E949" s="3332">
        <v>28.75</v>
      </c>
      <c r="F949" s="3332">
        <v>200</v>
      </c>
      <c r="G949" s="3333">
        <v>42984</v>
      </c>
      <c r="H949" s="3333">
        <v>43130</v>
      </c>
      <c r="I949" s="3333">
        <v>43190</v>
      </c>
      <c r="J949" s="3324"/>
      <c r="K949" s="3334">
        <f t="shared" si="55"/>
        <v>28.75</v>
      </c>
      <c r="L949" s="3334">
        <f t="shared" si="56"/>
        <v>6.666666666666667</v>
      </c>
    </row>
    <row r="950" spans="1:12" s="3327" customFormat="1" ht="13.5" customHeight="1">
      <c r="A950" s="3323"/>
      <c r="B950" s="3324" t="s">
        <v>3128</v>
      </c>
      <c r="C950" s="3324" t="s">
        <v>3812</v>
      </c>
      <c r="D950" s="3324" t="s">
        <v>3813</v>
      </c>
      <c r="E950" s="3325">
        <v>25.8</v>
      </c>
      <c r="F950" s="3325">
        <v>155</v>
      </c>
      <c r="G950" s="3326">
        <v>41699</v>
      </c>
      <c r="H950" s="3326">
        <v>42093</v>
      </c>
      <c r="I950" s="3326">
        <v>42094</v>
      </c>
      <c r="J950" s="3324"/>
    </row>
    <row r="951" spans="1:12" s="3327" customFormat="1" ht="13.5" customHeight="1">
      <c r="A951" s="3323"/>
      <c r="B951" s="3336" t="s">
        <v>3128</v>
      </c>
      <c r="C951" s="3336" t="s">
        <v>3812</v>
      </c>
      <c r="D951" s="3336" t="s">
        <v>3813</v>
      </c>
      <c r="E951" s="3339">
        <v>25.8</v>
      </c>
      <c r="F951" s="3339">
        <v>155</v>
      </c>
      <c r="G951" s="3340">
        <v>42095</v>
      </c>
      <c r="H951" s="3340">
        <v>42200</v>
      </c>
      <c r="I951" s="3340">
        <v>42460</v>
      </c>
      <c r="J951" s="3324"/>
    </row>
    <row r="952" spans="1:12" s="3327" customFormat="1" ht="13.5" customHeight="1">
      <c r="A952" s="3354"/>
      <c r="B952" s="3336" t="s">
        <v>3128</v>
      </c>
      <c r="C952" s="3336" t="s">
        <v>3812</v>
      </c>
      <c r="D952" s="3336" t="s">
        <v>3813</v>
      </c>
      <c r="E952" s="3339">
        <v>25.8</v>
      </c>
      <c r="F952" s="3339">
        <v>245</v>
      </c>
      <c r="G952" s="3340">
        <v>42201</v>
      </c>
      <c r="H952" s="3340">
        <v>42459</v>
      </c>
      <c r="I952" s="3340">
        <v>42460</v>
      </c>
      <c r="J952" s="3324"/>
    </row>
    <row r="953" spans="1:12" s="3327" customFormat="1" ht="13.5" customHeight="1">
      <c r="A953" s="3354"/>
      <c r="B953" s="3336" t="s">
        <v>3128</v>
      </c>
      <c r="C953" s="3336" t="s">
        <v>3812</v>
      </c>
      <c r="D953" s="3336" t="s">
        <v>3813</v>
      </c>
      <c r="E953" s="3339">
        <v>25.8</v>
      </c>
      <c r="F953" s="3339">
        <v>180</v>
      </c>
      <c r="G953" s="3340">
        <v>42461</v>
      </c>
      <c r="H953" s="3340">
        <v>42824</v>
      </c>
      <c r="I953" s="3340">
        <v>42825</v>
      </c>
      <c r="J953" s="3324"/>
    </row>
    <row r="954" spans="1:12" s="3327" customFormat="1" ht="13.5" customHeight="1">
      <c r="A954" s="3354" t="s">
        <v>3151</v>
      </c>
      <c r="B954" s="3331" t="s">
        <v>3128</v>
      </c>
      <c r="C954" s="3331" t="s">
        <v>3814</v>
      </c>
      <c r="D954" s="3331" t="s">
        <v>3815</v>
      </c>
      <c r="E954" s="3332">
        <v>25.8</v>
      </c>
      <c r="F954" s="3332">
        <v>200</v>
      </c>
      <c r="G954" s="3333">
        <v>42826</v>
      </c>
      <c r="H954" s="3333">
        <v>43130</v>
      </c>
      <c r="I954" s="3333">
        <v>43190</v>
      </c>
      <c r="J954" s="3324"/>
      <c r="K954" s="3334">
        <f>E954</f>
        <v>25.8</v>
      </c>
      <c r="L954" s="3334">
        <f>F954/30</f>
        <v>6.666666666666667</v>
      </c>
    </row>
    <row r="955" spans="1:12" s="3327" customFormat="1" ht="13.5" customHeight="1">
      <c r="A955" s="3355"/>
      <c r="B955" s="3336" t="s">
        <v>3128</v>
      </c>
      <c r="C955" s="3336" t="s">
        <v>3816</v>
      </c>
      <c r="D955" s="3336" t="s">
        <v>3817</v>
      </c>
      <c r="E955" s="3339">
        <v>85.4</v>
      </c>
      <c r="F955" s="3339">
        <v>330</v>
      </c>
      <c r="G955" s="3340">
        <v>41000</v>
      </c>
      <c r="H955" s="3340">
        <v>41212</v>
      </c>
      <c r="I955" s="3340">
        <v>41364</v>
      </c>
      <c r="J955" s="3336"/>
    </row>
    <row r="956" spans="1:12" s="3327" customFormat="1" ht="13.5" customHeight="1">
      <c r="A956" s="3355"/>
      <c r="B956" s="3336" t="s">
        <v>3128</v>
      </c>
      <c r="C956" s="3336" t="s">
        <v>3818</v>
      </c>
      <c r="D956" s="3336" t="s">
        <v>3817</v>
      </c>
      <c r="E956" s="3339">
        <v>85.4</v>
      </c>
      <c r="F956" s="3339">
        <v>330</v>
      </c>
      <c r="G956" s="3340">
        <v>41244</v>
      </c>
      <c r="H956" s="3340">
        <v>41363</v>
      </c>
      <c r="I956" s="3340">
        <v>41364</v>
      </c>
      <c r="J956" s="3336"/>
    </row>
    <row r="957" spans="1:12" s="3327" customFormat="1" ht="12.75" customHeight="1">
      <c r="A957" s="3323"/>
      <c r="B957" s="3324" t="s">
        <v>3128</v>
      </c>
      <c r="C957" s="3324" t="s">
        <v>3819</v>
      </c>
      <c r="D957" s="3324" t="s">
        <v>3820</v>
      </c>
      <c r="E957" s="3325">
        <v>47.5</v>
      </c>
      <c r="F957" s="3325">
        <v>340</v>
      </c>
      <c r="G957" s="3326">
        <v>41699</v>
      </c>
      <c r="H957" s="3326">
        <v>42003</v>
      </c>
      <c r="I957" s="3326">
        <v>42094</v>
      </c>
      <c r="J957" s="3324"/>
    </row>
    <row r="958" spans="1:12" s="3327" customFormat="1" ht="12.75" customHeight="1">
      <c r="A958" s="3323"/>
      <c r="B958" s="3324" t="s">
        <v>3128</v>
      </c>
      <c r="C958" s="3324" t="s">
        <v>3819</v>
      </c>
      <c r="D958" s="3324" t="s">
        <v>3820</v>
      </c>
      <c r="E958" s="3325">
        <v>47.5</v>
      </c>
      <c r="F958" s="3325">
        <v>350</v>
      </c>
      <c r="G958" s="3326">
        <v>42005</v>
      </c>
      <c r="H958" s="3326">
        <v>42093</v>
      </c>
      <c r="I958" s="3326">
        <v>42094</v>
      </c>
      <c r="J958" s="3324"/>
    </row>
    <row r="959" spans="1:12" s="3327" customFormat="1" ht="12.75" customHeight="1">
      <c r="A959" s="3323"/>
      <c r="B959" s="3336" t="s">
        <v>3128</v>
      </c>
      <c r="C959" s="3336" t="s">
        <v>3819</v>
      </c>
      <c r="D959" s="3336" t="s">
        <v>3820</v>
      </c>
      <c r="E959" s="3339">
        <v>47.5</v>
      </c>
      <c r="F959" s="3339">
        <v>350</v>
      </c>
      <c r="G959" s="3340">
        <v>42095</v>
      </c>
      <c r="H959" s="3340">
        <v>42459</v>
      </c>
      <c r="I959" s="3340">
        <v>42460</v>
      </c>
      <c r="J959" s="3324"/>
    </row>
    <row r="960" spans="1:12" s="3327" customFormat="1" ht="12.75" customHeight="1">
      <c r="A960" s="3323"/>
      <c r="B960" s="3336" t="s">
        <v>3128</v>
      </c>
      <c r="C960" s="3336" t="s">
        <v>3819</v>
      </c>
      <c r="D960" s="3336" t="s">
        <v>3820</v>
      </c>
      <c r="E960" s="3339">
        <v>47.5</v>
      </c>
      <c r="F960" s="3339">
        <v>370</v>
      </c>
      <c r="G960" s="3340">
        <v>42461</v>
      </c>
      <c r="H960" s="3340">
        <v>42824</v>
      </c>
      <c r="I960" s="3340">
        <v>42825</v>
      </c>
      <c r="J960" s="3324"/>
    </row>
    <row r="961" spans="1:12" s="3327" customFormat="1" ht="12.75" customHeight="1">
      <c r="A961" s="3323" t="s">
        <v>3151</v>
      </c>
      <c r="B961" s="3331" t="s">
        <v>3128</v>
      </c>
      <c r="C961" s="3331" t="s">
        <v>3819</v>
      </c>
      <c r="D961" s="3331" t="s">
        <v>3821</v>
      </c>
      <c r="E961" s="3332">
        <v>47.5</v>
      </c>
      <c r="F961" s="3332">
        <v>400</v>
      </c>
      <c r="G961" s="3333">
        <v>42826</v>
      </c>
      <c r="H961" s="3333">
        <v>43130</v>
      </c>
      <c r="I961" s="3333">
        <v>43190</v>
      </c>
      <c r="J961" s="3324"/>
      <c r="K961" s="3334">
        <f>E961</f>
        <v>47.5</v>
      </c>
      <c r="L961" s="3334">
        <f>F961/30</f>
        <v>13.333333333333334</v>
      </c>
    </row>
    <row r="962" spans="1:12" s="3327" customFormat="1" ht="12.75" customHeight="1">
      <c r="A962" s="3323"/>
      <c r="B962" s="3324" t="s">
        <v>3128</v>
      </c>
      <c r="C962" s="3324" t="s">
        <v>3504</v>
      </c>
      <c r="D962" s="3324" t="s">
        <v>3822</v>
      </c>
      <c r="E962" s="3325">
        <v>52.2</v>
      </c>
      <c r="F962" s="3325">
        <v>340</v>
      </c>
      <c r="G962" s="3326">
        <v>41699</v>
      </c>
      <c r="H962" s="3326">
        <v>42003</v>
      </c>
      <c r="I962" s="3326">
        <v>42094</v>
      </c>
      <c r="J962" s="3324"/>
    </row>
    <row r="963" spans="1:12" s="3327" customFormat="1" ht="12.75" customHeight="1">
      <c r="A963" s="3323"/>
      <c r="B963" s="3324" t="s">
        <v>3128</v>
      </c>
      <c r="C963" s="3324" t="s">
        <v>3504</v>
      </c>
      <c r="D963" s="3324" t="s">
        <v>3822</v>
      </c>
      <c r="E963" s="3325">
        <v>52.2</v>
      </c>
      <c r="F963" s="3325">
        <v>350</v>
      </c>
      <c r="G963" s="3326">
        <v>42005</v>
      </c>
      <c r="H963" s="3326">
        <v>42093</v>
      </c>
      <c r="I963" s="3326">
        <v>42094</v>
      </c>
      <c r="J963" s="3324"/>
    </row>
    <row r="964" spans="1:12" s="3327" customFormat="1" ht="12.75" customHeight="1">
      <c r="A964" s="3323"/>
      <c r="B964" s="3336" t="s">
        <v>3128</v>
      </c>
      <c r="C964" s="3336" t="s">
        <v>3504</v>
      </c>
      <c r="D964" s="3336" t="s">
        <v>3822</v>
      </c>
      <c r="E964" s="3339">
        <v>52.2</v>
      </c>
      <c r="F964" s="3339">
        <v>350</v>
      </c>
      <c r="G964" s="3340">
        <v>42095</v>
      </c>
      <c r="H964" s="3340">
        <v>42459</v>
      </c>
      <c r="I964" s="3340">
        <v>42460</v>
      </c>
      <c r="J964" s="3324"/>
    </row>
    <row r="965" spans="1:12" s="3327" customFormat="1" ht="12.75" customHeight="1">
      <c r="A965" s="3323"/>
      <c r="B965" s="3336" t="s">
        <v>3128</v>
      </c>
      <c r="C965" s="3336" t="s">
        <v>3504</v>
      </c>
      <c r="D965" s="3336" t="s">
        <v>3822</v>
      </c>
      <c r="E965" s="3339">
        <v>52.2</v>
      </c>
      <c r="F965" s="3339">
        <v>370</v>
      </c>
      <c r="G965" s="3340">
        <v>42461</v>
      </c>
      <c r="H965" s="3340">
        <v>42824</v>
      </c>
      <c r="I965" s="3340">
        <v>42825</v>
      </c>
      <c r="J965" s="3324"/>
    </row>
    <row r="966" spans="1:12" s="3327" customFormat="1" ht="12.75" customHeight="1">
      <c r="A966" s="3323"/>
      <c r="B966" s="3331" t="s">
        <v>3128</v>
      </c>
      <c r="C966" s="3331" t="s">
        <v>3504</v>
      </c>
      <c r="D966" s="3331" t="s">
        <v>3823</v>
      </c>
      <c r="E966" s="3332">
        <v>52.2</v>
      </c>
      <c r="F966" s="3332">
        <v>400</v>
      </c>
      <c r="G966" s="3333">
        <v>42826</v>
      </c>
      <c r="H966" s="3333">
        <v>43008</v>
      </c>
      <c r="I966" s="3333">
        <v>43190</v>
      </c>
      <c r="J966" s="3324"/>
      <c r="K966" s="3334">
        <f t="shared" ref="K966:K967" si="57">E966</f>
        <v>52.2</v>
      </c>
      <c r="L966" s="3334">
        <f t="shared" ref="L966:L967" si="58">F966/30</f>
        <v>13.333333333333334</v>
      </c>
    </row>
    <row r="967" spans="1:12" s="3327" customFormat="1" ht="12.75" customHeight="1">
      <c r="A967" s="3323" t="s">
        <v>3151</v>
      </c>
      <c r="B967" s="3331" t="s">
        <v>3128</v>
      </c>
      <c r="C967" s="3331" t="s">
        <v>3824</v>
      </c>
      <c r="D967" s="3331" t="s">
        <v>3823</v>
      </c>
      <c r="E967" s="3332">
        <v>52.2</v>
      </c>
      <c r="F967" s="3332">
        <v>400</v>
      </c>
      <c r="G967" s="3333">
        <v>43009</v>
      </c>
      <c r="H967" s="3333">
        <v>43130</v>
      </c>
      <c r="I967" s="3333">
        <v>43190</v>
      </c>
      <c r="J967" s="3324"/>
      <c r="K967" s="3334">
        <f t="shared" si="57"/>
        <v>52.2</v>
      </c>
      <c r="L967" s="3334">
        <f t="shared" si="58"/>
        <v>13.333333333333334</v>
      </c>
    </row>
    <row r="968" spans="1:12" s="3327" customFormat="1" ht="13.5" customHeight="1">
      <c r="A968" s="3323"/>
      <c r="B968" s="3324" t="s">
        <v>3128</v>
      </c>
      <c r="C968" s="3324" t="s">
        <v>3825</v>
      </c>
      <c r="D968" s="3324" t="s">
        <v>3826</v>
      </c>
      <c r="E968" s="3325">
        <v>26.1</v>
      </c>
      <c r="F968" s="3325">
        <v>150</v>
      </c>
      <c r="G968" s="3326">
        <v>41699</v>
      </c>
      <c r="H968" s="3326">
        <v>42093</v>
      </c>
      <c r="I968" s="3326">
        <v>42094</v>
      </c>
      <c r="J968" s="3324"/>
    </row>
    <row r="969" spans="1:12" s="3327" customFormat="1" ht="13.5" customHeight="1">
      <c r="A969" s="3323"/>
      <c r="B969" s="3336" t="s">
        <v>3128</v>
      </c>
      <c r="C969" s="3336" t="s">
        <v>3825</v>
      </c>
      <c r="D969" s="3336" t="s">
        <v>3826</v>
      </c>
      <c r="E969" s="3339">
        <v>26.1</v>
      </c>
      <c r="F969" s="3339">
        <v>150</v>
      </c>
      <c r="G969" s="3340">
        <v>42095</v>
      </c>
      <c r="H969" s="3340">
        <v>42459</v>
      </c>
      <c r="I969" s="3340">
        <v>42460</v>
      </c>
      <c r="J969" s="3324"/>
    </row>
    <row r="970" spans="1:12" s="3327" customFormat="1" ht="13.5" customHeight="1">
      <c r="A970" s="3323"/>
      <c r="B970" s="3336" t="s">
        <v>3128</v>
      </c>
      <c r="C970" s="3336" t="s">
        <v>3825</v>
      </c>
      <c r="D970" s="3336" t="s">
        <v>3826</v>
      </c>
      <c r="E970" s="3339">
        <v>26.1</v>
      </c>
      <c r="F970" s="3339">
        <v>170</v>
      </c>
      <c r="G970" s="3340">
        <v>42461</v>
      </c>
      <c r="H970" s="3340">
        <v>42824</v>
      </c>
      <c r="I970" s="3340">
        <v>42825</v>
      </c>
      <c r="J970" s="3324"/>
    </row>
    <row r="971" spans="1:12" s="3327" customFormat="1" ht="13.5" customHeight="1">
      <c r="A971" s="3323" t="s">
        <v>3151</v>
      </c>
      <c r="B971" s="3331" t="s">
        <v>3128</v>
      </c>
      <c r="C971" s="3331" t="s">
        <v>3825</v>
      </c>
      <c r="D971" s="3331" t="s">
        <v>3827</v>
      </c>
      <c r="E971" s="3332">
        <v>26.1</v>
      </c>
      <c r="F971" s="3332">
        <v>190</v>
      </c>
      <c r="G971" s="3333">
        <v>42826</v>
      </c>
      <c r="H971" s="3333">
        <v>43130</v>
      </c>
      <c r="I971" s="3333">
        <v>43190</v>
      </c>
      <c r="J971" s="3324"/>
      <c r="K971" s="3334">
        <f>E971</f>
        <v>26.1</v>
      </c>
      <c r="L971" s="3334">
        <f>F971/30</f>
        <v>6.333333333333333</v>
      </c>
    </row>
    <row r="972" spans="1:12" s="3327" customFormat="1" ht="13.5" customHeight="1">
      <c r="A972" s="3355"/>
      <c r="B972" s="3336" t="s">
        <v>3128</v>
      </c>
      <c r="C972" s="3336" t="s">
        <v>3828</v>
      </c>
      <c r="D972" s="3336" t="s">
        <v>3829</v>
      </c>
      <c r="E972" s="3339">
        <v>114.7</v>
      </c>
      <c r="F972" s="3339">
        <v>330</v>
      </c>
      <c r="G972" s="3340">
        <v>41244</v>
      </c>
      <c r="H972" s="3340">
        <v>41363</v>
      </c>
      <c r="I972" s="3340">
        <v>41364</v>
      </c>
      <c r="J972" s="3336"/>
    </row>
    <row r="973" spans="1:12" s="3327" customFormat="1" ht="13.5" customHeight="1">
      <c r="A973" s="3354"/>
      <c r="B973" s="3324" t="s">
        <v>3128</v>
      </c>
      <c r="C973" s="3324" t="s">
        <v>3828</v>
      </c>
      <c r="D973" s="3324" t="s">
        <v>3830</v>
      </c>
      <c r="E973" s="3325">
        <v>111.5</v>
      </c>
      <c r="F973" s="3325">
        <v>330</v>
      </c>
      <c r="G973" s="3326">
        <v>41365</v>
      </c>
      <c r="H973" s="3326">
        <v>41698</v>
      </c>
      <c r="I973" s="3326">
        <v>41729</v>
      </c>
      <c r="J973" s="3324"/>
    </row>
    <row r="974" spans="1:12" s="3327" customFormat="1" ht="13.5" customHeight="1">
      <c r="A974" s="3323"/>
      <c r="B974" s="3324" t="s">
        <v>3128</v>
      </c>
      <c r="C974" s="3324" t="s">
        <v>3257</v>
      </c>
      <c r="D974" s="3324" t="s">
        <v>3831</v>
      </c>
      <c r="E974" s="3325">
        <v>38.5</v>
      </c>
      <c r="F974" s="3325">
        <v>330</v>
      </c>
      <c r="G974" s="3326">
        <v>41699</v>
      </c>
      <c r="H974" s="3326">
        <v>42003</v>
      </c>
      <c r="I974" s="3326">
        <v>42094</v>
      </c>
      <c r="J974" s="3324"/>
    </row>
    <row r="975" spans="1:12" s="3327" customFormat="1" ht="13.5" customHeight="1">
      <c r="A975" s="3323"/>
      <c r="B975" s="3324" t="s">
        <v>3128</v>
      </c>
      <c r="C975" s="3324" t="s">
        <v>3257</v>
      </c>
      <c r="D975" s="3324" t="s">
        <v>3831</v>
      </c>
      <c r="E975" s="3325">
        <v>38.5</v>
      </c>
      <c r="F975" s="3325">
        <v>350</v>
      </c>
      <c r="G975" s="3326">
        <v>42005</v>
      </c>
      <c r="H975" s="3326">
        <v>42093</v>
      </c>
      <c r="I975" s="3326">
        <v>42094</v>
      </c>
      <c r="J975" s="3324"/>
    </row>
    <row r="976" spans="1:12" s="3327" customFormat="1" ht="13.5" customHeight="1">
      <c r="A976" s="3323"/>
      <c r="B976" s="3336" t="s">
        <v>3128</v>
      </c>
      <c r="C976" s="3336" t="s">
        <v>3832</v>
      </c>
      <c r="D976" s="3336" t="s">
        <v>3831</v>
      </c>
      <c r="E976" s="3339">
        <v>38.5</v>
      </c>
      <c r="F976" s="3339">
        <v>350</v>
      </c>
      <c r="G976" s="3340">
        <v>42095</v>
      </c>
      <c r="H976" s="3340">
        <v>42459</v>
      </c>
      <c r="I976" s="3340">
        <v>42460</v>
      </c>
      <c r="J976" s="3324"/>
    </row>
    <row r="977" spans="1:12" s="3327" customFormat="1" ht="13.5" customHeight="1">
      <c r="A977" s="3323"/>
      <c r="B977" s="3336" t="s">
        <v>3128</v>
      </c>
      <c r="C977" s="3336" t="s">
        <v>3832</v>
      </c>
      <c r="D977" s="3336" t="s">
        <v>3831</v>
      </c>
      <c r="E977" s="3339">
        <v>38.5</v>
      </c>
      <c r="F977" s="3339">
        <v>370</v>
      </c>
      <c r="G977" s="3340">
        <v>42461</v>
      </c>
      <c r="H977" s="3340">
        <v>42824</v>
      </c>
      <c r="I977" s="3340">
        <v>42825</v>
      </c>
      <c r="J977" s="3324"/>
    </row>
    <row r="978" spans="1:12" s="3327" customFormat="1" ht="13.5" customHeight="1">
      <c r="A978" s="3323" t="s">
        <v>3635</v>
      </c>
      <c r="B978" s="3331" t="s">
        <v>3128</v>
      </c>
      <c r="C978" s="3331" t="s">
        <v>3832</v>
      </c>
      <c r="D978" s="3331" t="s">
        <v>3830</v>
      </c>
      <c r="E978" s="3332">
        <v>38.5</v>
      </c>
      <c r="F978" s="3332">
        <v>400</v>
      </c>
      <c r="G978" s="3333">
        <v>42826</v>
      </c>
      <c r="H978" s="3333">
        <v>43130</v>
      </c>
      <c r="I978" s="3333">
        <v>43190</v>
      </c>
      <c r="J978" s="3324"/>
      <c r="K978" s="3334">
        <f>E978</f>
        <v>38.5</v>
      </c>
      <c r="L978" s="3334">
        <f>F978/30</f>
        <v>13.333333333333334</v>
      </c>
    </row>
    <row r="979" spans="1:12" s="3327" customFormat="1" ht="13.5" customHeight="1">
      <c r="A979" s="3323"/>
      <c r="B979" s="3324" t="s">
        <v>3128</v>
      </c>
      <c r="C979" s="3324" t="s">
        <v>3498</v>
      </c>
      <c r="D979" s="3324" t="s">
        <v>3833</v>
      </c>
      <c r="E979" s="3325">
        <v>49.6</v>
      </c>
      <c r="F979" s="3325">
        <v>340</v>
      </c>
      <c r="G979" s="3326">
        <v>41699</v>
      </c>
      <c r="H979" s="3326">
        <v>42093</v>
      </c>
      <c r="I979" s="3326">
        <v>42094</v>
      </c>
      <c r="J979" s="3324"/>
    </row>
    <row r="980" spans="1:12" s="3327" customFormat="1" ht="13.5" customHeight="1">
      <c r="A980" s="3323"/>
      <c r="B980" s="3336" t="s">
        <v>3128</v>
      </c>
      <c r="C980" s="3336" t="s">
        <v>3834</v>
      </c>
      <c r="D980" s="3336" t="s">
        <v>3833</v>
      </c>
      <c r="E980" s="3339">
        <v>49.6</v>
      </c>
      <c r="F980" s="3339">
        <v>350</v>
      </c>
      <c r="G980" s="3340">
        <v>42095</v>
      </c>
      <c r="H980" s="3340">
        <v>42399</v>
      </c>
      <c r="I980" s="3340">
        <v>42460</v>
      </c>
      <c r="J980" s="3324"/>
    </row>
    <row r="981" spans="1:12" s="3327" customFormat="1" ht="13.5" customHeight="1">
      <c r="A981" s="3323"/>
      <c r="B981" s="3336" t="s">
        <v>3128</v>
      </c>
      <c r="C981" s="3336" t="s">
        <v>3835</v>
      </c>
      <c r="D981" s="3336" t="s">
        <v>3833</v>
      </c>
      <c r="E981" s="3339">
        <v>49.6</v>
      </c>
      <c r="F981" s="3339">
        <v>350</v>
      </c>
      <c r="G981" s="3340">
        <v>42401</v>
      </c>
      <c r="H981" s="3340">
        <v>42459</v>
      </c>
      <c r="I981" s="3340">
        <v>42460</v>
      </c>
      <c r="J981" s="3324"/>
    </row>
    <row r="982" spans="1:12" s="3327" customFormat="1" ht="13.5" customHeight="1">
      <c r="A982" s="3323"/>
      <c r="B982" s="3336" t="s">
        <v>3128</v>
      </c>
      <c r="C982" s="3336" t="s">
        <v>3835</v>
      </c>
      <c r="D982" s="3336" t="s">
        <v>3833</v>
      </c>
      <c r="E982" s="3339">
        <v>49.6</v>
      </c>
      <c r="F982" s="3339">
        <v>350</v>
      </c>
      <c r="G982" s="3340">
        <v>42461</v>
      </c>
      <c r="H982" s="3340">
        <v>42824</v>
      </c>
      <c r="I982" s="3340">
        <v>42825</v>
      </c>
      <c r="J982" s="3324"/>
    </row>
    <row r="983" spans="1:12" s="3327" customFormat="1" ht="13.5" customHeight="1">
      <c r="A983" s="3323" t="s">
        <v>3151</v>
      </c>
      <c r="B983" s="3331" t="s">
        <v>3128</v>
      </c>
      <c r="C983" s="3331" t="s">
        <v>3835</v>
      </c>
      <c r="D983" s="3331" t="s">
        <v>3836</v>
      </c>
      <c r="E983" s="3332">
        <v>49.6</v>
      </c>
      <c r="F983" s="3332">
        <v>400</v>
      </c>
      <c r="G983" s="3333">
        <v>42826</v>
      </c>
      <c r="H983" s="3333">
        <v>43130</v>
      </c>
      <c r="I983" s="3333">
        <v>43190</v>
      </c>
      <c r="J983" s="3324"/>
      <c r="K983" s="3334">
        <f>E983</f>
        <v>49.6</v>
      </c>
      <c r="L983" s="3334">
        <f>F983/30</f>
        <v>13.333333333333334</v>
      </c>
    </row>
    <row r="984" spans="1:12" s="3327" customFormat="1" ht="13.5" customHeight="1">
      <c r="A984" s="3323"/>
      <c r="B984" s="3324" t="s">
        <v>3128</v>
      </c>
      <c r="C984" s="3324" t="s">
        <v>3837</v>
      </c>
      <c r="D984" s="3324" t="s">
        <v>3838</v>
      </c>
      <c r="E984" s="3325">
        <v>22.4</v>
      </c>
      <c r="F984" s="3325">
        <v>150</v>
      </c>
      <c r="G984" s="3326">
        <v>41699</v>
      </c>
      <c r="H984" s="3326">
        <v>42093</v>
      </c>
      <c r="I984" s="3326">
        <v>42094</v>
      </c>
      <c r="J984" s="3324"/>
    </row>
    <row r="985" spans="1:12" s="3327" customFormat="1" ht="13.5" customHeight="1">
      <c r="A985" s="3323"/>
      <c r="B985" s="3336" t="s">
        <v>3128</v>
      </c>
      <c r="C985" s="3336" t="s">
        <v>3837</v>
      </c>
      <c r="D985" s="3336" t="s">
        <v>3838</v>
      </c>
      <c r="E985" s="3339">
        <v>22.4</v>
      </c>
      <c r="F985" s="3339">
        <v>150</v>
      </c>
      <c r="G985" s="3340">
        <v>42095</v>
      </c>
      <c r="H985" s="3340">
        <v>42459</v>
      </c>
      <c r="I985" s="3340">
        <v>42460</v>
      </c>
      <c r="J985" s="3324"/>
    </row>
    <row r="986" spans="1:12" s="3327" customFormat="1" ht="13.5" customHeight="1">
      <c r="A986" s="3323"/>
      <c r="B986" s="3336" t="s">
        <v>3128</v>
      </c>
      <c r="C986" s="3336" t="s">
        <v>3837</v>
      </c>
      <c r="D986" s="3336" t="s">
        <v>3838</v>
      </c>
      <c r="E986" s="3339">
        <v>22.4</v>
      </c>
      <c r="F986" s="3339">
        <v>170</v>
      </c>
      <c r="G986" s="3340">
        <v>42461</v>
      </c>
      <c r="H986" s="3340">
        <v>42824</v>
      </c>
      <c r="I986" s="3340">
        <v>42825</v>
      </c>
      <c r="J986" s="3324"/>
    </row>
    <row r="987" spans="1:12" s="3327" customFormat="1" ht="13.5" customHeight="1">
      <c r="A987" s="3354" t="s">
        <v>3151</v>
      </c>
      <c r="B987" s="3331" t="s">
        <v>3128</v>
      </c>
      <c r="C987" s="3331" t="s">
        <v>3839</v>
      </c>
      <c r="D987" s="3331" t="s">
        <v>3840</v>
      </c>
      <c r="E987" s="3332">
        <v>22.4</v>
      </c>
      <c r="F987" s="3332">
        <v>190</v>
      </c>
      <c r="G987" s="3333">
        <v>42826</v>
      </c>
      <c r="H987" s="3333">
        <v>43130</v>
      </c>
      <c r="I987" s="3333">
        <v>43190</v>
      </c>
      <c r="J987" s="3324"/>
      <c r="K987" s="3334">
        <f>E987</f>
        <v>22.4</v>
      </c>
      <c r="L987" s="3334">
        <f>F987/30</f>
        <v>6.333333333333333</v>
      </c>
    </row>
    <row r="988" spans="1:12" s="3327" customFormat="1" ht="13.5" customHeight="1">
      <c r="A988" s="3355"/>
      <c r="B988" s="3336" t="s">
        <v>3128</v>
      </c>
      <c r="C988" s="3336" t="s">
        <v>3841</v>
      </c>
      <c r="D988" s="3336" t="s">
        <v>3842</v>
      </c>
      <c r="E988" s="3339">
        <v>120.1</v>
      </c>
      <c r="F988" s="3339">
        <v>330</v>
      </c>
      <c r="G988" s="3340">
        <v>41000</v>
      </c>
      <c r="H988" s="3340">
        <v>41363</v>
      </c>
      <c r="I988" s="3340">
        <v>41364</v>
      </c>
      <c r="J988" s="3336"/>
    </row>
    <row r="989" spans="1:12" s="3327" customFormat="1" ht="13.5" customHeight="1">
      <c r="A989" s="3323"/>
      <c r="B989" s="3324" t="s">
        <v>3128</v>
      </c>
      <c r="C989" s="3324" t="s">
        <v>3843</v>
      </c>
      <c r="D989" s="3324" t="s">
        <v>3844</v>
      </c>
      <c r="E989" s="3325">
        <v>48.4</v>
      </c>
      <c r="F989" s="3325">
        <v>270</v>
      </c>
      <c r="G989" s="3326">
        <v>41699</v>
      </c>
      <c r="H989" s="3326">
        <v>42093</v>
      </c>
      <c r="I989" s="3326">
        <v>42094</v>
      </c>
      <c r="J989" s="3324"/>
    </row>
    <row r="990" spans="1:12" s="3327" customFormat="1" ht="13.5" customHeight="1">
      <c r="A990" s="3323"/>
      <c r="B990" s="3336" t="s">
        <v>3128</v>
      </c>
      <c r="C990" s="3336" t="s">
        <v>3845</v>
      </c>
      <c r="D990" s="3336" t="s">
        <v>3844</v>
      </c>
      <c r="E990" s="3339">
        <v>48.4</v>
      </c>
      <c r="F990" s="3339">
        <v>270</v>
      </c>
      <c r="G990" s="3340">
        <v>42095</v>
      </c>
      <c r="H990" s="3340">
        <v>42154</v>
      </c>
      <c r="I990" s="3340">
        <v>42155</v>
      </c>
      <c r="J990" s="3324"/>
    </row>
    <row r="991" spans="1:12" s="3327" customFormat="1" ht="13.5" customHeight="1">
      <c r="A991" s="3323"/>
      <c r="B991" s="3336" t="s">
        <v>3128</v>
      </c>
      <c r="C991" s="3336" t="s">
        <v>3846</v>
      </c>
      <c r="D991" s="3336" t="s">
        <v>3844</v>
      </c>
      <c r="E991" s="3339">
        <v>48.4</v>
      </c>
      <c r="F991" s="3339">
        <v>270</v>
      </c>
      <c r="G991" s="3340">
        <v>42156</v>
      </c>
      <c r="H991" s="3340">
        <v>42187</v>
      </c>
      <c r="I991" s="3340">
        <v>42460</v>
      </c>
      <c r="J991" s="3324"/>
    </row>
    <row r="992" spans="1:12" s="3327" customFormat="1" ht="13.5" customHeight="1">
      <c r="A992" s="3323"/>
      <c r="B992" s="3336" t="s">
        <v>3128</v>
      </c>
      <c r="C992" s="3336" t="s">
        <v>3846</v>
      </c>
      <c r="D992" s="3336" t="s">
        <v>3844</v>
      </c>
      <c r="E992" s="3339">
        <v>48.4</v>
      </c>
      <c r="F992" s="3339">
        <v>255</v>
      </c>
      <c r="G992" s="3340">
        <v>42188</v>
      </c>
      <c r="H992" s="3340">
        <v>42459</v>
      </c>
      <c r="I992" s="3340">
        <v>42460</v>
      </c>
      <c r="J992" s="3324"/>
    </row>
    <row r="993" spans="1:12" s="3327" customFormat="1" ht="14.25" customHeight="1">
      <c r="A993" s="3323"/>
      <c r="B993" s="3336" t="s">
        <v>3128</v>
      </c>
      <c r="C993" s="3336" t="s">
        <v>3846</v>
      </c>
      <c r="D993" s="3336" t="s">
        <v>3844</v>
      </c>
      <c r="E993" s="3339">
        <v>48.4</v>
      </c>
      <c r="F993" s="3339">
        <v>255</v>
      </c>
      <c r="G993" s="3340">
        <v>42461</v>
      </c>
      <c r="H993" s="3340">
        <v>42824</v>
      </c>
      <c r="I993" s="3340">
        <v>42825</v>
      </c>
      <c r="J993" s="3324"/>
    </row>
    <row r="994" spans="1:12" s="3327" customFormat="1" ht="13.5" customHeight="1">
      <c r="A994" s="3323"/>
      <c r="B994" s="3331" t="s">
        <v>3128</v>
      </c>
      <c r="C994" s="3331" t="s">
        <v>3552</v>
      </c>
      <c r="D994" s="3331" t="s">
        <v>3847</v>
      </c>
      <c r="E994" s="3332">
        <v>48.4</v>
      </c>
      <c r="F994" s="3332">
        <v>300</v>
      </c>
      <c r="G994" s="3333">
        <v>42826</v>
      </c>
      <c r="H994" s="3333">
        <v>42977</v>
      </c>
      <c r="I994" s="3333">
        <v>43190</v>
      </c>
      <c r="J994" s="3324"/>
      <c r="K994" s="3334">
        <f t="shared" ref="K994:K997" si="59">E994</f>
        <v>48.4</v>
      </c>
      <c r="L994" s="3334">
        <f t="shared" ref="L994:L997" si="60">F994/30</f>
        <v>10</v>
      </c>
    </row>
    <row r="995" spans="1:12" s="3327" customFormat="1" ht="13.5" customHeight="1">
      <c r="A995" s="3323" t="s">
        <v>3151</v>
      </c>
      <c r="B995" s="3331" t="s">
        <v>3128</v>
      </c>
      <c r="C995" s="3331" t="s">
        <v>3848</v>
      </c>
      <c r="D995" s="3331" t="s">
        <v>3849</v>
      </c>
      <c r="E995" s="3332">
        <v>10.9</v>
      </c>
      <c r="F995" s="3332">
        <v>300</v>
      </c>
      <c r="G995" s="3333">
        <v>42979</v>
      </c>
      <c r="H995" s="3333">
        <v>43130</v>
      </c>
      <c r="I995" s="3333">
        <v>43190</v>
      </c>
      <c r="J995" s="3324"/>
      <c r="K995" s="3334">
        <f t="shared" si="59"/>
        <v>10.9</v>
      </c>
      <c r="L995" s="3334">
        <f t="shared" si="60"/>
        <v>10</v>
      </c>
    </row>
    <row r="996" spans="1:12" s="3327" customFormat="1" ht="13.5" customHeight="1">
      <c r="A996" s="3323" t="s">
        <v>3151</v>
      </c>
      <c r="B996" s="3331" t="s">
        <v>3128</v>
      </c>
      <c r="C996" s="3331" t="s">
        <v>3850</v>
      </c>
      <c r="D996" s="3331" t="s">
        <v>3851</v>
      </c>
      <c r="E996" s="3332">
        <v>22.91</v>
      </c>
      <c r="F996" s="3332">
        <v>300</v>
      </c>
      <c r="G996" s="3333">
        <v>42979</v>
      </c>
      <c r="H996" s="3333">
        <v>43130</v>
      </c>
      <c r="I996" s="3333">
        <v>43190</v>
      </c>
      <c r="J996" s="3324"/>
      <c r="K996" s="3334">
        <f t="shared" si="59"/>
        <v>22.91</v>
      </c>
      <c r="L996" s="3334">
        <f t="shared" si="60"/>
        <v>10</v>
      </c>
    </row>
    <row r="997" spans="1:12" s="3327" customFormat="1" ht="13.5" customHeight="1">
      <c r="A997" s="3323" t="s">
        <v>3151</v>
      </c>
      <c r="B997" s="3331" t="s">
        <v>3128</v>
      </c>
      <c r="C997" s="3331" t="s">
        <v>3852</v>
      </c>
      <c r="D997" s="3331" t="s">
        <v>3853</v>
      </c>
      <c r="E997" s="3332">
        <v>15.03</v>
      </c>
      <c r="F997" s="3332">
        <v>300</v>
      </c>
      <c r="G997" s="3333">
        <v>42979</v>
      </c>
      <c r="H997" s="3333">
        <v>43130</v>
      </c>
      <c r="I997" s="3333">
        <v>43190</v>
      </c>
      <c r="J997" s="3324"/>
      <c r="K997" s="3334">
        <f t="shared" si="59"/>
        <v>15.03</v>
      </c>
      <c r="L997" s="3334">
        <f t="shared" si="60"/>
        <v>10</v>
      </c>
    </row>
    <row r="998" spans="1:12" s="3327" customFormat="1" ht="13.5" customHeight="1">
      <c r="A998" s="3323"/>
      <c r="B998" s="3324" t="s">
        <v>3128</v>
      </c>
      <c r="C998" s="3324" t="s">
        <v>3854</v>
      </c>
      <c r="D998" s="3324" t="s">
        <v>3855</v>
      </c>
      <c r="E998" s="3325">
        <v>53.3</v>
      </c>
      <c r="F998" s="3325">
        <v>350</v>
      </c>
      <c r="G998" s="3326">
        <v>41699</v>
      </c>
      <c r="H998" s="3326">
        <v>42093</v>
      </c>
      <c r="I998" s="3326">
        <v>42094</v>
      </c>
      <c r="J998" s="3324"/>
    </row>
    <row r="999" spans="1:12" s="3327" customFormat="1" ht="13.5" customHeight="1">
      <c r="A999" s="3323"/>
      <c r="B999" s="3336" t="s">
        <v>3128</v>
      </c>
      <c r="C999" s="3336" t="s">
        <v>3854</v>
      </c>
      <c r="D999" s="3336" t="s">
        <v>3855</v>
      </c>
      <c r="E999" s="3339">
        <v>53.3</v>
      </c>
      <c r="F999" s="3339">
        <v>355</v>
      </c>
      <c r="G999" s="3340">
        <v>42095</v>
      </c>
      <c r="H999" s="3340">
        <v>42368</v>
      </c>
      <c r="I999" s="3340">
        <v>42460</v>
      </c>
      <c r="J999" s="3324"/>
    </row>
    <row r="1000" spans="1:12" s="3327" customFormat="1" ht="13.5" customHeight="1">
      <c r="A1000" s="3354"/>
      <c r="B1000" s="3336" t="s">
        <v>3128</v>
      </c>
      <c r="C1000" s="3336" t="s">
        <v>3856</v>
      </c>
      <c r="D1000" s="3336" t="s">
        <v>3855</v>
      </c>
      <c r="E1000" s="3339">
        <v>53.3</v>
      </c>
      <c r="F1000" s="3339">
        <v>355</v>
      </c>
      <c r="G1000" s="3340">
        <v>42370</v>
      </c>
      <c r="H1000" s="3340">
        <v>42459</v>
      </c>
      <c r="I1000" s="3340">
        <v>42460</v>
      </c>
      <c r="J1000" s="3324"/>
    </row>
    <row r="1001" spans="1:12" s="3327" customFormat="1" ht="13.5" customHeight="1">
      <c r="A1001" s="3354"/>
      <c r="B1001" s="3336" t="s">
        <v>3128</v>
      </c>
      <c r="C1001" s="3336" t="s">
        <v>3856</v>
      </c>
      <c r="D1001" s="3336" t="s">
        <v>3855</v>
      </c>
      <c r="E1001" s="3339">
        <v>53.3</v>
      </c>
      <c r="F1001" s="3339">
        <v>360</v>
      </c>
      <c r="G1001" s="3340">
        <v>42461</v>
      </c>
      <c r="H1001" s="3340">
        <v>42824</v>
      </c>
      <c r="I1001" s="3340">
        <v>42825</v>
      </c>
      <c r="J1001" s="3324"/>
    </row>
    <row r="1002" spans="1:12" s="3327" customFormat="1" ht="13.5" customHeight="1">
      <c r="A1002" s="3354"/>
      <c r="B1002" s="3331" t="s">
        <v>3128</v>
      </c>
      <c r="C1002" s="3331" t="s">
        <v>3857</v>
      </c>
      <c r="D1002" s="3331" t="s">
        <v>3858</v>
      </c>
      <c r="E1002" s="3332">
        <v>53.3</v>
      </c>
      <c r="F1002" s="3332">
        <v>400</v>
      </c>
      <c r="G1002" s="3333">
        <v>42826</v>
      </c>
      <c r="H1002" s="3333">
        <v>42983</v>
      </c>
      <c r="I1002" s="3333">
        <v>43190</v>
      </c>
      <c r="J1002" s="3324"/>
      <c r="K1002" s="3334">
        <f>E1002</f>
        <v>53.3</v>
      </c>
      <c r="L1002" s="3334">
        <f>F1002/30</f>
        <v>13.333333333333334</v>
      </c>
    </row>
    <row r="1003" spans="1:12" s="3327" customFormat="1" ht="13.5" customHeight="1">
      <c r="A1003" s="3354" t="s">
        <v>3151</v>
      </c>
      <c r="B1003" s="3331" t="s">
        <v>3128</v>
      </c>
      <c r="C1003" s="3331" t="s">
        <v>3857</v>
      </c>
      <c r="D1003" s="3331" t="s">
        <v>3858</v>
      </c>
      <c r="E1003" s="3332">
        <v>53.3</v>
      </c>
      <c r="F1003" s="3332">
        <v>400</v>
      </c>
      <c r="G1003" s="3333">
        <v>42984</v>
      </c>
      <c r="H1003" s="3333">
        <v>43130</v>
      </c>
      <c r="I1003" s="3333">
        <v>43190</v>
      </c>
      <c r="J1003" s="3324"/>
      <c r="K1003" s="3334">
        <f>E1003</f>
        <v>53.3</v>
      </c>
      <c r="L1003" s="3334">
        <f>F1003/30</f>
        <v>13.333333333333334</v>
      </c>
    </row>
    <row r="1004" spans="1:12" s="3327" customFormat="1" ht="13.5" customHeight="1">
      <c r="A1004" s="3354"/>
      <c r="B1004" s="3324" t="s">
        <v>3128</v>
      </c>
      <c r="C1004" s="3324" t="s">
        <v>3859</v>
      </c>
      <c r="D1004" s="3324" t="s">
        <v>3860</v>
      </c>
      <c r="E1004" s="3325">
        <v>44.1</v>
      </c>
      <c r="F1004" s="3325">
        <v>145</v>
      </c>
      <c r="G1004" s="3326">
        <v>41699</v>
      </c>
      <c r="H1004" s="3326">
        <v>41820</v>
      </c>
      <c r="I1004" s="3326">
        <v>42094</v>
      </c>
      <c r="J1004" s="3324"/>
    </row>
    <row r="1005" spans="1:12" s="3327" customFormat="1" ht="13.5" customHeight="1">
      <c r="A1005" s="3323"/>
      <c r="B1005" s="3324" t="s">
        <v>3128</v>
      </c>
      <c r="C1005" s="3324" t="s">
        <v>3861</v>
      </c>
      <c r="D1005" s="3324" t="s">
        <v>3860</v>
      </c>
      <c r="E1005" s="3325">
        <v>44.1</v>
      </c>
      <c r="F1005" s="3325">
        <v>145</v>
      </c>
      <c r="G1005" s="3326">
        <v>41821</v>
      </c>
      <c r="H1005" s="3326">
        <v>42093</v>
      </c>
      <c r="I1005" s="3326">
        <v>42094</v>
      </c>
      <c r="J1005" s="3324"/>
    </row>
    <row r="1006" spans="1:12" s="3327" customFormat="1" ht="13.5" customHeight="1">
      <c r="A1006" s="3323"/>
      <c r="B1006" s="3336" t="s">
        <v>3128</v>
      </c>
      <c r="C1006" s="3336" t="s">
        <v>3861</v>
      </c>
      <c r="D1006" s="3336" t="s">
        <v>3860</v>
      </c>
      <c r="E1006" s="3339">
        <v>44.1</v>
      </c>
      <c r="F1006" s="3339">
        <v>145</v>
      </c>
      <c r="G1006" s="3340">
        <v>42095</v>
      </c>
      <c r="H1006" s="3340">
        <v>42338</v>
      </c>
      <c r="I1006" s="3340">
        <v>42460</v>
      </c>
      <c r="J1006" s="3324"/>
    </row>
    <row r="1007" spans="1:12" s="3327" customFormat="1" ht="13.5" customHeight="1">
      <c r="A1007" s="3323"/>
      <c r="B1007" s="3336" t="s">
        <v>3128</v>
      </c>
      <c r="C1007" s="3336" t="s">
        <v>3862</v>
      </c>
      <c r="D1007" s="3336" t="s">
        <v>3860</v>
      </c>
      <c r="E1007" s="3339">
        <v>44.1</v>
      </c>
      <c r="F1007" s="3339">
        <v>145</v>
      </c>
      <c r="G1007" s="3340">
        <v>42339</v>
      </c>
      <c r="H1007" s="3340">
        <v>42459</v>
      </c>
      <c r="I1007" s="3340">
        <v>42460</v>
      </c>
      <c r="J1007" s="3324"/>
    </row>
    <row r="1008" spans="1:12" s="3327" customFormat="1" ht="13.5" customHeight="1">
      <c r="A1008" s="3323"/>
      <c r="B1008" s="3336" t="s">
        <v>3128</v>
      </c>
      <c r="C1008" s="3336" t="s">
        <v>3862</v>
      </c>
      <c r="D1008" s="3336" t="s">
        <v>3860</v>
      </c>
      <c r="E1008" s="3339">
        <v>44.1</v>
      </c>
      <c r="F1008" s="3339">
        <v>170</v>
      </c>
      <c r="G1008" s="3340">
        <v>42461</v>
      </c>
      <c r="H1008" s="3340">
        <v>42824</v>
      </c>
      <c r="I1008" s="3340">
        <v>42825</v>
      </c>
      <c r="J1008" s="3324"/>
    </row>
    <row r="1009" spans="1:14" s="3327" customFormat="1" ht="13.5" customHeight="1">
      <c r="A1009" s="3323" t="s">
        <v>3151</v>
      </c>
      <c r="B1009" s="3331" t="s">
        <v>3128</v>
      </c>
      <c r="C1009" s="3331" t="s">
        <v>3862</v>
      </c>
      <c r="D1009" s="3331" t="s">
        <v>3863</v>
      </c>
      <c r="E1009" s="3332">
        <v>44.1</v>
      </c>
      <c r="F1009" s="3332">
        <v>190</v>
      </c>
      <c r="G1009" s="3333">
        <v>42826</v>
      </c>
      <c r="H1009" s="3333">
        <v>43130</v>
      </c>
      <c r="I1009" s="3333">
        <v>43190</v>
      </c>
      <c r="J1009" s="3324"/>
      <c r="K1009" s="3334">
        <f>E1009</f>
        <v>44.1</v>
      </c>
      <c r="L1009" s="3334">
        <f>F1009/30</f>
        <v>6.333333333333333</v>
      </c>
    </row>
    <row r="1010" spans="1:14" s="3327" customFormat="1" ht="13.5" customHeight="1">
      <c r="A1010" s="3323"/>
      <c r="B1010" s="3324" t="s">
        <v>3128</v>
      </c>
      <c r="C1010" s="3324" t="s">
        <v>3594</v>
      </c>
      <c r="D1010" s="3324" t="s">
        <v>3864</v>
      </c>
      <c r="E1010" s="3325">
        <v>23.3</v>
      </c>
      <c r="F1010" s="3325">
        <v>400</v>
      </c>
      <c r="G1010" s="3326">
        <v>42005</v>
      </c>
      <c r="H1010" s="3326">
        <v>42093</v>
      </c>
      <c r="I1010" s="3326">
        <v>42094</v>
      </c>
      <c r="J1010" s="3324"/>
    </row>
    <row r="1011" spans="1:14" s="3327" customFormat="1" ht="13.5" customHeight="1">
      <c r="A1011" s="3323"/>
      <c r="B1011" s="3336" t="s">
        <v>3128</v>
      </c>
      <c r="C1011" s="3336" t="s">
        <v>3594</v>
      </c>
      <c r="D1011" s="3336" t="s">
        <v>3864</v>
      </c>
      <c r="E1011" s="3339">
        <v>23.3</v>
      </c>
      <c r="F1011" s="3339">
        <v>450</v>
      </c>
      <c r="G1011" s="3340">
        <v>42095</v>
      </c>
      <c r="H1011" s="3340">
        <v>42459</v>
      </c>
      <c r="I1011" s="3340">
        <v>42460</v>
      </c>
      <c r="J1011" s="3324"/>
    </row>
    <row r="1012" spans="1:14" s="3327" customFormat="1" ht="13.5" customHeight="1">
      <c r="A1012" s="3323"/>
      <c r="B1012" s="3336" t="s">
        <v>3128</v>
      </c>
      <c r="C1012" s="3336" t="s">
        <v>3594</v>
      </c>
      <c r="D1012" s="3336" t="s">
        <v>3864</v>
      </c>
      <c r="E1012" s="3338">
        <v>30.9</v>
      </c>
      <c r="F1012" s="3339">
        <v>450</v>
      </c>
      <c r="G1012" s="3340">
        <v>42461</v>
      </c>
      <c r="H1012" s="3340">
        <v>42824</v>
      </c>
      <c r="I1012" s="3340">
        <v>42825</v>
      </c>
      <c r="J1012" s="3324"/>
    </row>
    <row r="1013" spans="1:14" s="3327" customFormat="1" ht="13.5" customHeight="1">
      <c r="A1013" s="3323"/>
      <c r="B1013" s="3331" t="s">
        <v>3128</v>
      </c>
      <c r="C1013" s="3331" t="s">
        <v>3594</v>
      </c>
      <c r="D1013" s="3331" t="s">
        <v>3865</v>
      </c>
      <c r="E1013" s="3332">
        <v>30.9</v>
      </c>
      <c r="F1013" s="3332">
        <v>500</v>
      </c>
      <c r="G1013" s="3333">
        <v>42826</v>
      </c>
      <c r="H1013" s="3333">
        <v>42885</v>
      </c>
      <c r="I1013" s="3333">
        <v>42886</v>
      </c>
      <c r="J1013" s="3324"/>
      <c r="K1013" s="3359">
        <f>E1013</f>
        <v>30.9</v>
      </c>
      <c r="L1013" s="3359">
        <f>F1013/30</f>
        <v>16.666666666666668</v>
      </c>
      <c r="M1013" s="3360"/>
      <c r="N1013" s="3360">
        <f>SUMPRODUCT(K7:K1013,L7:L1013)/SUM(K7:K1013)</f>
        <v>12.326776160591081</v>
      </c>
    </row>
    <row r="1014" spans="1:14" ht="13.5" customHeight="1" outlineLevel="1">
      <c r="A1014" s="3361">
        <v>149</v>
      </c>
      <c r="B1014" s="3362" t="s">
        <v>3866</v>
      </c>
      <c r="C1014" s="3363">
        <v>0</v>
      </c>
      <c r="D1014" s="3363"/>
      <c r="E1014" s="3364">
        <v>7705.1299999999992</v>
      </c>
      <c r="F1014" s="3364">
        <v>54640</v>
      </c>
      <c r="G1014" s="3363"/>
      <c r="H1014" s="3363"/>
      <c r="I1014" s="3363"/>
      <c r="J1014" s="3363">
        <v>0</v>
      </c>
    </row>
    <row r="1015" spans="1:14" s="3327" customFormat="1" ht="13.5" customHeight="1">
      <c r="A1015" s="3355"/>
      <c r="B1015" s="3366" t="s">
        <v>3867</v>
      </c>
      <c r="C1015" s="3367" t="s">
        <v>3868</v>
      </c>
      <c r="D1015" s="3336" t="s">
        <v>3869</v>
      </c>
      <c r="E1015" s="3339">
        <v>184.6</v>
      </c>
      <c r="F1015" s="3339">
        <v>320</v>
      </c>
      <c r="G1015" s="3340">
        <v>41365</v>
      </c>
      <c r="H1015" s="3340">
        <v>41698</v>
      </c>
      <c r="I1015" s="3340">
        <v>41729</v>
      </c>
      <c r="J1015" s="3336"/>
    </row>
    <row r="1016" spans="1:14" s="3327" customFormat="1" ht="13.5" customHeight="1">
      <c r="A1016" s="3354"/>
      <c r="B1016" s="3324" t="s">
        <v>3867</v>
      </c>
      <c r="C1016" s="3324" t="s">
        <v>3868</v>
      </c>
      <c r="D1016" s="3324" t="s">
        <v>3870</v>
      </c>
      <c r="E1016" s="3325">
        <v>69.599999999999994</v>
      </c>
      <c r="F1016" s="3325">
        <v>360</v>
      </c>
      <c r="G1016" s="3326">
        <v>41699</v>
      </c>
      <c r="H1016" s="3326">
        <v>42009</v>
      </c>
      <c r="I1016" s="3326">
        <v>42094</v>
      </c>
      <c r="J1016" s="3324"/>
    </row>
    <row r="1017" spans="1:14" s="3327" customFormat="1" ht="13.5" customHeight="1">
      <c r="A1017" s="3354"/>
      <c r="B1017" s="3324" t="s">
        <v>3867</v>
      </c>
      <c r="C1017" s="3324" t="s">
        <v>3868</v>
      </c>
      <c r="D1017" s="3324" t="s">
        <v>3870</v>
      </c>
      <c r="E1017" s="3325">
        <v>69.599999999999994</v>
      </c>
      <c r="F1017" s="3325">
        <v>360</v>
      </c>
      <c r="G1017" s="3326">
        <v>42015</v>
      </c>
      <c r="H1017" s="3326">
        <v>42093</v>
      </c>
      <c r="I1017" s="3326">
        <v>42094</v>
      </c>
      <c r="J1017" s="3324"/>
    </row>
    <row r="1018" spans="1:14" s="3327" customFormat="1" ht="13.5" customHeight="1">
      <c r="A1018" s="3354"/>
      <c r="B1018" s="3336" t="s">
        <v>3867</v>
      </c>
      <c r="C1018" s="3336" t="s">
        <v>3871</v>
      </c>
      <c r="D1018" s="3336" t="s">
        <v>3870</v>
      </c>
      <c r="E1018" s="3339">
        <v>69.599999999999994</v>
      </c>
      <c r="F1018" s="3339">
        <v>360</v>
      </c>
      <c r="G1018" s="3340">
        <v>42095</v>
      </c>
      <c r="H1018" s="3340">
        <v>42459</v>
      </c>
      <c r="I1018" s="3340">
        <v>42460</v>
      </c>
      <c r="J1018" s="3324"/>
    </row>
    <row r="1019" spans="1:14" s="3327" customFormat="1" ht="13.5" customHeight="1">
      <c r="A1019" s="3354"/>
      <c r="B1019" s="3336" t="s">
        <v>3867</v>
      </c>
      <c r="C1019" s="3336" t="s">
        <v>3871</v>
      </c>
      <c r="D1019" s="3336" t="s">
        <v>3870</v>
      </c>
      <c r="E1019" s="3339">
        <v>69.599999999999994</v>
      </c>
      <c r="F1019" s="3339">
        <v>360</v>
      </c>
      <c r="G1019" s="3340">
        <v>42461</v>
      </c>
      <c r="H1019" s="3340">
        <v>42824</v>
      </c>
      <c r="I1019" s="3340">
        <v>42825</v>
      </c>
      <c r="J1019" s="3324"/>
    </row>
    <row r="1020" spans="1:14" s="3327" customFormat="1" ht="13.5" customHeight="1">
      <c r="A1020" s="3354"/>
      <c r="B1020" s="3331" t="s">
        <v>3867</v>
      </c>
      <c r="C1020" s="3331" t="s">
        <v>3871</v>
      </c>
      <c r="D1020" s="3346" t="s">
        <v>3869</v>
      </c>
      <c r="E1020" s="3332">
        <v>69.599999999999994</v>
      </c>
      <c r="F1020" s="3332">
        <v>370</v>
      </c>
      <c r="G1020" s="3333">
        <v>42826</v>
      </c>
      <c r="H1020" s="3333">
        <v>42885</v>
      </c>
      <c r="I1020" s="3333">
        <v>42886</v>
      </c>
      <c r="J1020" s="3324"/>
      <c r="K1020" s="3334">
        <f t="shared" ref="K1020:K1021" si="61">E1020</f>
        <v>69.599999999999994</v>
      </c>
      <c r="L1020" s="3334">
        <f t="shared" ref="L1020:L1021" si="62">F1020/30</f>
        <v>12.333333333333334</v>
      </c>
    </row>
    <row r="1021" spans="1:14" s="3327" customFormat="1" ht="13.5" customHeight="1">
      <c r="A1021" s="3354" t="s">
        <v>3872</v>
      </c>
      <c r="B1021" s="3331" t="s">
        <v>3867</v>
      </c>
      <c r="C1021" s="3331" t="s">
        <v>3871</v>
      </c>
      <c r="D1021" s="3346" t="s">
        <v>3869</v>
      </c>
      <c r="E1021" s="3332">
        <v>69.599999999999994</v>
      </c>
      <c r="F1021" s="3332">
        <v>410</v>
      </c>
      <c r="G1021" s="3333">
        <v>42887</v>
      </c>
      <c r="H1021" s="3333">
        <v>43130</v>
      </c>
      <c r="I1021" s="3333">
        <v>43190</v>
      </c>
      <c r="J1021" s="3324"/>
      <c r="K1021" s="3334">
        <f t="shared" si="61"/>
        <v>69.599999999999994</v>
      </c>
      <c r="L1021" s="3334">
        <f t="shared" si="62"/>
        <v>13.666666666666666</v>
      </c>
    </row>
    <row r="1022" spans="1:14" s="3327" customFormat="1" ht="13.5" customHeight="1">
      <c r="A1022" s="3354"/>
      <c r="B1022" s="3368" t="s">
        <v>3867</v>
      </c>
      <c r="C1022" s="3324" t="s">
        <v>3873</v>
      </c>
      <c r="D1022" s="3344" t="s">
        <v>3874</v>
      </c>
      <c r="E1022" s="3325">
        <v>51.3</v>
      </c>
      <c r="F1022" s="3325">
        <v>330</v>
      </c>
      <c r="G1022" s="3326">
        <v>41699</v>
      </c>
      <c r="H1022" s="3326">
        <v>42093</v>
      </c>
      <c r="I1022" s="3326">
        <v>42094</v>
      </c>
      <c r="J1022" s="3324"/>
    </row>
    <row r="1023" spans="1:14" s="3327" customFormat="1" ht="13.5" customHeight="1">
      <c r="A1023" s="3354"/>
      <c r="B1023" s="3369" t="s">
        <v>3867</v>
      </c>
      <c r="C1023" s="3336" t="s">
        <v>3873</v>
      </c>
      <c r="D1023" s="3345" t="s">
        <v>3874</v>
      </c>
      <c r="E1023" s="3339">
        <v>51.3</v>
      </c>
      <c r="F1023" s="3339">
        <v>360</v>
      </c>
      <c r="G1023" s="3340">
        <v>42095</v>
      </c>
      <c r="H1023" s="3340">
        <v>42459</v>
      </c>
      <c r="I1023" s="3340">
        <v>42460</v>
      </c>
      <c r="J1023" s="3324"/>
    </row>
    <row r="1024" spans="1:14" s="3327" customFormat="1" ht="13.5" customHeight="1">
      <c r="A1024" s="3354"/>
      <c r="B1024" s="3369" t="s">
        <v>3867</v>
      </c>
      <c r="C1024" s="3336" t="s">
        <v>3873</v>
      </c>
      <c r="D1024" s="3345" t="s">
        <v>3874</v>
      </c>
      <c r="E1024" s="3339">
        <v>51.3</v>
      </c>
      <c r="F1024" s="3339">
        <v>360</v>
      </c>
      <c r="G1024" s="3340">
        <v>42461</v>
      </c>
      <c r="H1024" s="3340">
        <v>42824</v>
      </c>
      <c r="I1024" s="3340">
        <v>42825</v>
      </c>
      <c r="J1024" s="3324"/>
    </row>
    <row r="1025" spans="1:12" s="3327" customFormat="1" ht="13.5" customHeight="1">
      <c r="A1025" s="3354"/>
      <c r="B1025" s="3370" t="s">
        <v>3867</v>
      </c>
      <c r="C1025" s="3331" t="s">
        <v>3875</v>
      </c>
      <c r="D1025" s="3346" t="s">
        <v>3876</v>
      </c>
      <c r="E1025" s="3332">
        <v>51.3</v>
      </c>
      <c r="F1025" s="3332">
        <v>370</v>
      </c>
      <c r="G1025" s="3333">
        <v>42826</v>
      </c>
      <c r="H1025" s="3333">
        <v>42885</v>
      </c>
      <c r="I1025" s="3333">
        <v>42886</v>
      </c>
      <c r="J1025" s="3324"/>
      <c r="K1025" s="3334">
        <f t="shared" ref="K1025:K1026" si="63">E1025</f>
        <v>51.3</v>
      </c>
      <c r="L1025" s="3334">
        <f t="shared" ref="L1025:L1026" si="64">F1025/30</f>
        <v>12.333333333333334</v>
      </c>
    </row>
    <row r="1026" spans="1:12" s="3327" customFormat="1" ht="13.5" customHeight="1">
      <c r="A1026" s="3354" t="s">
        <v>3872</v>
      </c>
      <c r="B1026" s="3370" t="s">
        <v>3867</v>
      </c>
      <c r="C1026" s="3331" t="s">
        <v>3875</v>
      </c>
      <c r="D1026" s="3346" t="s">
        <v>3876</v>
      </c>
      <c r="E1026" s="3332">
        <v>51.3</v>
      </c>
      <c r="F1026" s="3332">
        <v>410</v>
      </c>
      <c r="G1026" s="3333">
        <v>42887</v>
      </c>
      <c r="H1026" s="3333">
        <v>43130</v>
      </c>
      <c r="I1026" s="3333">
        <v>43190</v>
      </c>
      <c r="J1026" s="3324"/>
      <c r="K1026" s="3334">
        <f t="shared" si="63"/>
        <v>51.3</v>
      </c>
      <c r="L1026" s="3334">
        <f t="shared" si="64"/>
        <v>13.666666666666666</v>
      </c>
    </row>
    <row r="1027" spans="1:12" s="3327" customFormat="1" ht="12.75" customHeight="1">
      <c r="A1027" s="3354"/>
      <c r="B1027" s="3368" t="s">
        <v>3867</v>
      </c>
      <c r="C1027" s="3324" t="s">
        <v>3877</v>
      </c>
      <c r="D1027" s="3344" t="s">
        <v>3878</v>
      </c>
      <c r="E1027" s="3325">
        <v>63.9</v>
      </c>
      <c r="F1027" s="3325">
        <v>330</v>
      </c>
      <c r="G1027" s="3326">
        <v>41699</v>
      </c>
      <c r="H1027" s="3326">
        <v>42003</v>
      </c>
      <c r="I1027" s="3326">
        <v>42094</v>
      </c>
      <c r="J1027" s="3324"/>
    </row>
    <row r="1028" spans="1:12" s="3327" customFormat="1" ht="12.75" customHeight="1">
      <c r="A1028" s="3354"/>
      <c r="B1028" s="3368" t="s">
        <v>3867</v>
      </c>
      <c r="C1028" s="3324" t="s">
        <v>3877</v>
      </c>
      <c r="D1028" s="3344" t="s">
        <v>3878</v>
      </c>
      <c r="E1028" s="3325">
        <v>63.9</v>
      </c>
      <c r="F1028" s="3325">
        <v>340</v>
      </c>
      <c r="G1028" s="3326">
        <v>42005</v>
      </c>
      <c r="H1028" s="3326">
        <v>42093</v>
      </c>
      <c r="I1028" s="3326">
        <v>42094</v>
      </c>
      <c r="J1028" s="3324"/>
    </row>
    <row r="1029" spans="1:12" s="3327" customFormat="1" ht="12.75" customHeight="1">
      <c r="A1029" s="3354"/>
      <c r="B1029" s="3369" t="s">
        <v>3867</v>
      </c>
      <c r="C1029" s="3336" t="s">
        <v>3877</v>
      </c>
      <c r="D1029" s="3345" t="s">
        <v>3878</v>
      </c>
      <c r="E1029" s="3339">
        <v>63.9</v>
      </c>
      <c r="F1029" s="3339">
        <v>340</v>
      </c>
      <c r="G1029" s="3340">
        <v>42095</v>
      </c>
      <c r="H1029" s="3340">
        <v>42381</v>
      </c>
      <c r="I1029" s="3340">
        <v>42460</v>
      </c>
      <c r="J1029" s="3324"/>
    </row>
    <row r="1030" spans="1:12" s="3327" customFormat="1" ht="12.75" customHeight="1">
      <c r="A1030" s="3355"/>
      <c r="B1030" s="3371" t="s">
        <v>3867</v>
      </c>
      <c r="C1030" s="3372" t="s">
        <v>3879</v>
      </c>
      <c r="D1030" s="3336" t="s">
        <v>3880</v>
      </c>
      <c r="E1030" s="3339">
        <v>133.69999999999999</v>
      </c>
      <c r="F1030" s="3339">
        <v>330</v>
      </c>
      <c r="G1030" s="3340">
        <v>41000</v>
      </c>
      <c r="H1030" s="3340">
        <v>41363</v>
      </c>
      <c r="I1030" s="3340">
        <v>41364</v>
      </c>
      <c r="J1030" s="3336"/>
    </row>
    <row r="1031" spans="1:12" s="3327" customFormat="1" ht="12.75" customHeight="1">
      <c r="A1031" s="3354"/>
      <c r="B1031" s="3368" t="s">
        <v>3867</v>
      </c>
      <c r="C1031" s="3324" t="s">
        <v>3879</v>
      </c>
      <c r="D1031" s="3344" t="s">
        <v>3881</v>
      </c>
      <c r="E1031" s="3325">
        <v>133.69999999999999</v>
      </c>
      <c r="F1031" s="3325">
        <v>315</v>
      </c>
      <c r="G1031" s="3326">
        <v>41699</v>
      </c>
      <c r="H1031" s="3326">
        <v>42093</v>
      </c>
      <c r="I1031" s="3326">
        <v>42094</v>
      </c>
      <c r="J1031" s="3324"/>
    </row>
    <row r="1032" spans="1:12" s="3327" customFormat="1" ht="12.75" customHeight="1">
      <c r="A1032" s="3354"/>
      <c r="B1032" s="3369" t="s">
        <v>3867</v>
      </c>
      <c r="C1032" s="3336" t="s">
        <v>3879</v>
      </c>
      <c r="D1032" s="3345" t="s">
        <v>3881</v>
      </c>
      <c r="E1032" s="3339">
        <v>133.69999999999999</v>
      </c>
      <c r="F1032" s="3339">
        <v>330</v>
      </c>
      <c r="G1032" s="3340">
        <v>42095</v>
      </c>
      <c r="H1032" s="3340">
        <v>42459</v>
      </c>
      <c r="I1032" s="3340">
        <v>42460</v>
      </c>
      <c r="J1032" s="3324"/>
    </row>
    <row r="1033" spans="1:12" s="3327" customFormat="1" ht="12.75" customHeight="1">
      <c r="A1033" s="3354"/>
      <c r="B1033" s="3369" t="s">
        <v>3867</v>
      </c>
      <c r="C1033" s="3336" t="s">
        <v>3879</v>
      </c>
      <c r="D1033" s="3345" t="s">
        <v>3881</v>
      </c>
      <c r="E1033" s="3338">
        <v>135.80000000000001</v>
      </c>
      <c r="F1033" s="3339">
        <v>340</v>
      </c>
      <c r="G1033" s="3340">
        <v>42461</v>
      </c>
      <c r="H1033" s="3340">
        <v>42824</v>
      </c>
      <c r="I1033" s="3340">
        <v>42825</v>
      </c>
      <c r="J1033" s="3324"/>
    </row>
    <row r="1034" spans="1:12" s="3327" customFormat="1" ht="12.75" customHeight="1">
      <c r="A1034" s="3354"/>
      <c r="B1034" s="3370" t="s">
        <v>3867</v>
      </c>
      <c r="C1034" s="3331" t="s">
        <v>3879</v>
      </c>
      <c r="D1034" s="3346" t="s">
        <v>3881</v>
      </c>
      <c r="E1034" s="3332">
        <v>135.80000000000001</v>
      </c>
      <c r="F1034" s="3332">
        <v>340</v>
      </c>
      <c r="G1034" s="3333">
        <v>42826</v>
      </c>
      <c r="H1034" s="3333">
        <v>42885</v>
      </c>
      <c r="I1034" s="3333">
        <v>42886</v>
      </c>
      <c r="J1034" s="3324"/>
      <c r="K1034" s="3334">
        <f t="shared" ref="K1034:K1036" si="65">E1034</f>
        <v>135.80000000000001</v>
      </c>
      <c r="L1034" s="3334">
        <f t="shared" ref="L1034:L1036" si="66">F1034/30</f>
        <v>11.333333333333334</v>
      </c>
    </row>
    <row r="1035" spans="1:12" s="3327" customFormat="1" ht="12.75" customHeight="1">
      <c r="A1035" s="3354"/>
      <c r="B1035" s="3370" t="s">
        <v>3867</v>
      </c>
      <c r="C1035" s="3331" t="s">
        <v>3879</v>
      </c>
      <c r="D1035" s="3346" t="s">
        <v>3881</v>
      </c>
      <c r="E1035" s="3332">
        <v>135.80000000000001</v>
      </c>
      <c r="F1035" s="3332">
        <v>340</v>
      </c>
      <c r="G1035" s="3333">
        <v>42887</v>
      </c>
      <c r="H1035" s="3333">
        <v>42898</v>
      </c>
      <c r="I1035" s="3333">
        <v>43190</v>
      </c>
      <c r="J1035" s="3324"/>
      <c r="K1035" s="3334">
        <f t="shared" si="65"/>
        <v>135.80000000000001</v>
      </c>
      <c r="L1035" s="3334">
        <f t="shared" si="66"/>
        <v>11.333333333333334</v>
      </c>
    </row>
    <row r="1036" spans="1:12" s="3327" customFormat="1" ht="12.75" customHeight="1">
      <c r="A1036" s="3354" t="s">
        <v>3872</v>
      </c>
      <c r="B1036" s="3370" t="s">
        <v>3867</v>
      </c>
      <c r="C1036" s="3331" t="s">
        <v>3590</v>
      </c>
      <c r="D1036" s="3346" t="s">
        <v>3881</v>
      </c>
      <c r="E1036" s="3332">
        <v>135.80000000000001</v>
      </c>
      <c r="F1036" s="3332">
        <v>390</v>
      </c>
      <c r="G1036" s="3333">
        <v>42899</v>
      </c>
      <c r="H1036" s="3333">
        <v>43130</v>
      </c>
      <c r="I1036" s="3333">
        <v>43190</v>
      </c>
      <c r="J1036" s="3324"/>
      <c r="K1036" s="3334">
        <f t="shared" si="65"/>
        <v>135.80000000000001</v>
      </c>
      <c r="L1036" s="3334">
        <f t="shared" si="66"/>
        <v>13</v>
      </c>
    </row>
    <row r="1037" spans="1:12" s="3327" customFormat="1" ht="13.5" customHeight="1">
      <c r="A1037" s="3355"/>
      <c r="B1037" s="3371" t="s">
        <v>3867</v>
      </c>
      <c r="C1037" s="3372" t="s">
        <v>3882</v>
      </c>
      <c r="D1037" s="3336" t="s">
        <v>3883</v>
      </c>
      <c r="E1037" s="3339">
        <v>94.7</v>
      </c>
      <c r="F1037" s="3339">
        <v>330</v>
      </c>
      <c r="G1037" s="3340">
        <v>41214</v>
      </c>
      <c r="H1037" s="3340">
        <v>41363</v>
      </c>
      <c r="I1037" s="3340">
        <v>41364</v>
      </c>
      <c r="J1037" s="3336"/>
    </row>
    <row r="1038" spans="1:12" s="3327" customFormat="1" ht="13.5" customHeight="1">
      <c r="A1038" s="3354"/>
      <c r="B1038" s="3368" t="s">
        <v>3867</v>
      </c>
      <c r="C1038" s="3368" t="s">
        <v>3133</v>
      </c>
      <c r="D1038" s="3344" t="s">
        <v>3884</v>
      </c>
      <c r="E1038" s="3373">
        <v>61.3</v>
      </c>
      <c r="F1038" s="3325">
        <v>230</v>
      </c>
      <c r="G1038" s="3326">
        <v>41730</v>
      </c>
      <c r="H1038" s="3326">
        <v>41820</v>
      </c>
      <c r="I1038" s="3326">
        <v>42094</v>
      </c>
      <c r="J1038" s="3324"/>
    </row>
    <row r="1039" spans="1:12" s="3327" customFormat="1" ht="13.5" customHeight="1">
      <c r="A1039" s="3354"/>
      <c r="B1039" s="3368" t="s">
        <v>3867</v>
      </c>
      <c r="C1039" s="3368" t="s">
        <v>3885</v>
      </c>
      <c r="D1039" s="3344" t="s">
        <v>3886</v>
      </c>
      <c r="E1039" s="3373">
        <v>33.4</v>
      </c>
      <c r="F1039" s="3325">
        <v>230</v>
      </c>
      <c r="G1039" s="3326">
        <v>41730</v>
      </c>
      <c r="H1039" s="3326">
        <v>42093</v>
      </c>
      <c r="I1039" s="3326">
        <v>42094</v>
      </c>
      <c r="J1039" s="3324"/>
    </row>
    <row r="1040" spans="1:12" s="3327" customFormat="1" ht="13.5" customHeight="1">
      <c r="A1040" s="3354"/>
      <c r="B1040" s="3369" t="s">
        <v>3867</v>
      </c>
      <c r="C1040" s="3369" t="s">
        <v>3885</v>
      </c>
      <c r="D1040" s="3345" t="s">
        <v>3886</v>
      </c>
      <c r="E1040" s="3374">
        <v>33.4</v>
      </c>
      <c r="F1040" s="3339">
        <v>330</v>
      </c>
      <c r="G1040" s="3340">
        <v>42095</v>
      </c>
      <c r="H1040" s="3340">
        <v>42154</v>
      </c>
      <c r="I1040" s="3340">
        <v>42460</v>
      </c>
      <c r="J1040" s="3324"/>
    </row>
    <row r="1041" spans="1:12" s="3327" customFormat="1" ht="13.5" customHeight="1">
      <c r="A1041" s="3354"/>
      <c r="B1041" s="3375" t="s">
        <v>3867</v>
      </c>
      <c r="C1041" s="3375" t="s">
        <v>3887</v>
      </c>
      <c r="D1041" s="3324" t="s">
        <v>3888</v>
      </c>
      <c r="E1041" s="3373">
        <v>96.2</v>
      </c>
      <c r="F1041" s="3325">
        <v>330</v>
      </c>
      <c r="G1041" s="3326">
        <v>41000</v>
      </c>
      <c r="H1041" s="3326">
        <v>41151</v>
      </c>
      <c r="I1041" s="3326">
        <v>41364</v>
      </c>
      <c r="J1041" s="3324"/>
    </row>
    <row r="1042" spans="1:12" s="3327" customFormat="1" ht="13.5" customHeight="1">
      <c r="A1042" s="3355"/>
      <c r="B1042" s="3369" t="s">
        <v>3867</v>
      </c>
      <c r="C1042" s="3336" t="s">
        <v>3882</v>
      </c>
      <c r="D1042" s="3336" t="s">
        <v>3888</v>
      </c>
      <c r="E1042" s="3339">
        <v>96.2</v>
      </c>
      <c r="F1042" s="3339">
        <v>330</v>
      </c>
      <c r="G1042" s="3340">
        <v>41214</v>
      </c>
      <c r="H1042" s="3340">
        <v>41363</v>
      </c>
      <c r="I1042" s="3340">
        <v>41364</v>
      </c>
      <c r="J1042" s="3336"/>
    </row>
    <row r="1043" spans="1:12" s="3327" customFormat="1" ht="13.5" customHeight="1">
      <c r="A1043" s="3354"/>
      <c r="B1043" s="3368" t="s">
        <v>3867</v>
      </c>
      <c r="C1043" s="3368" t="s">
        <v>3133</v>
      </c>
      <c r="D1043" s="3344" t="s">
        <v>3889</v>
      </c>
      <c r="E1043" s="3325">
        <v>96.2</v>
      </c>
      <c r="F1043" s="3325">
        <v>230</v>
      </c>
      <c r="G1043" s="3326">
        <v>41730</v>
      </c>
      <c r="H1043" s="3326">
        <v>41820</v>
      </c>
      <c r="I1043" s="3326">
        <v>42094</v>
      </c>
      <c r="J1043" s="3324"/>
    </row>
    <row r="1044" spans="1:12" s="3327" customFormat="1" ht="13.5" customHeight="1">
      <c r="A1044" s="3354"/>
      <c r="B1044" s="3368" t="s">
        <v>3867</v>
      </c>
      <c r="C1044" s="3368" t="s">
        <v>3133</v>
      </c>
      <c r="D1044" s="3344" t="s">
        <v>3889</v>
      </c>
      <c r="E1044" s="3325">
        <v>157.5</v>
      </c>
      <c r="F1044" s="3325">
        <v>230</v>
      </c>
      <c r="G1044" s="3326">
        <v>41821</v>
      </c>
      <c r="H1044" s="3326">
        <v>42093</v>
      </c>
      <c r="I1044" s="3326">
        <v>42094</v>
      </c>
      <c r="J1044" s="3324"/>
    </row>
    <row r="1045" spans="1:12" s="3327" customFormat="1" ht="13.5" customHeight="1">
      <c r="A1045" s="3354"/>
      <c r="B1045" s="3369" t="s">
        <v>3867</v>
      </c>
      <c r="C1045" s="3369" t="s">
        <v>3133</v>
      </c>
      <c r="D1045" s="3345" t="s">
        <v>3889</v>
      </c>
      <c r="E1045" s="3339">
        <v>157.5</v>
      </c>
      <c r="F1045" s="3339">
        <v>280</v>
      </c>
      <c r="G1045" s="3340">
        <v>42095</v>
      </c>
      <c r="H1045" s="3340">
        <v>42154</v>
      </c>
      <c r="I1045" s="3340">
        <v>42155</v>
      </c>
      <c r="J1045" s="3324"/>
    </row>
    <row r="1046" spans="1:12" s="3327" customFormat="1" ht="13.5" customHeight="1">
      <c r="A1046" s="3354"/>
      <c r="B1046" s="3369" t="s">
        <v>3867</v>
      </c>
      <c r="C1046" s="3371" t="s">
        <v>3133</v>
      </c>
      <c r="D1046" s="3345" t="s">
        <v>3890</v>
      </c>
      <c r="E1046" s="3339">
        <v>96.2</v>
      </c>
      <c r="F1046" s="3339">
        <v>280</v>
      </c>
      <c r="G1046" s="3340">
        <v>42156</v>
      </c>
      <c r="H1046" s="3340">
        <v>42459</v>
      </c>
      <c r="I1046" s="3340">
        <v>42460</v>
      </c>
      <c r="J1046" s="3324"/>
    </row>
    <row r="1047" spans="1:12" s="3327" customFormat="1" ht="13.5" customHeight="1">
      <c r="A1047" s="3354"/>
      <c r="B1047" s="3369" t="s">
        <v>3867</v>
      </c>
      <c r="C1047" s="3371" t="s">
        <v>3133</v>
      </c>
      <c r="D1047" s="3345" t="s">
        <v>3890</v>
      </c>
      <c r="E1047" s="3339">
        <v>96.2</v>
      </c>
      <c r="F1047" s="3339">
        <v>300</v>
      </c>
      <c r="G1047" s="3340">
        <v>42461</v>
      </c>
      <c r="H1047" s="3340">
        <v>42824</v>
      </c>
      <c r="I1047" s="3340">
        <v>42825</v>
      </c>
      <c r="J1047" s="3324"/>
    </row>
    <row r="1048" spans="1:12" s="3327" customFormat="1" ht="13.5" customHeight="1">
      <c r="A1048" s="3354"/>
      <c r="B1048" s="3370" t="s">
        <v>3867</v>
      </c>
      <c r="C1048" s="3376" t="s">
        <v>3133</v>
      </c>
      <c r="D1048" s="3346" t="s">
        <v>3889</v>
      </c>
      <c r="E1048" s="3332">
        <v>96.2</v>
      </c>
      <c r="F1048" s="3332">
        <v>280</v>
      </c>
      <c r="G1048" s="3333">
        <v>42826</v>
      </c>
      <c r="H1048" s="3333">
        <v>42885</v>
      </c>
      <c r="I1048" s="3333">
        <v>42886</v>
      </c>
      <c r="J1048" s="3324"/>
      <c r="K1048" s="3334">
        <f t="shared" ref="K1048:K1049" si="67">E1048</f>
        <v>96.2</v>
      </c>
      <c r="L1048" s="3334">
        <f t="shared" ref="L1048:L1049" si="68">F1048/30</f>
        <v>9.3333333333333339</v>
      </c>
    </row>
    <row r="1049" spans="1:12" s="3327" customFormat="1" ht="13.5" customHeight="1">
      <c r="A1049" s="3354"/>
      <c r="B1049" s="3370" t="s">
        <v>3867</v>
      </c>
      <c r="C1049" s="3376" t="s">
        <v>3133</v>
      </c>
      <c r="D1049" s="3346" t="s">
        <v>3889</v>
      </c>
      <c r="E1049" s="3332">
        <v>96.2</v>
      </c>
      <c r="F1049" s="3332">
        <v>280</v>
      </c>
      <c r="G1049" s="3333">
        <v>42887</v>
      </c>
      <c r="H1049" s="3333">
        <v>42898</v>
      </c>
      <c r="I1049" s="3333">
        <v>43190</v>
      </c>
      <c r="J1049" s="3324"/>
      <c r="K1049" s="3334">
        <f t="shared" si="67"/>
        <v>96.2</v>
      </c>
      <c r="L1049" s="3334">
        <f t="shared" si="68"/>
        <v>9.3333333333333339</v>
      </c>
    </row>
    <row r="1050" spans="1:12" s="3327" customFormat="1" ht="13.5" customHeight="1">
      <c r="A1050" s="3354"/>
      <c r="B1050" s="3369" t="s">
        <v>3867</v>
      </c>
      <c r="C1050" s="3371" t="s">
        <v>3147</v>
      </c>
      <c r="D1050" s="3345" t="s">
        <v>3889</v>
      </c>
      <c r="E1050" s="3339">
        <v>94.7</v>
      </c>
      <c r="F1050" s="3339">
        <v>330</v>
      </c>
      <c r="G1050" s="3340">
        <v>42156</v>
      </c>
      <c r="H1050" s="3340">
        <v>42459</v>
      </c>
      <c r="I1050" s="3340">
        <v>42460</v>
      </c>
      <c r="J1050" s="3324"/>
    </row>
    <row r="1051" spans="1:12" s="3327" customFormat="1" ht="13.5" customHeight="1">
      <c r="A1051" s="3354"/>
      <c r="B1051" s="3369" t="s">
        <v>3867</v>
      </c>
      <c r="C1051" s="3371" t="s">
        <v>3147</v>
      </c>
      <c r="D1051" s="3345" t="s">
        <v>3889</v>
      </c>
      <c r="E1051" s="3338">
        <v>106.69</v>
      </c>
      <c r="F1051" s="3339">
        <v>330</v>
      </c>
      <c r="G1051" s="3340">
        <v>42461</v>
      </c>
      <c r="H1051" s="3340">
        <v>42824</v>
      </c>
      <c r="I1051" s="3340">
        <v>42825</v>
      </c>
      <c r="J1051" s="3324"/>
    </row>
    <row r="1052" spans="1:12" s="3327" customFormat="1" ht="13.5" customHeight="1">
      <c r="A1052" s="3354"/>
      <c r="B1052" s="3370" t="s">
        <v>3867</v>
      </c>
      <c r="C1052" s="3376" t="s">
        <v>3147</v>
      </c>
      <c r="D1052" s="3377" t="s">
        <v>3891</v>
      </c>
      <c r="E1052" s="3332">
        <v>106.69</v>
      </c>
      <c r="F1052" s="3332">
        <v>335</v>
      </c>
      <c r="G1052" s="3333">
        <v>42826</v>
      </c>
      <c r="H1052" s="3333">
        <v>42885</v>
      </c>
      <c r="I1052" s="3333">
        <v>42886</v>
      </c>
      <c r="J1052" s="3324"/>
      <c r="K1052" s="3334">
        <f t="shared" ref="K1052:K1056" si="69">E1052</f>
        <v>106.69</v>
      </c>
      <c r="L1052" s="3334">
        <f t="shared" ref="L1052:L1056" si="70">F1052/30</f>
        <v>11.166666666666666</v>
      </c>
    </row>
    <row r="1053" spans="1:12" s="3327" customFormat="1" ht="13.5" customHeight="1">
      <c r="A1053" s="3354"/>
      <c r="B1053" s="3370" t="s">
        <v>3867</v>
      </c>
      <c r="C1053" s="3376" t="s">
        <v>3147</v>
      </c>
      <c r="D1053" s="3377" t="s">
        <v>3891</v>
      </c>
      <c r="E1053" s="3332">
        <v>106.69</v>
      </c>
      <c r="F1053" s="3332">
        <v>335</v>
      </c>
      <c r="G1053" s="3333">
        <v>42887</v>
      </c>
      <c r="H1053" s="3333">
        <v>42898</v>
      </c>
      <c r="I1053" s="3333">
        <v>43190</v>
      </c>
      <c r="J1053" s="3324"/>
      <c r="K1053" s="3334">
        <f t="shared" si="69"/>
        <v>106.69</v>
      </c>
      <c r="L1053" s="3334">
        <f t="shared" si="70"/>
        <v>11.166666666666666</v>
      </c>
    </row>
    <row r="1054" spans="1:12" s="3327" customFormat="1" ht="11.25">
      <c r="A1054" s="3354"/>
      <c r="B1054" s="3370" t="s">
        <v>3867</v>
      </c>
      <c r="C1054" s="3376" t="s">
        <v>3892</v>
      </c>
      <c r="D1054" s="3377" t="s">
        <v>3889</v>
      </c>
      <c r="E1054" s="3332">
        <v>129.52000000000001</v>
      </c>
      <c r="F1054" s="3332">
        <v>390</v>
      </c>
      <c r="G1054" s="3333">
        <v>42899</v>
      </c>
      <c r="H1054" s="3333">
        <v>42946</v>
      </c>
      <c r="I1054" s="3333">
        <v>43190</v>
      </c>
      <c r="J1054" s="3324"/>
      <c r="K1054" s="3334">
        <f t="shared" si="69"/>
        <v>129.52000000000001</v>
      </c>
      <c r="L1054" s="3334">
        <f t="shared" si="70"/>
        <v>13</v>
      </c>
    </row>
    <row r="1055" spans="1:12" s="3327" customFormat="1" ht="11.25">
      <c r="A1055" s="3354" t="s">
        <v>3872</v>
      </c>
      <c r="B1055" s="3370" t="s">
        <v>3867</v>
      </c>
      <c r="C1055" s="3376" t="s">
        <v>3892</v>
      </c>
      <c r="D1055" s="3377" t="s">
        <v>3889</v>
      </c>
      <c r="E1055" s="3332">
        <v>129.52000000000001</v>
      </c>
      <c r="F1055" s="3332">
        <v>380</v>
      </c>
      <c r="G1055" s="3333">
        <v>42948</v>
      </c>
      <c r="H1055" s="3333">
        <v>43130</v>
      </c>
      <c r="I1055" s="3333">
        <v>43190</v>
      </c>
      <c r="J1055" s="3324"/>
      <c r="K1055" s="3334">
        <f t="shared" si="69"/>
        <v>129.52000000000001</v>
      </c>
      <c r="L1055" s="3334">
        <f t="shared" si="70"/>
        <v>12.666666666666666</v>
      </c>
    </row>
    <row r="1056" spans="1:12" s="3327" customFormat="1" ht="13.5" customHeight="1">
      <c r="A1056" s="3354" t="s">
        <v>3872</v>
      </c>
      <c r="B1056" s="3370" t="s">
        <v>3867</v>
      </c>
      <c r="C1056" s="3376" t="s">
        <v>3590</v>
      </c>
      <c r="D1056" s="3377" t="s">
        <v>3891</v>
      </c>
      <c r="E1056" s="3332">
        <v>29.94</v>
      </c>
      <c r="F1056" s="3332">
        <v>390</v>
      </c>
      <c r="G1056" s="3333">
        <v>42899</v>
      </c>
      <c r="H1056" s="3333">
        <v>43130</v>
      </c>
      <c r="I1056" s="3333">
        <v>43190</v>
      </c>
      <c r="J1056" s="3324"/>
      <c r="K1056" s="3334">
        <f t="shared" si="69"/>
        <v>29.94</v>
      </c>
      <c r="L1056" s="3334">
        <f t="shared" si="70"/>
        <v>13</v>
      </c>
    </row>
    <row r="1057" spans="1:12" s="3327" customFormat="1" ht="13.5" customHeight="1">
      <c r="A1057" s="3355"/>
      <c r="B1057" s="3371" t="s">
        <v>3867</v>
      </c>
      <c r="C1057" s="3371" t="s">
        <v>3893</v>
      </c>
      <c r="D1057" s="3371" t="s">
        <v>3894</v>
      </c>
      <c r="E1057" s="3339">
        <v>175.8</v>
      </c>
      <c r="F1057" s="3339">
        <v>330</v>
      </c>
      <c r="G1057" s="3340">
        <v>41000</v>
      </c>
      <c r="H1057" s="3340">
        <v>41363</v>
      </c>
      <c r="I1057" s="3340">
        <v>41364</v>
      </c>
      <c r="J1057" s="3336"/>
    </row>
    <row r="1058" spans="1:12" s="3327" customFormat="1" ht="13.5" customHeight="1">
      <c r="A1058" s="3354"/>
      <c r="B1058" s="3375" t="s">
        <v>3867</v>
      </c>
      <c r="C1058" s="3375" t="s">
        <v>3893</v>
      </c>
      <c r="D1058" s="3375" t="s">
        <v>3895</v>
      </c>
      <c r="E1058" s="3325">
        <v>175.8</v>
      </c>
      <c r="F1058" s="3325">
        <v>302</v>
      </c>
      <c r="G1058" s="3326">
        <v>41730</v>
      </c>
      <c r="H1058" s="3326">
        <v>41924</v>
      </c>
      <c r="I1058" s="3326">
        <v>42094</v>
      </c>
      <c r="J1058" s="3324"/>
    </row>
    <row r="1059" spans="1:12" s="3327" customFormat="1" ht="13.5" customHeight="1">
      <c r="A1059" s="3354"/>
      <c r="B1059" s="3375" t="s">
        <v>3867</v>
      </c>
      <c r="C1059" s="3375" t="s">
        <v>3896</v>
      </c>
      <c r="D1059" s="3375" t="s">
        <v>3895</v>
      </c>
      <c r="E1059" s="3325">
        <v>175.8</v>
      </c>
      <c r="F1059" s="3325">
        <v>310</v>
      </c>
      <c r="G1059" s="3326">
        <v>41925</v>
      </c>
      <c r="H1059" s="3326">
        <v>42093</v>
      </c>
      <c r="I1059" s="3326">
        <v>42094</v>
      </c>
      <c r="J1059" s="3324"/>
    </row>
    <row r="1060" spans="1:12" s="3327" customFormat="1" ht="13.5" customHeight="1">
      <c r="A1060" s="3354"/>
      <c r="B1060" s="3371" t="s">
        <v>3867</v>
      </c>
      <c r="C1060" s="3371" t="s">
        <v>3896</v>
      </c>
      <c r="D1060" s="3371" t="s">
        <v>3895</v>
      </c>
      <c r="E1060" s="3339">
        <v>175.8</v>
      </c>
      <c r="F1060" s="3339">
        <v>310</v>
      </c>
      <c r="G1060" s="3340">
        <v>42095</v>
      </c>
      <c r="H1060" s="3340">
        <v>42253</v>
      </c>
      <c r="I1060" s="3340">
        <v>42460</v>
      </c>
      <c r="J1060" s="3324"/>
    </row>
    <row r="1061" spans="1:12" s="3327" customFormat="1" ht="13.5" customHeight="1">
      <c r="A1061" s="3354"/>
      <c r="B1061" s="3371" t="s">
        <v>3867</v>
      </c>
      <c r="C1061" s="3371" t="s">
        <v>3897</v>
      </c>
      <c r="D1061" s="3371" t="s">
        <v>3895</v>
      </c>
      <c r="E1061" s="3339">
        <v>175.8</v>
      </c>
      <c r="F1061" s="3339">
        <v>310</v>
      </c>
      <c r="G1061" s="3340">
        <v>42293</v>
      </c>
      <c r="H1061" s="3340">
        <v>42459</v>
      </c>
      <c r="I1061" s="3340">
        <v>42460</v>
      </c>
      <c r="J1061" s="3324"/>
    </row>
    <row r="1062" spans="1:12" s="3327" customFormat="1" ht="13.5" customHeight="1">
      <c r="A1062" s="3354"/>
      <c r="B1062" s="3371" t="s">
        <v>3867</v>
      </c>
      <c r="C1062" s="3371" t="s">
        <v>3897</v>
      </c>
      <c r="D1062" s="3371" t="s">
        <v>3895</v>
      </c>
      <c r="E1062" s="3339">
        <v>175.8</v>
      </c>
      <c r="F1062" s="3339">
        <v>310</v>
      </c>
      <c r="G1062" s="3340">
        <v>42461</v>
      </c>
      <c r="H1062" s="3340">
        <v>42824</v>
      </c>
      <c r="I1062" s="3340">
        <v>42825</v>
      </c>
      <c r="J1062" s="3324"/>
    </row>
    <row r="1063" spans="1:12" s="3327" customFormat="1" ht="13.5" customHeight="1">
      <c r="A1063" s="3354"/>
      <c r="B1063" s="3376" t="s">
        <v>3867</v>
      </c>
      <c r="C1063" s="3376" t="s">
        <v>3302</v>
      </c>
      <c r="D1063" s="3376" t="s">
        <v>3895</v>
      </c>
      <c r="E1063" s="3332">
        <v>175.8</v>
      </c>
      <c r="F1063" s="3332">
        <v>325</v>
      </c>
      <c r="G1063" s="3333">
        <v>42826</v>
      </c>
      <c r="H1063" s="3333">
        <v>42885</v>
      </c>
      <c r="I1063" s="3333">
        <v>42886</v>
      </c>
      <c r="J1063" s="3324"/>
      <c r="K1063" s="3334">
        <f t="shared" ref="K1063:K1066" si="71">E1063</f>
        <v>175.8</v>
      </c>
      <c r="L1063" s="3334">
        <f t="shared" ref="L1063:L1066" si="72">F1063/30</f>
        <v>10.833333333333334</v>
      </c>
    </row>
    <row r="1064" spans="1:12" s="3327" customFormat="1" ht="13.5" customHeight="1">
      <c r="A1064" s="3354"/>
      <c r="B1064" s="3376" t="s">
        <v>3867</v>
      </c>
      <c r="C1064" s="3376" t="s">
        <v>3302</v>
      </c>
      <c r="D1064" s="3376" t="s">
        <v>3895</v>
      </c>
      <c r="E1064" s="3332">
        <v>175.8</v>
      </c>
      <c r="F1064" s="3332">
        <v>325</v>
      </c>
      <c r="G1064" s="3333">
        <v>42887</v>
      </c>
      <c r="H1064" s="3333">
        <v>42898</v>
      </c>
      <c r="I1064" s="3333">
        <v>43190</v>
      </c>
      <c r="J1064" s="3324"/>
      <c r="K1064" s="3334">
        <f t="shared" si="71"/>
        <v>175.8</v>
      </c>
      <c r="L1064" s="3334">
        <f t="shared" si="72"/>
        <v>10.833333333333334</v>
      </c>
    </row>
    <row r="1065" spans="1:12" s="3327" customFormat="1" ht="13.5" customHeight="1">
      <c r="A1065" s="3354"/>
      <c r="B1065" s="3376" t="s">
        <v>3867</v>
      </c>
      <c r="C1065" s="3376" t="s">
        <v>3892</v>
      </c>
      <c r="D1065" s="3376" t="s">
        <v>3895</v>
      </c>
      <c r="E1065" s="3332">
        <v>358.8</v>
      </c>
      <c r="F1065" s="3332">
        <v>390</v>
      </c>
      <c r="G1065" s="3333">
        <v>42899</v>
      </c>
      <c r="H1065" s="3333">
        <v>42946</v>
      </c>
      <c r="I1065" s="3333">
        <v>43190</v>
      </c>
      <c r="J1065" s="3324"/>
      <c r="K1065" s="3334">
        <f t="shared" si="71"/>
        <v>358.8</v>
      </c>
      <c r="L1065" s="3334">
        <f t="shared" si="72"/>
        <v>13</v>
      </c>
    </row>
    <row r="1066" spans="1:12" s="3327" customFormat="1" ht="13.5" customHeight="1">
      <c r="A1066" s="3354" t="s">
        <v>3872</v>
      </c>
      <c r="B1066" s="3376" t="s">
        <v>3867</v>
      </c>
      <c r="C1066" s="3376" t="s">
        <v>3892</v>
      </c>
      <c r="D1066" s="3376" t="s">
        <v>3895</v>
      </c>
      <c r="E1066" s="3332">
        <v>358.8</v>
      </c>
      <c r="F1066" s="3332">
        <v>380</v>
      </c>
      <c r="G1066" s="3333">
        <v>42948</v>
      </c>
      <c r="H1066" s="3333">
        <v>43130</v>
      </c>
      <c r="I1066" s="3333">
        <v>43190</v>
      </c>
      <c r="J1066" s="3324"/>
      <c r="K1066" s="3334">
        <f t="shared" si="71"/>
        <v>358.8</v>
      </c>
      <c r="L1066" s="3334">
        <f t="shared" si="72"/>
        <v>12.666666666666666</v>
      </c>
    </row>
    <row r="1067" spans="1:12" s="3327" customFormat="1" ht="13.5" customHeight="1">
      <c r="A1067" s="3355"/>
      <c r="B1067" s="3371" t="s">
        <v>3867</v>
      </c>
      <c r="C1067" s="3371" t="s">
        <v>3147</v>
      </c>
      <c r="D1067" s="3371" t="s">
        <v>3898</v>
      </c>
      <c r="E1067" s="3339">
        <v>85.5</v>
      </c>
      <c r="F1067" s="3339">
        <v>315</v>
      </c>
      <c r="G1067" s="3340">
        <v>41000</v>
      </c>
      <c r="H1067" s="3340">
        <v>41363</v>
      </c>
      <c r="I1067" s="3340">
        <v>41364</v>
      </c>
      <c r="J1067" s="3336"/>
    </row>
    <row r="1068" spans="1:12" s="3327" customFormat="1" ht="13.5" customHeight="1">
      <c r="A1068" s="3354"/>
      <c r="B1068" s="3368" t="s">
        <v>3867</v>
      </c>
      <c r="C1068" s="3324" t="s">
        <v>3147</v>
      </c>
      <c r="D1068" s="3344" t="s">
        <v>3899</v>
      </c>
      <c r="E1068" s="3325">
        <v>85.5</v>
      </c>
      <c r="F1068" s="3325">
        <v>320</v>
      </c>
      <c r="G1068" s="3326">
        <v>41730</v>
      </c>
      <c r="H1068" s="3326">
        <v>42093</v>
      </c>
      <c r="I1068" s="3326">
        <v>42094</v>
      </c>
      <c r="J1068" s="3324"/>
    </row>
    <row r="1069" spans="1:12" s="3327" customFormat="1" ht="13.5" customHeight="1">
      <c r="A1069" s="3354"/>
      <c r="B1069" s="3369" t="s">
        <v>3867</v>
      </c>
      <c r="C1069" s="3336" t="s">
        <v>3147</v>
      </c>
      <c r="D1069" s="3345" t="s">
        <v>3899</v>
      </c>
      <c r="E1069" s="3339">
        <v>85.5</v>
      </c>
      <c r="F1069" s="3339">
        <v>320</v>
      </c>
      <c r="G1069" s="3340">
        <v>42095</v>
      </c>
      <c r="H1069" s="3340">
        <v>42154</v>
      </c>
      <c r="I1069" s="3340">
        <v>42155</v>
      </c>
      <c r="J1069" s="3324"/>
    </row>
    <row r="1070" spans="1:12" s="3327" customFormat="1" ht="13.5" customHeight="1">
      <c r="A1070" s="3354"/>
      <c r="B1070" s="3369" t="s">
        <v>3867</v>
      </c>
      <c r="C1070" s="3336" t="s">
        <v>3900</v>
      </c>
      <c r="D1070" s="3345" t="s">
        <v>3899</v>
      </c>
      <c r="E1070" s="3339">
        <v>85.5</v>
      </c>
      <c r="F1070" s="3339">
        <v>320</v>
      </c>
      <c r="G1070" s="3340">
        <v>42156</v>
      </c>
      <c r="H1070" s="3340">
        <v>42459</v>
      </c>
      <c r="I1070" s="3340">
        <v>42460</v>
      </c>
      <c r="J1070" s="3324"/>
    </row>
    <row r="1071" spans="1:12" s="3327" customFormat="1" ht="13.5" customHeight="1">
      <c r="A1071" s="3354"/>
      <c r="B1071" s="3369" t="s">
        <v>3867</v>
      </c>
      <c r="C1071" s="3336" t="s">
        <v>3900</v>
      </c>
      <c r="D1071" s="3345" t="s">
        <v>3899</v>
      </c>
      <c r="E1071" s="3338">
        <v>86.8</v>
      </c>
      <c r="F1071" s="3339">
        <v>320</v>
      </c>
      <c r="G1071" s="3340">
        <v>42461</v>
      </c>
      <c r="H1071" s="3340">
        <v>42824</v>
      </c>
      <c r="I1071" s="3340">
        <v>42825</v>
      </c>
      <c r="J1071" s="3324"/>
    </row>
    <row r="1072" spans="1:12" s="3327" customFormat="1" ht="13.5" customHeight="1">
      <c r="A1072" s="3354"/>
      <c r="B1072" s="3370" t="s">
        <v>3867</v>
      </c>
      <c r="C1072" s="3378" t="s">
        <v>3900</v>
      </c>
      <c r="D1072" s="3346" t="s">
        <v>3899</v>
      </c>
      <c r="E1072" s="3332">
        <v>86.8</v>
      </c>
      <c r="F1072" s="3332">
        <v>320</v>
      </c>
      <c r="G1072" s="3333">
        <v>42826</v>
      </c>
      <c r="H1072" s="3333">
        <v>42885</v>
      </c>
      <c r="I1072" s="3333">
        <v>42886</v>
      </c>
      <c r="J1072" s="3324"/>
      <c r="K1072" s="3334">
        <f t="shared" ref="K1072:K1073" si="73">E1072</f>
        <v>86.8</v>
      </c>
      <c r="L1072" s="3334">
        <f t="shared" ref="L1072:L1073" si="74">F1072/30</f>
        <v>10.666666666666666</v>
      </c>
    </row>
    <row r="1073" spans="1:12" s="3327" customFormat="1" ht="13.5" customHeight="1">
      <c r="A1073" s="3354"/>
      <c r="B1073" s="3370" t="s">
        <v>3867</v>
      </c>
      <c r="C1073" s="3378" t="s">
        <v>3900</v>
      </c>
      <c r="D1073" s="3346" t="s">
        <v>3899</v>
      </c>
      <c r="E1073" s="3332">
        <v>86.8</v>
      </c>
      <c r="F1073" s="3332">
        <v>320</v>
      </c>
      <c r="G1073" s="3333">
        <v>42887</v>
      </c>
      <c r="H1073" s="3333">
        <v>42898</v>
      </c>
      <c r="I1073" s="3333">
        <v>43190</v>
      </c>
      <c r="J1073" s="3324"/>
      <c r="K1073" s="3334">
        <f t="shared" si="73"/>
        <v>86.8</v>
      </c>
      <c r="L1073" s="3334">
        <f t="shared" si="74"/>
        <v>10.666666666666666</v>
      </c>
    </row>
    <row r="1074" spans="1:12" s="3327" customFormat="1" ht="13.5" customHeight="1">
      <c r="A1074" s="3355"/>
      <c r="B1074" s="3371" t="s">
        <v>3867</v>
      </c>
      <c r="C1074" s="3372" t="s">
        <v>3901</v>
      </c>
      <c r="D1074" s="3336" t="s">
        <v>3902</v>
      </c>
      <c r="E1074" s="3339">
        <v>49.2</v>
      </c>
      <c r="F1074" s="3339">
        <v>330</v>
      </c>
      <c r="G1074" s="3340">
        <v>41000</v>
      </c>
      <c r="H1074" s="3340">
        <v>41363</v>
      </c>
      <c r="I1074" s="3340">
        <v>41364</v>
      </c>
      <c r="J1074" s="3336"/>
    </row>
    <row r="1075" spans="1:12" s="3327" customFormat="1" ht="13.5" customHeight="1">
      <c r="A1075" s="3354"/>
      <c r="B1075" s="3368" t="s">
        <v>3867</v>
      </c>
      <c r="C1075" s="3324" t="s">
        <v>3903</v>
      </c>
      <c r="D1075" s="3344" t="s">
        <v>3904</v>
      </c>
      <c r="E1075" s="3325">
        <v>49.2</v>
      </c>
      <c r="F1075" s="3325">
        <v>340</v>
      </c>
      <c r="G1075" s="3326">
        <v>41730</v>
      </c>
      <c r="H1075" s="3326">
        <v>42093</v>
      </c>
      <c r="I1075" s="3326">
        <v>42094</v>
      </c>
      <c r="J1075" s="3324"/>
    </row>
    <row r="1076" spans="1:12" s="3327" customFormat="1" ht="13.5" customHeight="1">
      <c r="A1076" s="3354"/>
      <c r="B1076" s="3369" t="s">
        <v>3867</v>
      </c>
      <c r="C1076" s="3336" t="s">
        <v>3903</v>
      </c>
      <c r="D1076" s="3345" t="s">
        <v>3904</v>
      </c>
      <c r="E1076" s="3339">
        <v>49.2</v>
      </c>
      <c r="F1076" s="3339">
        <v>340</v>
      </c>
      <c r="G1076" s="3340">
        <v>42095</v>
      </c>
      <c r="H1076" s="3340">
        <v>42459</v>
      </c>
      <c r="I1076" s="3340">
        <v>42460</v>
      </c>
      <c r="J1076" s="3324"/>
    </row>
    <row r="1077" spans="1:12" s="3327" customFormat="1" ht="13.5" customHeight="1">
      <c r="A1077" s="3354"/>
      <c r="B1077" s="3369" t="s">
        <v>3867</v>
      </c>
      <c r="C1077" s="3336" t="s">
        <v>3905</v>
      </c>
      <c r="D1077" s="3345" t="s">
        <v>3904</v>
      </c>
      <c r="E1077" s="3339">
        <v>49.2</v>
      </c>
      <c r="F1077" s="3339">
        <v>340</v>
      </c>
      <c r="G1077" s="3340">
        <v>42461</v>
      </c>
      <c r="H1077" s="3340">
        <v>42824</v>
      </c>
      <c r="I1077" s="3340">
        <v>42825</v>
      </c>
      <c r="J1077" s="3324"/>
    </row>
    <row r="1078" spans="1:12" s="3327" customFormat="1" ht="13.5" customHeight="1">
      <c r="A1078" s="3354"/>
      <c r="B1078" s="3370" t="s">
        <v>3867</v>
      </c>
      <c r="C1078" s="3331" t="s">
        <v>3905</v>
      </c>
      <c r="D1078" s="3346" t="s">
        <v>3904</v>
      </c>
      <c r="E1078" s="3332">
        <v>49.2</v>
      </c>
      <c r="F1078" s="3332">
        <v>340</v>
      </c>
      <c r="G1078" s="3333">
        <v>42826</v>
      </c>
      <c r="H1078" s="3333">
        <v>42885</v>
      </c>
      <c r="I1078" s="3333">
        <v>42886</v>
      </c>
      <c r="J1078" s="3324"/>
      <c r="K1078" s="3334">
        <f t="shared" ref="K1078:K1081" si="75">E1078</f>
        <v>49.2</v>
      </c>
      <c r="L1078" s="3334">
        <f t="shared" ref="L1078:L1081" si="76">F1078/30</f>
        <v>11.333333333333334</v>
      </c>
    </row>
    <row r="1079" spans="1:12" s="3327" customFormat="1" ht="13.5" customHeight="1">
      <c r="A1079" s="3354"/>
      <c r="B1079" s="3370" t="s">
        <v>3867</v>
      </c>
      <c r="C1079" s="3331" t="s">
        <v>3905</v>
      </c>
      <c r="D1079" s="3346" t="s">
        <v>3904</v>
      </c>
      <c r="E1079" s="3332">
        <v>49.2</v>
      </c>
      <c r="F1079" s="3332">
        <v>340</v>
      </c>
      <c r="G1079" s="3333">
        <v>42887</v>
      </c>
      <c r="H1079" s="3333">
        <v>42898</v>
      </c>
      <c r="I1079" s="3333">
        <v>43190</v>
      </c>
      <c r="J1079" s="3324"/>
      <c r="K1079" s="3334">
        <f t="shared" si="75"/>
        <v>49.2</v>
      </c>
      <c r="L1079" s="3334">
        <f t="shared" si="76"/>
        <v>11.333333333333334</v>
      </c>
    </row>
    <row r="1080" spans="1:12" s="3327" customFormat="1" ht="13.5" customHeight="1">
      <c r="A1080" s="3354"/>
      <c r="B1080" s="3370" t="s">
        <v>3867</v>
      </c>
      <c r="C1080" s="3331" t="s">
        <v>3892</v>
      </c>
      <c r="D1080" s="3346" t="s">
        <v>3904</v>
      </c>
      <c r="E1080" s="3332">
        <v>49.2</v>
      </c>
      <c r="F1080" s="3332">
        <v>390</v>
      </c>
      <c r="G1080" s="3333">
        <v>42899</v>
      </c>
      <c r="H1080" s="3333">
        <v>42946</v>
      </c>
      <c r="I1080" s="3333">
        <v>43190</v>
      </c>
      <c r="J1080" s="3324"/>
      <c r="K1080" s="3334">
        <f t="shared" si="75"/>
        <v>49.2</v>
      </c>
      <c r="L1080" s="3334">
        <f t="shared" si="76"/>
        <v>13</v>
      </c>
    </row>
    <row r="1081" spans="1:12" s="3327" customFormat="1" ht="13.5" customHeight="1">
      <c r="A1081" s="3354" t="s">
        <v>3872</v>
      </c>
      <c r="B1081" s="3370" t="s">
        <v>3867</v>
      </c>
      <c r="C1081" s="3331" t="s">
        <v>3892</v>
      </c>
      <c r="D1081" s="3346" t="s">
        <v>3904</v>
      </c>
      <c r="E1081" s="3332">
        <v>49.2</v>
      </c>
      <c r="F1081" s="3332">
        <v>380</v>
      </c>
      <c r="G1081" s="3333">
        <v>42948</v>
      </c>
      <c r="H1081" s="3333">
        <v>43130</v>
      </c>
      <c r="I1081" s="3333">
        <v>43190</v>
      </c>
      <c r="J1081" s="3324"/>
      <c r="K1081" s="3334">
        <f t="shared" si="75"/>
        <v>49.2</v>
      </c>
      <c r="L1081" s="3334">
        <f t="shared" si="76"/>
        <v>12.666666666666666</v>
      </c>
    </row>
    <row r="1082" spans="1:12" s="3327" customFormat="1" ht="13.5" customHeight="1">
      <c r="A1082" s="3355"/>
      <c r="B1082" s="3366" t="s">
        <v>3867</v>
      </c>
      <c r="C1082" s="3367" t="s">
        <v>3906</v>
      </c>
      <c r="D1082" s="3336" t="s">
        <v>3907</v>
      </c>
      <c r="E1082" s="3339">
        <v>131.5</v>
      </c>
      <c r="F1082" s="3339">
        <v>310</v>
      </c>
      <c r="G1082" s="3340">
        <v>41365</v>
      </c>
      <c r="H1082" s="3340">
        <v>41698</v>
      </c>
      <c r="I1082" s="3340">
        <v>41729</v>
      </c>
      <c r="J1082" s="3336"/>
    </row>
    <row r="1083" spans="1:12" s="3327" customFormat="1" ht="12.75" customHeight="1">
      <c r="A1083" s="3354"/>
      <c r="B1083" s="3368" t="s">
        <v>3867</v>
      </c>
      <c r="C1083" s="3324" t="s">
        <v>3364</v>
      </c>
      <c r="D1083" s="3344" t="s">
        <v>3908</v>
      </c>
      <c r="E1083" s="3325">
        <v>59.4</v>
      </c>
      <c r="F1083" s="3325">
        <v>260</v>
      </c>
      <c r="G1083" s="3326">
        <v>41699</v>
      </c>
      <c r="H1083" s="3326">
        <v>42003</v>
      </c>
      <c r="I1083" s="3326">
        <v>42094</v>
      </c>
      <c r="J1083" s="3324"/>
    </row>
    <row r="1084" spans="1:12" s="3327" customFormat="1" ht="12.75" customHeight="1">
      <c r="A1084" s="3354"/>
      <c r="B1084" s="3368" t="s">
        <v>3867</v>
      </c>
      <c r="C1084" s="3324" t="s">
        <v>3364</v>
      </c>
      <c r="D1084" s="3344" t="s">
        <v>3908</v>
      </c>
      <c r="E1084" s="3325">
        <v>59.4</v>
      </c>
      <c r="F1084" s="3325">
        <v>280</v>
      </c>
      <c r="G1084" s="3326">
        <v>42005</v>
      </c>
      <c r="H1084" s="3326">
        <v>42093</v>
      </c>
      <c r="I1084" s="3326">
        <v>42094</v>
      </c>
      <c r="J1084" s="3324"/>
    </row>
    <row r="1085" spans="1:12" s="3327" customFormat="1" ht="12.75" customHeight="1">
      <c r="A1085" s="3354"/>
      <c r="B1085" s="3369" t="s">
        <v>3867</v>
      </c>
      <c r="C1085" s="3336" t="s">
        <v>3364</v>
      </c>
      <c r="D1085" s="3345" t="s">
        <v>3908</v>
      </c>
      <c r="E1085" s="3339">
        <v>59.4</v>
      </c>
      <c r="F1085" s="3339">
        <v>290</v>
      </c>
      <c r="G1085" s="3340">
        <v>42095</v>
      </c>
      <c r="H1085" s="3340">
        <v>42459</v>
      </c>
      <c r="I1085" s="3340">
        <v>42460</v>
      </c>
      <c r="J1085" s="3324"/>
    </row>
    <row r="1086" spans="1:12" s="3327" customFormat="1" ht="12.75" customHeight="1">
      <c r="A1086" s="3354"/>
      <c r="B1086" s="3369" t="s">
        <v>3867</v>
      </c>
      <c r="C1086" s="3336" t="s">
        <v>3909</v>
      </c>
      <c r="D1086" s="3345" t="s">
        <v>3908</v>
      </c>
      <c r="E1086" s="3339">
        <v>59.4</v>
      </c>
      <c r="F1086" s="3339">
        <v>310</v>
      </c>
      <c r="G1086" s="3340">
        <v>42461</v>
      </c>
      <c r="H1086" s="3340">
        <v>42734</v>
      </c>
      <c r="I1086" s="3340">
        <v>42825</v>
      </c>
      <c r="J1086" s="3324"/>
    </row>
    <row r="1087" spans="1:12" s="3327" customFormat="1" ht="12.75" customHeight="1">
      <c r="A1087" s="3354"/>
      <c r="B1087" s="3369" t="s">
        <v>3867</v>
      </c>
      <c r="C1087" s="3336" t="s">
        <v>3910</v>
      </c>
      <c r="D1087" s="3345" t="s">
        <v>3911</v>
      </c>
      <c r="E1087" s="3339">
        <v>59.4</v>
      </c>
      <c r="F1087" s="3339">
        <v>310</v>
      </c>
      <c r="G1087" s="3340">
        <v>42736</v>
      </c>
      <c r="H1087" s="3340">
        <v>42824</v>
      </c>
      <c r="I1087" s="3340">
        <v>42825</v>
      </c>
      <c r="J1087" s="3324"/>
    </row>
    <row r="1088" spans="1:12" s="3327" customFormat="1" ht="12.75" customHeight="1">
      <c r="A1088" s="3354"/>
      <c r="B1088" s="3370" t="s">
        <v>3867</v>
      </c>
      <c r="C1088" s="3331" t="s">
        <v>3910</v>
      </c>
      <c r="D1088" s="3346" t="s">
        <v>3911</v>
      </c>
      <c r="E1088" s="3332">
        <v>59.4</v>
      </c>
      <c r="F1088" s="3332">
        <v>320</v>
      </c>
      <c r="G1088" s="3333">
        <v>42826</v>
      </c>
      <c r="H1088" s="3333">
        <v>42885</v>
      </c>
      <c r="I1088" s="3333">
        <v>42886</v>
      </c>
      <c r="J1088" s="3324"/>
      <c r="K1088" s="3334">
        <f t="shared" ref="K1088:K1090" si="77">E1088</f>
        <v>59.4</v>
      </c>
      <c r="L1088" s="3334">
        <f t="shared" ref="L1088:L1090" si="78">F1088/30</f>
        <v>10.666666666666666</v>
      </c>
    </row>
    <row r="1089" spans="1:12" s="3327" customFormat="1" ht="12.75" customHeight="1">
      <c r="A1089" s="3354"/>
      <c r="B1089" s="3370" t="s">
        <v>3867</v>
      </c>
      <c r="C1089" s="3331" t="s">
        <v>3910</v>
      </c>
      <c r="D1089" s="3346" t="s">
        <v>3911</v>
      </c>
      <c r="E1089" s="3332">
        <v>59.4</v>
      </c>
      <c r="F1089" s="3332">
        <v>370</v>
      </c>
      <c r="G1089" s="3333">
        <v>42887</v>
      </c>
      <c r="H1089" s="3333">
        <v>42916</v>
      </c>
      <c r="I1089" s="3333">
        <v>43190</v>
      </c>
      <c r="J1089" s="3324"/>
      <c r="K1089" s="3334">
        <f t="shared" si="77"/>
        <v>59.4</v>
      </c>
      <c r="L1089" s="3334">
        <f t="shared" si="78"/>
        <v>12.333333333333334</v>
      </c>
    </row>
    <row r="1090" spans="1:12" s="3327" customFormat="1" ht="12.75" customHeight="1">
      <c r="A1090" s="3354" t="s">
        <v>3872</v>
      </c>
      <c r="B1090" s="3370" t="s">
        <v>3867</v>
      </c>
      <c r="C1090" s="3331" t="s">
        <v>3912</v>
      </c>
      <c r="D1090" s="3346" t="s">
        <v>3911</v>
      </c>
      <c r="E1090" s="3332">
        <v>59.4</v>
      </c>
      <c r="F1090" s="3332">
        <v>370</v>
      </c>
      <c r="G1090" s="3333">
        <v>42917</v>
      </c>
      <c r="H1090" s="3333">
        <v>43130</v>
      </c>
      <c r="I1090" s="3333">
        <v>43190</v>
      </c>
      <c r="J1090" s="3324"/>
      <c r="K1090" s="3334">
        <f t="shared" si="77"/>
        <v>59.4</v>
      </c>
      <c r="L1090" s="3334">
        <f t="shared" si="78"/>
        <v>12.333333333333334</v>
      </c>
    </row>
    <row r="1091" spans="1:12" s="3327" customFormat="1" ht="12.75" customHeight="1">
      <c r="A1091" s="3354"/>
      <c r="B1091" s="3368" t="s">
        <v>3867</v>
      </c>
      <c r="C1091" s="3324" t="s">
        <v>3913</v>
      </c>
      <c r="D1091" s="3344" t="s">
        <v>3914</v>
      </c>
      <c r="E1091" s="3325">
        <v>28.2</v>
      </c>
      <c r="F1091" s="3325">
        <v>260</v>
      </c>
      <c r="G1091" s="3326">
        <v>41699</v>
      </c>
      <c r="H1091" s="3326">
        <v>41850</v>
      </c>
      <c r="I1091" s="3326">
        <v>42094</v>
      </c>
      <c r="J1091" s="3324"/>
    </row>
    <row r="1092" spans="1:12" s="3327" customFormat="1" ht="12.75" customHeight="1">
      <c r="A1092" s="3354"/>
      <c r="B1092" s="3368" t="s">
        <v>3867</v>
      </c>
      <c r="C1092" s="3324" t="s">
        <v>3915</v>
      </c>
      <c r="D1092" s="3344" t="s">
        <v>3914</v>
      </c>
      <c r="E1092" s="3325">
        <v>28.2</v>
      </c>
      <c r="F1092" s="3325">
        <v>260</v>
      </c>
      <c r="G1092" s="3326">
        <v>41852</v>
      </c>
      <c r="H1092" s="3326">
        <v>42003</v>
      </c>
      <c r="I1092" s="3326">
        <v>42094</v>
      </c>
      <c r="J1092" s="3324"/>
    </row>
    <row r="1093" spans="1:12" s="3327" customFormat="1" ht="13.5" customHeight="1">
      <c r="A1093" s="3354"/>
      <c r="B1093" s="3368" t="s">
        <v>3867</v>
      </c>
      <c r="C1093" s="3324" t="s">
        <v>3915</v>
      </c>
      <c r="D1093" s="3344" t="s">
        <v>3914</v>
      </c>
      <c r="E1093" s="3325">
        <v>28.2</v>
      </c>
      <c r="F1093" s="3325">
        <v>280</v>
      </c>
      <c r="G1093" s="3326">
        <v>42005</v>
      </c>
      <c r="H1093" s="3326">
        <v>42093</v>
      </c>
      <c r="I1093" s="3326">
        <v>42094</v>
      </c>
      <c r="J1093" s="3324"/>
    </row>
    <row r="1094" spans="1:12" s="3327" customFormat="1" ht="15.75" customHeight="1">
      <c r="A1094" s="3354"/>
      <c r="B1094" s="3369" t="s">
        <v>3867</v>
      </c>
      <c r="C1094" s="3336" t="s">
        <v>3915</v>
      </c>
      <c r="D1094" s="3345" t="s">
        <v>3914</v>
      </c>
      <c r="E1094" s="3339">
        <v>28.2</v>
      </c>
      <c r="F1094" s="3339">
        <v>290</v>
      </c>
      <c r="G1094" s="3340">
        <v>42095</v>
      </c>
      <c r="H1094" s="3340">
        <v>42129</v>
      </c>
      <c r="I1094" s="3340">
        <v>42155</v>
      </c>
      <c r="J1094" s="3324"/>
    </row>
    <row r="1095" spans="1:12" s="3327" customFormat="1" ht="13.5" customHeight="1">
      <c r="A1095" s="3354"/>
      <c r="B1095" s="3369" t="s">
        <v>3867</v>
      </c>
      <c r="C1095" s="3336" t="s">
        <v>3915</v>
      </c>
      <c r="D1095" s="3345" t="s">
        <v>3914</v>
      </c>
      <c r="E1095" s="3339">
        <v>51.8</v>
      </c>
      <c r="F1095" s="3339">
        <v>300</v>
      </c>
      <c r="G1095" s="3340">
        <v>42130</v>
      </c>
      <c r="H1095" s="3340">
        <v>42459</v>
      </c>
      <c r="I1095" s="3340">
        <v>42460</v>
      </c>
      <c r="J1095" s="3324"/>
    </row>
    <row r="1096" spans="1:12" s="3327" customFormat="1" ht="13.5" customHeight="1">
      <c r="A1096" s="3354"/>
      <c r="B1096" s="3369" t="s">
        <v>3867</v>
      </c>
      <c r="C1096" s="3336" t="s">
        <v>3915</v>
      </c>
      <c r="D1096" s="3345" t="s">
        <v>3914</v>
      </c>
      <c r="E1096" s="3339">
        <v>88</v>
      </c>
      <c r="F1096" s="3339">
        <v>320</v>
      </c>
      <c r="G1096" s="3340">
        <v>42461</v>
      </c>
      <c r="H1096" s="3340">
        <v>42824</v>
      </c>
      <c r="I1096" s="3340">
        <v>42825</v>
      </c>
      <c r="J1096" s="3324"/>
    </row>
    <row r="1097" spans="1:12" s="3327" customFormat="1" ht="13.5" customHeight="1">
      <c r="A1097" s="3354"/>
      <c r="B1097" s="3370" t="s">
        <v>3867</v>
      </c>
      <c r="C1097" s="3331" t="s">
        <v>3915</v>
      </c>
      <c r="D1097" s="3346" t="s">
        <v>3914</v>
      </c>
      <c r="E1097" s="3332">
        <v>88</v>
      </c>
      <c r="F1097" s="3332">
        <v>330</v>
      </c>
      <c r="G1097" s="3333">
        <v>42826</v>
      </c>
      <c r="H1097" s="3333">
        <v>42885</v>
      </c>
      <c r="I1097" s="3333">
        <v>42886</v>
      </c>
      <c r="J1097" s="3324"/>
      <c r="K1097" s="3334">
        <f t="shared" ref="K1097:K1099" si="79">E1097</f>
        <v>88</v>
      </c>
      <c r="L1097" s="3334">
        <f t="shared" ref="L1097:L1099" si="80">F1097/30</f>
        <v>11</v>
      </c>
    </row>
    <row r="1098" spans="1:12" s="3327" customFormat="1" ht="13.5" customHeight="1">
      <c r="A1098" s="3354"/>
      <c r="B1098" s="3370" t="s">
        <v>3867</v>
      </c>
      <c r="C1098" s="3331" t="s">
        <v>3915</v>
      </c>
      <c r="D1098" s="3346" t="s">
        <v>3914</v>
      </c>
      <c r="E1098" s="3332">
        <v>88</v>
      </c>
      <c r="F1098" s="3332">
        <v>330</v>
      </c>
      <c r="G1098" s="3333">
        <v>42887</v>
      </c>
      <c r="H1098" s="3333">
        <v>42887</v>
      </c>
      <c r="I1098" s="3333">
        <v>43190</v>
      </c>
      <c r="J1098" s="3324"/>
      <c r="K1098" s="3334">
        <f t="shared" si="79"/>
        <v>88</v>
      </c>
      <c r="L1098" s="3334">
        <f t="shared" si="80"/>
        <v>11</v>
      </c>
    </row>
    <row r="1099" spans="1:12" s="3327" customFormat="1" ht="13.5" customHeight="1">
      <c r="A1099" s="3354"/>
      <c r="B1099" s="3370" t="s">
        <v>3867</v>
      </c>
      <c r="C1099" s="3331" t="s">
        <v>3915</v>
      </c>
      <c r="D1099" s="3346" t="s">
        <v>3914</v>
      </c>
      <c r="E1099" s="3332">
        <v>88</v>
      </c>
      <c r="F1099" s="3332">
        <v>400</v>
      </c>
      <c r="G1099" s="3333">
        <v>42888</v>
      </c>
      <c r="H1099" s="3333">
        <v>42916</v>
      </c>
      <c r="I1099" s="3333">
        <v>43190</v>
      </c>
      <c r="J1099" s="3324"/>
      <c r="K1099" s="3334">
        <f t="shared" si="79"/>
        <v>88</v>
      </c>
      <c r="L1099" s="3334">
        <f t="shared" si="80"/>
        <v>13.333333333333334</v>
      </c>
    </row>
    <row r="1100" spans="1:12" s="3327" customFormat="1" ht="12.75" customHeight="1">
      <c r="A1100" s="3354"/>
      <c r="B1100" s="3368" t="s">
        <v>3867</v>
      </c>
      <c r="C1100" s="3324" t="s">
        <v>3916</v>
      </c>
      <c r="D1100" s="3344" t="s">
        <v>3917</v>
      </c>
      <c r="E1100" s="3325">
        <v>103.3</v>
      </c>
      <c r="F1100" s="3325">
        <v>300</v>
      </c>
      <c r="G1100" s="3326">
        <v>41699</v>
      </c>
      <c r="H1100" s="3326">
        <v>42003</v>
      </c>
      <c r="I1100" s="3326">
        <v>42094</v>
      </c>
      <c r="J1100" s="3324"/>
    </row>
    <row r="1101" spans="1:12" s="3327" customFormat="1" ht="12.75" customHeight="1">
      <c r="A1101" s="3354"/>
      <c r="B1101" s="3368" t="s">
        <v>3867</v>
      </c>
      <c r="C1101" s="3324" t="s">
        <v>3916</v>
      </c>
      <c r="D1101" s="3344" t="s">
        <v>3917</v>
      </c>
      <c r="E1101" s="3325">
        <v>103.3</v>
      </c>
      <c r="F1101" s="3325">
        <v>330</v>
      </c>
      <c r="G1101" s="3326">
        <v>42005</v>
      </c>
      <c r="H1101" s="3326">
        <v>42093</v>
      </c>
      <c r="I1101" s="3326">
        <v>42094</v>
      </c>
      <c r="J1101" s="3324"/>
    </row>
    <row r="1102" spans="1:12" s="3327" customFormat="1" ht="12.75" customHeight="1">
      <c r="A1102" s="3354"/>
      <c r="B1102" s="3369" t="s">
        <v>3867</v>
      </c>
      <c r="C1102" s="3336" t="s">
        <v>3916</v>
      </c>
      <c r="D1102" s="3345" t="s">
        <v>3917</v>
      </c>
      <c r="E1102" s="3339">
        <v>103.3</v>
      </c>
      <c r="F1102" s="3339">
        <v>330</v>
      </c>
      <c r="G1102" s="3340">
        <v>42095</v>
      </c>
      <c r="H1102" s="3340">
        <v>42124</v>
      </c>
      <c r="I1102" s="3340">
        <v>42460</v>
      </c>
      <c r="J1102" s="3324"/>
    </row>
    <row r="1103" spans="1:12" s="3327" customFormat="1" ht="12.75" customHeight="1">
      <c r="A1103" s="3354"/>
      <c r="B1103" s="3369" t="s">
        <v>3867</v>
      </c>
      <c r="C1103" s="3336" t="s">
        <v>3916</v>
      </c>
      <c r="D1103" s="3345" t="s">
        <v>3917</v>
      </c>
      <c r="E1103" s="3339">
        <v>79.7</v>
      </c>
      <c r="F1103" s="3339">
        <v>330</v>
      </c>
      <c r="G1103" s="3340">
        <v>42130</v>
      </c>
      <c r="H1103" s="3340">
        <v>42459</v>
      </c>
      <c r="I1103" s="3340">
        <v>42460</v>
      </c>
      <c r="J1103" s="3324"/>
    </row>
    <row r="1104" spans="1:12" s="3327" customFormat="1" ht="12.75" customHeight="1">
      <c r="A1104" s="3354"/>
      <c r="B1104" s="3369" t="s">
        <v>3867</v>
      </c>
      <c r="C1104" s="3336" t="s">
        <v>3918</v>
      </c>
      <c r="D1104" s="3345" t="s">
        <v>3919</v>
      </c>
      <c r="E1104" s="3339">
        <v>43.31</v>
      </c>
      <c r="F1104" s="3339">
        <v>350</v>
      </c>
      <c r="G1104" s="3340">
        <v>42461</v>
      </c>
      <c r="H1104" s="3340">
        <v>42824</v>
      </c>
      <c r="I1104" s="3340">
        <v>42825</v>
      </c>
      <c r="J1104" s="3324"/>
    </row>
    <row r="1105" spans="1:12" s="3327" customFormat="1" ht="12.75" customHeight="1">
      <c r="A1105" s="3354"/>
      <c r="B1105" s="3370" t="s">
        <v>3867</v>
      </c>
      <c r="C1105" s="3331" t="s">
        <v>3918</v>
      </c>
      <c r="D1105" s="3346" t="s">
        <v>3919</v>
      </c>
      <c r="E1105" s="3332">
        <v>43.31</v>
      </c>
      <c r="F1105" s="3332">
        <v>360</v>
      </c>
      <c r="G1105" s="3333">
        <v>42826</v>
      </c>
      <c r="H1105" s="3333">
        <v>42885</v>
      </c>
      <c r="I1105" s="3333">
        <v>42886</v>
      </c>
      <c r="J1105" s="3324"/>
      <c r="K1105" s="3334">
        <f t="shared" ref="K1105:K1107" si="81">E1105</f>
        <v>43.31</v>
      </c>
      <c r="L1105" s="3334">
        <f t="shared" ref="L1105:L1107" si="82">F1105/30</f>
        <v>12</v>
      </c>
    </row>
    <row r="1106" spans="1:12" s="3327" customFormat="1" ht="12.75" customHeight="1">
      <c r="A1106" s="3354"/>
      <c r="B1106" s="3370" t="s">
        <v>3867</v>
      </c>
      <c r="C1106" s="3331" t="s">
        <v>3918</v>
      </c>
      <c r="D1106" s="3346" t="s">
        <v>3919</v>
      </c>
      <c r="E1106" s="3332">
        <v>43.31</v>
      </c>
      <c r="F1106" s="3332">
        <v>370</v>
      </c>
      <c r="G1106" s="3333">
        <v>42887</v>
      </c>
      <c r="H1106" s="3333">
        <v>42983</v>
      </c>
      <c r="I1106" s="3333">
        <v>43190</v>
      </c>
      <c r="J1106" s="3324"/>
      <c r="K1106" s="3334">
        <f t="shared" si="81"/>
        <v>43.31</v>
      </c>
      <c r="L1106" s="3334">
        <f t="shared" si="82"/>
        <v>12.333333333333334</v>
      </c>
    </row>
    <row r="1107" spans="1:12" s="3327" customFormat="1" ht="12.75" customHeight="1">
      <c r="A1107" s="3354" t="s">
        <v>3872</v>
      </c>
      <c r="B1107" s="3370" t="s">
        <v>3867</v>
      </c>
      <c r="C1107" s="3331" t="s">
        <v>3918</v>
      </c>
      <c r="D1107" s="3346" t="s">
        <v>3919</v>
      </c>
      <c r="E1107" s="3332">
        <v>43.31</v>
      </c>
      <c r="F1107" s="3332">
        <v>370</v>
      </c>
      <c r="G1107" s="3333">
        <v>42984</v>
      </c>
      <c r="H1107" s="3333">
        <v>43130</v>
      </c>
      <c r="I1107" s="3333">
        <v>43190</v>
      </c>
      <c r="J1107" s="3324"/>
      <c r="K1107" s="3334">
        <f t="shared" si="81"/>
        <v>43.31</v>
      </c>
      <c r="L1107" s="3334">
        <f t="shared" si="82"/>
        <v>12.333333333333334</v>
      </c>
    </row>
    <row r="1108" spans="1:12" s="3327" customFormat="1" ht="12.75" customHeight="1">
      <c r="A1108" s="3354"/>
      <c r="B1108" s="3369" t="s">
        <v>3867</v>
      </c>
      <c r="C1108" s="3336" t="s">
        <v>3920</v>
      </c>
      <c r="D1108" s="3345" t="s">
        <v>3921</v>
      </c>
      <c r="E1108" s="3339">
        <v>38.44</v>
      </c>
      <c r="F1108" s="3339">
        <v>350</v>
      </c>
      <c r="G1108" s="3340">
        <v>42461</v>
      </c>
      <c r="H1108" s="3340">
        <v>42824</v>
      </c>
      <c r="I1108" s="3340">
        <v>42825</v>
      </c>
      <c r="J1108" s="3324"/>
    </row>
    <row r="1109" spans="1:12" s="3327" customFormat="1" ht="12.75" customHeight="1">
      <c r="A1109" s="3354"/>
      <c r="B1109" s="3370" t="s">
        <v>3867</v>
      </c>
      <c r="C1109" s="3331" t="s">
        <v>3920</v>
      </c>
      <c r="D1109" s="3346" t="s">
        <v>3921</v>
      </c>
      <c r="E1109" s="3332">
        <v>38.44</v>
      </c>
      <c r="F1109" s="3332">
        <v>360</v>
      </c>
      <c r="G1109" s="3333">
        <v>42826</v>
      </c>
      <c r="H1109" s="3333">
        <v>42885</v>
      </c>
      <c r="I1109" s="3333">
        <v>42886</v>
      </c>
      <c r="J1109" s="3324"/>
      <c r="K1109" s="3334">
        <f t="shared" ref="K1109:K1111" si="83">E1109</f>
        <v>38.44</v>
      </c>
      <c r="L1109" s="3334">
        <f t="shared" ref="L1109:L1111" si="84">F1109/30</f>
        <v>12</v>
      </c>
    </row>
    <row r="1110" spans="1:12" s="3327" customFormat="1" ht="12.75" customHeight="1">
      <c r="A1110" s="3354"/>
      <c r="B1110" s="3370" t="s">
        <v>3867</v>
      </c>
      <c r="C1110" s="3331" t="s">
        <v>3920</v>
      </c>
      <c r="D1110" s="3346" t="s">
        <v>3921</v>
      </c>
      <c r="E1110" s="3332">
        <v>38.44</v>
      </c>
      <c r="F1110" s="3332">
        <v>370</v>
      </c>
      <c r="G1110" s="3333">
        <v>42887</v>
      </c>
      <c r="H1110" s="3333">
        <v>42983</v>
      </c>
      <c r="I1110" s="3333">
        <v>43190</v>
      </c>
      <c r="J1110" s="3324"/>
      <c r="K1110" s="3334">
        <f t="shared" si="83"/>
        <v>38.44</v>
      </c>
      <c r="L1110" s="3334">
        <f t="shared" si="84"/>
        <v>12.333333333333334</v>
      </c>
    </row>
    <row r="1111" spans="1:12" s="3327" customFormat="1" ht="12.75" customHeight="1">
      <c r="A1111" s="3354" t="s">
        <v>3872</v>
      </c>
      <c r="B1111" s="3370" t="s">
        <v>3867</v>
      </c>
      <c r="C1111" s="3331" t="s">
        <v>3920</v>
      </c>
      <c r="D1111" s="3346" t="s">
        <v>3921</v>
      </c>
      <c r="E1111" s="3332">
        <v>38.44</v>
      </c>
      <c r="F1111" s="3332">
        <v>370</v>
      </c>
      <c r="G1111" s="3333">
        <v>42984</v>
      </c>
      <c r="H1111" s="3333">
        <v>43130</v>
      </c>
      <c r="I1111" s="3333">
        <v>43190</v>
      </c>
      <c r="J1111" s="3324"/>
      <c r="K1111" s="3334">
        <f t="shared" si="83"/>
        <v>38.44</v>
      </c>
      <c r="L1111" s="3334">
        <f t="shared" si="84"/>
        <v>12.333333333333334</v>
      </c>
    </row>
    <row r="1112" spans="1:12" s="3327" customFormat="1" ht="12.75" customHeight="1">
      <c r="A1112" s="3355"/>
      <c r="B1112" s="3369" t="s">
        <v>3867</v>
      </c>
      <c r="C1112" s="3336" t="s">
        <v>3408</v>
      </c>
      <c r="D1112" s="3336" t="s">
        <v>3922</v>
      </c>
      <c r="E1112" s="3339">
        <v>59.4</v>
      </c>
      <c r="F1112" s="3339">
        <v>300</v>
      </c>
      <c r="G1112" s="3340">
        <v>41365</v>
      </c>
      <c r="H1112" s="3340">
        <v>41698</v>
      </c>
      <c r="I1112" s="3340">
        <v>41729</v>
      </c>
      <c r="J1112" s="3336"/>
    </row>
    <row r="1113" spans="1:12" s="3327" customFormat="1" ht="12.75" customHeight="1">
      <c r="A1113" s="3355"/>
      <c r="B1113" s="3369" t="s">
        <v>3867</v>
      </c>
      <c r="C1113" s="3336" t="s">
        <v>3923</v>
      </c>
      <c r="D1113" s="3336" t="s">
        <v>3924</v>
      </c>
      <c r="E1113" s="3339">
        <v>31.8</v>
      </c>
      <c r="F1113" s="3339">
        <v>300</v>
      </c>
      <c r="G1113" s="3340">
        <v>41000</v>
      </c>
      <c r="H1113" s="3340">
        <v>41363</v>
      </c>
      <c r="I1113" s="3340">
        <v>41364</v>
      </c>
      <c r="J1113" s="3336"/>
    </row>
    <row r="1114" spans="1:12" s="3327" customFormat="1" ht="12.75" customHeight="1">
      <c r="A1114" s="3354"/>
      <c r="B1114" s="3368" t="s">
        <v>3867</v>
      </c>
      <c r="C1114" s="3324" t="s">
        <v>3925</v>
      </c>
      <c r="D1114" s="3344" t="s">
        <v>3926</v>
      </c>
      <c r="E1114" s="3325">
        <v>42.6</v>
      </c>
      <c r="F1114" s="3325">
        <v>310</v>
      </c>
      <c r="G1114" s="3326">
        <v>41699</v>
      </c>
      <c r="H1114" s="3326">
        <v>42093</v>
      </c>
      <c r="I1114" s="3326">
        <v>42094</v>
      </c>
      <c r="J1114" s="3324"/>
    </row>
    <row r="1115" spans="1:12" s="3327" customFormat="1" ht="12.75" customHeight="1">
      <c r="A1115" s="3354"/>
      <c r="B1115" s="3369" t="s">
        <v>3867</v>
      </c>
      <c r="C1115" s="3336" t="s">
        <v>3925</v>
      </c>
      <c r="D1115" s="3345" t="s">
        <v>3926</v>
      </c>
      <c r="E1115" s="3339">
        <v>42.6</v>
      </c>
      <c r="F1115" s="3339">
        <v>330</v>
      </c>
      <c r="G1115" s="3340">
        <v>42095</v>
      </c>
      <c r="H1115" s="3340">
        <v>42459</v>
      </c>
      <c r="I1115" s="3340">
        <v>42460</v>
      </c>
      <c r="J1115" s="3324"/>
    </row>
    <row r="1116" spans="1:12" s="3327" customFormat="1" ht="12.75" customHeight="1">
      <c r="A1116" s="3354"/>
      <c r="B1116" s="3369" t="s">
        <v>3867</v>
      </c>
      <c r="C1116" s="3336" t="s">
        <v>3925</v>
      </c>
      <c r="D1116" s="3345" t="s">
        <v>3926</v>
      </c>
      <c r="E1116" s="3339">
        <v>42.6</v>
      </c>
      <c r="F1116" s="3339">
        <v>350</v>
      </c>
      <c r="G1116" s="3340">
        <v>42461</v>
      </c>
      <c r="H1116" s="3340">
        <v>42824</v>
      </c>
      <c r="I1116" s="3340">
        <v>42825</v>
      </c>
      <c r="J1116" s="3324"/>
    </row>
    <row r="1117" spans="1:12" s="3327" customFormat="1" ht="12.75" customHeight="1">
      <c r="A1117" s="3354"/>
      <c r="B1117" s="3370" t="s">
        <v>3867</v>
      </c>
      <c r="C1117" s="3331" t="s">
        <v>3927</v>
      </c>
      <c r="D1117" s="3346" t="s">
        <v>3928</v>
      </c>
      <c r="E1117" s="3332">
        <v>42.6</v>
      </c>
      <c r="F1117" s="3332">
        <v>355</v>
      </c>
      <c r="G1117" s="3333">
        <v>42826</v>
      </c>
      <c r="H1117" s="3333">
        <v>42885</v>
      </c>
      <c r="I1117" s="3333">
        <v>42886</v>
      </c>
      <c r="J1117" s="3324"/>
      <c r="K1117" s="3334">
        <f t="shared" ref="K1117:K1118" si="85">E1117</f>
        <v>42.6</v>
      </c>
      <c r="L1117" s="3334">
        <f t="shared" ref="L1117:L1118" si="86">F1117/30</f>
        <v>11.833333333333334</v>
      </c>
    </row>
    <row r="1118" spans="1:12" s="3327" customFormat="1" ht="12.75" customHeight="1">
      <c r="A1118" s="3354" t="s">
        <v>3872</v>
      </c>
      <c r="B1118" s="3370" t="s">
        <v>3867</v>
      </c>
      <c r="C1118" s="3331" t="s">
        <v>3927</v>
      </c>
      <c r="D1118" s="3346" t="s">
        <v>3928</v>
      </c>
      <c r="E1118" s="3332">
        <v>42.6</v>
      </c>
      <c r="F1118" s="3332">
        <v>370</v>
      </c>
      <c r="G1118" s="3333">
        <v>42887</v>
      </c>
      <c r="H1118" s="3333">
        <v>43130</v>
      </c>
      <c r="I1118" s="3333">
        <v>43190</v>
      </c>
      <c r="J1118" s="3324"/>
      <c r="K1118" s="3334">
        <f t="shared" si="85"/>
        <v>42.6</v>
      </c>
      <c r="L1118" s="3334">
        <f t="shared" si="86"/>
        <v>12.333333333333334</v>
      </c>
    </row>
    <row r="1119" spans="1:12" s="3327" customFormat="1" ht="13.5" customHeight="1">
      <c r="A1119" s="3355"/>
      <c r="B1119" s="3371" t="s">
        <v>3867</v>
      </c>
      <c r="C1119" s="3372" t="s">
        <v>3929</v>
      </c>
      <c r="D1119" s="3345" t="s">
        <v>3930</v>
      </c>
      <c r="E1119" s="3339">
        <v>22.5</v>
      </c>
      <c r="F1119" s="3339">
        <v>300</v>
      </c>
      <c r="G1119" s="3340">
        <v>41000</v>
      </c>
      <c r="H1119" s="3340">
        <v>41363</v>
      </c>
      <c r="I1119" s="3340">
        <v>41364</v>
      </c>
      <c r="J1119" s="3336"/>
    </row>
    <row r="1120" spans="1:12" s="3327" customFormat="1" ht="12.75" customHeight="1">
      <c r="A1120" s="3354"/>
      <c r="B1120" s="3324" t="s">
        <v>3867</v>
      </c>
      <c r="C1120" s="3324" t="s">
        <v>3931</v>
      </c>
      <c r="D1120" s="3344" t="s">
        <v>3932</v>
      </c>
      <c r="E1120" s="3325">
        <v>39.4</v>
      </c>
      <c r="F1120" s="3325">
        <v>310</v>
      </c>
      <c r="G1120" s="3326">
        <v>41699</v>
      </c>
      <c r="H1120" s="3326">
        <v>42003</v>
      </c>
      <c r="I1120" s="3326">
        <v>42094</v>
      </c>
      <c r="J1120" s="3324"/>
    </row>
    <row r="1121" spans="1:12" s="3327" customFormat="1" ht="12.75" customHeight="1">
      <c r="A1121" s="3354"/>
      <c r="B1121" s="3324" t="s">
        <v>3867</v>
      </c>
      <c r="C1121" s="3324" t="s">
        <v>3931</v>
      </c>
      <c r="D1121" s="3344" t="s">
        <v>3932</v>
      </c>
      <c r="E1121" s="3325">
        <v>39.4</v>
      </c>
      <c r="F1121" s="3325">
        <v>330</v>
      </c>
      <c r="G1121" s="3326">
        <v>42005</v>
      </c>
      <c r="H1121" s="3326">
        <v>42093</v>
      </c>
      <c r="I1121" s="3326">
        <v>42094</v>
      </c>
      <c r="J1121" s="3324"/>
    </row>
    <row r="1122" spans="1:12" s="3327" customFormat="1" ht="12.75" customHeight="1">
      <c r="A1122" s="3354"/>
      <c r="B1122" s="3336" t="s">
        <v>3867</v>
      </c>
      <c r="C1122" s="3336" t="s">
        <v>3931</v>
      </c>
      <c r="D1122" s="3345" t="s">
        <v>3932</v>
      </c>
      <c r="E1122" s="3339">
        <v>39.4</v>
      </c>
      <c r="F1122" s="3339">
        <v>330</v>
      </c>
      <c r="G1122" s="3340">
        <v>42095</v>
      </c>
      <c r="H1122" s="3340">
        <v>42459</v>
      </c>
      <c r="I1122" s="3340">
        <v>42460</v>
      </c>
      <c r="J1122" s="3324"/>
    </row>
    <row r="1123" spans="1:12" s="3327" customFormat="1" ht="12.75" customHeight="1">
      <c r="A1123" s="3354"/>
      <c r="B1123" s="3336" t="s">
        <v>3867</v>
      </c>
      <c r="C1123" s="3336" t="s">
        <v>3931</v>
      </c>
      <c r="D1123" s="3345" t="s">
        <v>3932</v>
      </c>
      <c r="E1123" s="3339">
        <v>39.4</v>
      </c>
      <c r="F1123" s="3339">
        <v>350</v>
      </c>
      <c r="G1123" s="3340">
        <v>42461</v>
      </c>
      <c r="H1123" s="3340">
        <v>42824</v>
      </c>
      <c r="I1123" s="3340">
        <v>42825</v>
      </c>
      <c r="J1123" s="3324"/>
    </row>
    <row r="1124" spans="1:12" s="3327" customFormat="1" ht="12.75" customHeight="1">
      <c r="A1124" s="3354"/>
      <c r="B1124" s="3331" t="s">
        <v>3867</v>
      </c>
      <c r="C1124" s="3331" t="s">
        <v>3931</v>
      </c>
      <c r="D1124" s="3346" t="s">
        <v>3933</v>
      </c>
      <c r="E1124" s="3332">
        <v>39.4</v>
      </c>
      <c r="F1124" s="3332">
        <v>360</v>
      </c>
      <c r="G1124" s="3333">
        <v>42826</v>
      </c>
      <c r="H1124" s="3333">
        <v>42885</v>
      </c>
      <c r="I1124" s="3333">
        <v>42886</v>
      </c>
      <c r="J1124" s="3324"/>
      <c r="K1124" s="3334">
        <f t="shared" ref="K1124:K1125" si="87">E1124</f>
        <v>39.4</v>
      </c>
      <c r="L1124" s="3334">
        <f t="shared" ref="L1124:L1125" si="88">F1124/30</f>
        <v>12</v>
      </c>
    </row>
    <row r="1125" spans="1:12" s="3327" customFormat="1" ht="12.75" customHeight="1">
      <c r="A1125" s="3354" t="s">
        <v>3872</v>
      </c>
      <c r="B1125" s="3331" t="s">
        <v>3867</v>
      </c>
      <c r="C1125" s="3331" t="s">
        <v>3931</v>
      </c>
      <c r="D1125" s="3346" t="s">
        <v>3933</v>
      </c>
      <c r="E1125" s="3332">
        <v>39.4</v>
      </c>
      <c r="F1125" s="3332">
        <v>360</v>
      </c>
      <c r="G1125" s="3333">
        <v>42887</v>
      </c>
      <c r="H1125" s="3333">
        <v>43130</v>
      </c>
      <c r="I1125" s="3333">
        <v>43190</v>
      </c>
      <c r="J1125" s="3324"/>
      <c r="K1125" s="3334">
        <f t="shared" si="87"/>
        <v>39.4</v>
      </c>
      <c r="L1125" s="3334">
        <f t="shared" si="88"/>
        <v>12</v>
      </c>
    </row>
    <row r="1126" spans="1:12" s="3327" customFormat="1" ht="12.75" customHeight="1">
      <c r="A1126" s="3355"/>
      <c r="B1126" s="3336" t="s">
        <v>3867</v>
      </c>
      <c r="C1126" s="3336" t="s">
        <v>3809</v>
      </c>
      <c r="D1126" s="3345" t="s">
        <v>3934</v>
      </c>
      <c r="E1126" s="3339">
        <v>27.7</v>
      </c>
      <c r="F1126" s="3339">
        <v>300</v>
      </c>
      <c r="G1126" s="3340">
        <v>41000</v>
      </c>
      <c r="H1126" s="3340">
        <v>41363</v>
      </c>
      <c r="I1126" s="3340">
        <v>41364</v>
      </c>
      <c r="J1126" s="3336"/>
    </row>
    <row r="1127" spans="1:12" s="3327" customFormat="1" ht="12.75" customHeight="1">
      <c r="A1127" s="3354"/>
      <c r="B1127" s="3324" t="s">
        <v>3867</v>
      </c>
      <c r="C1127" s="3324" t="s">
        <v>3935</v>
      </c>
      <c r="D1127" s="3344" t="s">
        <v>3934</v>
      </c>
      <c r="E1127" s="3325">
        <v>27.7</v>
      </c>
      <c r="F1127" s="3325">
        <v>300</v>
      </c>
      <c r="G1127" s="3326"/>
      <c r="H1127" s="3326"/>
      <c r="I1127" s="3326"/>
      <c r="J1127" s="3324"/>
    </row>
    <row r="1128" spans="1:12" s="3327" customFormat="1" ht="12.75" customHeight="1">
      <c r="A1128" s="3354"/>
      <c r="B1128" s="3324" t="s">
        <v>3867</v>
      </c>
      <c r="C1128" s="3324" t="s">
        <v>3936</v>
      </c>
      <c r="D1128" s="3344" t="s">
        <v>3937</v>
      </c>
      <c r="E1128" s="3325">
        <v>211.9</v>
      </c>
      <c r="F1128" s="3325">
        <v>240</v>
      </c>
      <c r="G1128" s="3326">
        <v>41000</v>
      </c>
      <c r="H1128" s="3326">
        <v>41363</v>
      </c>
      <c r="I1128" s="3326">
        <v>41364</v>
      </c>
      <c r="J1128" s="3324"/>
    </row>
    <row r="1129" spans="1:12" s="3327" customFormat="1" ht="12.75" customHeight="1">
      <c r="A1129" s="3355"/>
      <c r="B1129" s="3336" t="s">
        <v>3867</v>
      </c>
      <c r="C1129" s="3336" t="s">
        <v>3364</v>
      </c>
      <c r="D1129" s="3345" t="s">
        <v>3938</v>
      </c>
      <c r="E1129" s="3339">
        <v>97.2</v>
      </c>
      <c r="F1129" s="3339">
        <v>240</v>
      </c>
      <c r="G1129" s="3340">
        <v>41380</v>
      </c>
      <c r="H1129" s="3340">
        <v>41698</v>
      </c>
      <c r="I1129" s="3340">
        <v>41729</v>
      </c>
      <c r="J1129" s="3336"/>
    </row>
    <row r="1130" spans="1:12" s="3327" customFormat="1" ht="12.75" customHeight="1">
      <c r="A1130" s="3354"/>
      <c r="B1130" s="3324" t="s">
        <v>3867</v>
      </c>
      <c r="C1130" s="3324" t="s">
        <v>3939</v>
      </c>
      <c r="D1130" s="3344" t="s">
        <v>3940</v>
      </c>
      <c r="E1130" s="3325">
        <v>85.9</v>
      </c>
      <c r="F1130" s="3325">
        <v>310</v>
      </c>
      <c r="G1130" s="3326">
        <v>41699</v>
      </c>
      <c r="H1130" s="3326">
        <v>41942</v>
      </c>
      <c r="I1130" s="3326">
        <v>42094</v>
      </c>
      <c r="J1130" s="3324"/>
    </row>
    <row r="1131" spans="1:12" s="3327" customFormat="1" ht="14.25" customHeight="1">
      <c r="A1131" s="3354"/>
      <c r="B1131" s="3324" t="s">
        <v>3867</v>
      </c>
      <c r="C1131" s="3324" t="s">
        <v>3939</v>
      </c>
      <c r="D1131" s="3344" t="s">
        <v>3940</v>
      </c>
      <c r="E1131" s="3325">
        <v>85.9</v>
      </c>
      <c r="F1131" s="3325">
        <v>310</v>
      </c>
      <c r="G1131" s="3326">
        <v>41944</v>
      </c>
      <c r="H1131" s="3326">
        <v>42093</v>
      </c>
      <c r="I1131" s="3326">
        <v>42094</v>
      </c>
      <c r="J1131" s="3324"/>
    </row>
    <row r="1132" spans="1:12" s="3327" customFormat="1" ht="12.75" customHeight="1">
      <c r="A1132" s="3354"/>
      <c r="B1132" s="3336" t="s">
        <v>3867</v>
      </c>
      <c r="C1132" s="3336" t="s">
        <v>3939</v>
      </c>
      <c r="D1132" s="3345" t="s">
        <v>3940</v>
      </c>
      <c r="E1132" s="3339">
        <v>85.9</v>
      </c>
      <c r="F1132" s="3339">
        <v>330</v>
      </c>
      <c r="G1132" s="3340">
        <v>42095</v>
      </c>
      <c r="H1132" s="3340">
        <v>42200</v>
      </c>
      <c r="I1132" s="3340">
        <v>42460</v>
      </c>
      <c r="J1132" s="3324"/>
    </row>
    <row r="1133" spans="1:12" s="3327" customFormat="1" ht="12.75" customHeight="1">
      <c r="A1133" s="3354"/>
      <c r="B1133" s="3336" t="s">
        <v>3867</v>
      </c>
      <c r="C1133" s="3336" t="s">
        <v>3912</v>
      </c>
      <c r="D1133" s="3345" t="s">
        <v>3940</v>
      </c>
      <c r="E1133" s="3339">
        <v>42.9</v>
      </c>
      <c r="F1133" s="3339">
        <v>330</v>
      </c>
      <c r="G1133" s="3340">
        <v>42201</v>
      </c>
      <c r="H1133" s="3340">
        <v>42215</v>
      </c>
      <c r="I1133" s="3340">
        <v>42460</v>
      </c>
      <c r="J1133" s="3324"/>
    </row>
    <row r="1134" spans="1:12" s="3327" customFormat="1" ht="12.75" customHeight="1">
      <c r="A1134" s="3354"/>
      <c r="B1134" s="3336" t="s">
        <v>3867</v>
      </c>
      <c r="C1134" s="3336" t="s">
        <v>3912</v>
      </c>
      <c r="D1134" s="3345" t="s">
        <v>3940</v>
      </c>
      <c r="E1134" s="3339">
        <v>43</v>
      </c>
      <c r="F1134" s="3339">
        <v>330</v>
      </c>
      <c r="G1134" s="3340">
        <v>42217</v>
      </c>
      <c r="H1134" s="3340">
        <v>42459</v>
      </c>
      <c r="I1134" s="3340">
        <v>42460</v>
      </c>
      <c r="J1134" s="3324"/>
    </row>
    <row r="1135" spans="1:12" s="3327" customFormat="1" ht="12.75" customHeight="1">
      <c r="A1135" s="3354"/>
      <c r="B1135" s="3336" t="s">
        <v>3867</v>
      </c>
      <c r="C1135" s="3336" t="s">
        <v>3912</v>
      </c>
      <c r="D1135" s="3345" t="s">
        <v>3940</v>
      </c>
      <c r="E1135" s="3339">
        <v>43</v>
      </c>
      <c r="F1135" s="3339">
        <v>350</v>
      </c>
      <c r="G1135" s="3340">
        <v>42461</v>
      </c>
      <c r="H1135" s="3340">
        <v>42824</v>
      </c>
      <c r="I1135" s="3340">
        <v>42825</v>
      </c>
      <c r="J1135" s="3324"/>
    </row>
    <row r="1136" spans="1:12" s="3327" customFormat="1" ht="12.75" customHeight="1">
      <c r="A1136" s="3354"/>
      <c r="B1136" s="3331" t="s">
        <v>3867</v>
      </c>
      <c r="C1136" s="3331" t="s">
        <v>3912</v>
      </c>
      <c r="D1136" s="3346" t="s">
        <v>3938</v>
      </c>
      <c r="E1136" s="3332">
        <v>43</v>
      </c>
      <c r="F1136" s="3332">
        <v>355</v>
      </c>
      <c r="G1136" s="3333">
        <v>42826</v>
      </c>
      <c r="H1136" s="3333">
        <v>42885</v>
      </c>
      <c r="I1136" s="3333">
        <v>42886</v>
      </c>
      <c r="J1136" s="3324"/>
      <c r="K1136" s="3334">
        <f t="shared" ref="K1136:K1138" si="89">E1136</f>
        <v>43</v>
      </c>
      <c r="L1136" s="3334">
        <f t="shared" ref="L1136:L1138" si="90">F1136/30</f>
        <v>11.833333333333334</v>
      </c>
    </row>
    <row r="1137" spans="1:12" s="3327" customFormat="1" ht="12.75" customHeight="1">
      <c r="A1137" s="3354"/>
      <c r="B1137" s="3331" t="s">
        <v>3867</v>
      </c>
      <c r="C1137" s="3331" t="s">
        <v>3912</v>
      </c>
      <c r="D1137" s="3346" t="s">
        <v>3938</v>
      </c>
      <c r="E1137" s="3332">
        <v>43</v>
      </c>
      <c r="F1137" s="3332">
        <v>355</v>
      </c>
      <c r="G1137" s="3333">
        <v>42887</v>
      </c>
      <c r="H1137" s="3333">
        <v>42916</v>
      </c>
      <c r="I1137" s="3333">
        <v>43190</v>
      </c>
      <c r="J1137" s="3324"/>
      <c r="K1137" s="3334">
        <f t="shared" si="89"/>
        <v>43</v>
      </c>
      <c r="L1137" s="3334">
        <f t="shared" si="90"/>
        <v>11.833333333333334</v>
      </c>
    </row>
    <row r="1138" spans="1:12" s="3327" customFormat="1" ht="12.75" customHeight="1">
      <c r="A1138" s="3354" t="s">
        <v>3872</v>
      </c>
      <c r="B1138" s="3331" t="s">
        <v>3867</v>
      </c>
      <c r="C1138" s="3331" t="s">
        <v>3136</v>
      </c>
      <c r="D1138" s="3346" t="s">
        <v>3938</v>
      </c>
      <c r="E1138" s="3332">
        <v>43</v>
      </c>
      <c r="F1138" s="3332">
        <v>295</v>
      </c>
      <c r="G1138" s="3333">
        <v>42917</v>
      </c>
      <c r="H1138" s="3333">
        <v>43130</v>
      </c>
      <c r="I1138" s="3333">
        <v>43190</v>
      </c>
      <c r="J1138" s="3324"/>
      <c r="K1138" s="3334">
        <f t="shared" si="89"/>
        <v>43</v>
      </c>
      <c r="L1138" s="3334">
        <f t="shared" si="90"/>
        <v>9.8333333333333339</v>
      </c>
    </row>
    <row r="1139" spans="1:12" s="3327" customFormat="1" ht="12.75" customHeight="1">
      <c r="A1139" s="3354"/>
      <c r="B1139" s="3336" t="s">
        <v>3867</v>
      </c>
      <c r="C1139" s="3336" t="s">
        <v>3939</v>
      </c>
      <c r="D1139" s="3345" t="s">
        <v>3940</v>
      </c>
      <c r="E1139" s="3339">
        <v>42.9</v>
      </c>
      <c r="F1139" s="3339">
        <v>330</v>
      </c>
      <c r="G1139" s="3340">
        <v>42217</v>
      </c>
      <c r="H1139" s="3340">
        <v>42292</v>
      </c>
      <c r="I1139" s="3340">
        <v>42460</v>
      </c>
      <c r="J1139" s="3324"/>
    </row>
    <row r="1140" spans="1:12" s="3327" customFormat="1" ht="12.75" customHeight="1">
      <c r="A1140" s="3354"/>
      <c r="B1140" s="3336" t="s">
        <v>3867</v>
      </c>
      <c r="C1140" s="3336" t="s">
        <v>3941</v>
      </c>
      <c r="D1140" s="3345" t="s">
        <v>3940</v>
      </c>
      <c r="E1140" s="3339">
        <v>42.9</v>
      </c>
      <c r="F1140" s="3339">
        <v>300</v>
      </c>
      <c r="G1140" s="3340">
        <v>42297</v>
      </c>
      <c r="H1140" s="3340">
        <v>42459</v>
      </c>
      <c r="I1140" s="3340">
        <v>42460</v>
      </c>
      <c r="J1140" s="3324"/>
    </row>
    <row r="1141" spans="1:12" s="3327" customFormat="1" ht="12.75" customHeight="1">
      <c r="A1141" s="3354"/>
      <c r="B1141" s="3336" t="s">
        <v>3867</v>
      </c>
      <c r="C1141" s="3336" t="s">
        <v>3941</v>
      </c>
      <c r="D1141" s="3345" t="s">
        <v>3940</v>
      </c>
      <c r="E1141" s="3339">
        <v>42.9</v>
      </c>
      <c r="F1141" s="3339">
        <v>310</v>
      </c>
      <c r="G1141" s="3340">
        <v>42461</v>
      </c>
      <c r="H1141" s="3340">
        <v>42824</v>
      </c>
      <c r="I1141" s="3340">
        <v>42825</v>
      </c>
      <c r="J1141" s="3324"/>
    </row>
    <row r="1142" spans="1:12" s="3327" customFormat="1" ht="12.75" customHeight="1">
      <c r="A1142" s="3354"/>
      <c r="B1142" s="3331" t="s">
        <v>3867</v>
      </c>
      <c r="C1142" s="3331" t="s">
        <v>3941</v>
      </c>
      <c r="D1142" s="3346" t="s">
        <v>3942</v>
      </c>
      <c r="E1142" s="3332">
        <v>42.9</v>
      </c>
      <c r="F1142" s="3332">
        <v>320</v>
      </c>
      <c r="G1142" s="3333">
        <v>42826</v>
      </c>
      <c r="H1142" s="3333">
        <v>42885</v>
      </c>
      <c r="I1142" s="3333">
        <v>42886</v>
      </c>
      <c r="J1142" s="3324"/>
      <c r="K1142" s="3334">
        <f t="shared" ref="K1142:K1145" si="91">E1142</f>
        <v>42.9</v>
      </c>
      <c r="L1142" s="3334">
        <f t="shared" ref="L1142:L1145" si="92">F1142/30</f>
        <v>10.666666666666666</v>
      </c>
    </row>
    <row r="1143" spans="1:12" s="3327" customFormat="1" ht="12.75" customHeight="1">
      <c r="A1143" s="3354"/>
      <c r="B1143" s="3331" t="s">
        <v>3867</v>
      </c>
      <c r="C1143" s="3331" t="s">
        <v>3941</v>
      </c>
      <c r="D1143" s="3346" t="s">
        <v>3942</v>
      </c>
      <c r="E1143" s="3332">
        <v>42.9</v>
      </c>
      <c r="F1143" s="3332">
        <v>340</v>
      </c>
      <c r="G1143" s="3333">
        <v>42887</v>
      </c>
      <c r="H1143" s="3333">
        <v>42916</v>
      </c>
      <c r="I1143" s="3333">
        <v>43190</v>
      </c>
      <c r="J1143" s="3324"/>
      <c r="K1143" s="3334">
        <f t="shared" si="91"/>
        <v>42.9</v>
      </c>
      <c r="L1143" s="3334">
        <f t="shared" si="92"/>
        <v>11.333333333333334</v>
      </c>
    </row>
    <row r="1144" spans="1:12" s="3327" customFormat="1" ht="12.75" customHeight="1">
      <c r="A1144" s="3354"/>
      <c r="B1144" s="3331" t="s">
        <v>3867</v>
      </c>
      <c r="C1144" s="3331" t="s">
        <v>3941</v>
      </c>
      <c r="D1144" s="3346" t="s">
        <v>3942</v>
      </c>
      <c r="E1144" s="3332">
        <v>42.89</v>
      </c>
      <c r="F1144" s="3332">
        <v>340</v>
      </c>
      <c r="G1144" s="3333">
        <v>42917</v>
      </c>
      <c r="H1144" s="3333">
        <v>43094</v>
      </c>
      <c r="I1144" s="3333">
        <v>43190</v>
      </c>
      <c r="J1144" s="3324"/>
      <c r="K1144" s="3334">
        <f t="shared" si="91"/>
        <v>42.89</v>
      </c>
      <c r="L1144" s="3334">
        <f t="shared" si="92"/>
        <v>11.333333333333334</v>
      </c>
    </row>
    <row r="1145" spans="1:12" s="3327" customFormat="1" ht="12.75" customHeight="1">
      <c r="A1145" s="3354" t="s">
        <v>3872</v>
      </c>
      <c r="B1145" s="3331" t="s">
        <v>3867</v>
      </c>
      <c r="C1145" s="3331" t="s">
        <v>3941</v>
      </c>
      <c r="D1145" s="3346" t="s">
        <v>3942</v>
      </c>
      <c r="E1145" s="3332">
        <v>42.89</v>
      </c>
      <c r="F1145" s="3332">
        <v>340</v>
      </c>
      <c r="G1145" s="3333">
        <v>43095</v>
      </c>
      <c r="H1145" s="3333">
        <v>43130</v>
      </c>
      <c r="I1145" s="3333">
        <v>43190</v>
      </c>
      <c r="J1145" s="3324"/>
      <c r="K1145" s="3334">
        <f t="shared" si="91"/>
        <v>42.89</v>
      </c>
      <c r="L1145" s="3334">
        <f t="shared" si="92"/>
        <v>11.333333333333334</v>
      </c>
    </row>
    <row r="1146" spans="1:12" s="3327" customFormat="1" ht="12.75" customHeight="1">
      <c r="A1146" s="3354"/>
      <c r="B1146" s="3324" t="s">
        <v>3867</v>
      </c>
      <c r="C1146" s="3324" t="s">
        <v>3943</v>
      </c>
      <c r="D1146" s="3344" t="s">
        <v>3944</v>
      </c>
      <c r="E1146" s="3325">
        <v>29.5</v>
      </c>
      <c r="F1146" s="3325">
        <v>310</v>
      </c>
      <c r="G1146" s="3326">
        <v>41699</v>
      </c>
      <c r="H1146" s="3326">
        <v>42003</v>
      </c>
      <c r="I1146" s="3326">
        <v>42094</v>
      </c>
      <c r="J1146" s="3324"/>
    </row>
    <row r="1147" spans="1:12" s="3327" customFormat="1" ht="12.75" customHeight="1">
      <c r="A1147" s="3354"/>
      <c r="B1147" s="3324" t="s">
        <v>3867</v>
      </c>
      <c r="C1147" s="3324" t="s">
        <v>3943</v>
      </c>
      <c r="D1147" s="3344" t="s">
        <v>3944</v>
      </c>
      <c r="E1147" s="3325">
        <v>29.5</v>
      </c>
      <c r="F1147" s="3325">
        <v>330</v>
      </c>
      <c r="G1147" s="3326">
        <v>42005</v>
      </c>
      <c r="H1147" s="3326">
        <v>42093</v>
      </c>
      <c r="I1147" s="3326">
        <v>42094</v>
      </c>
      <c r="J1147" s="3324"/>
    </row>
    <row r="1148" spans="1:12" s="3327" customFormat="1" ht="12.75" customHeight="1">
      <c r="A1148" s="3354"/>
      <c r="B1148" s="3336" t="s">
        <v>3867</v>
      </c>
      <c r="C1148" s="3336" t="s">
        <v>3943</v>
      </c>
      <c r="D1148" s="3345" t="s">
        <v>3944</v>
      </c>
      <c r="E1148" s="3339">
        <v>29.5</v>
      </c>
      <c r="F1148" s="3339">
        <v>330</v>
      </c>
      <c r="G1148" s="3340">
        <v>42095</v>
      </c>
      <c r="H1148" s="3340">
        <v>42459</v>
      </c>
      <c r="I1148" s="3340">
        <v>42460</v>
      </c>
      <c r="J1148" s="3324"/>
    </row>
    <row r="1149" spans="1:12" s="3327" customFormat="1" ht="12.75" customHeight="1">
      <c r="A1149" s="3354"/>
      <c r="B1149" s="3336" t="s">
        <v>3867</v>
      </c>
      <c r="C1149" s="3336" t="s">
        <v>3943</v>
      </c>
      <c r="D1149" s="3345" t="s">
        <v>3944</v>
      </c>
      <c r="E1149" s="3338">
        <v>43.29</v>
      </c>
      <c r="F1149" s="3339">
        <v>330</v>
      </c>
      <c r="G1149" s="3340">
        <v>42461</v>
      </c>
      <c r="H1149" s="3340">
        <v>42824</v>
      </c>
      <c r="I1149" s="3340">
        <v>42825</v>
      </c>
      <c r="J1149" s="3324"/>
    </row>
    <row r="1150" spans="1:12" s="3327" customFormat="1" ht="12.75" customHeight="1">
      <c r="A1150" s="3354"/>
      <c r="B1150" s="3331" t="s">
        <v>3867</v>
      </c>
      <c r="C1150" s="3331" t="s">
        <v>3945</v>
      </c>
      <c r="D1150" s="3346" t="s">
        <v>3946</v>
      </c>
      <c r="E1150" s="3332">
        <v>43.29</v>
      </c>
      <c r="F1150" s="3332">
        <v>340</v>
      </c>
      <c r="G1150" s="3333">
        <v>42826</v>
      </c>
      <c r="H1150" s="3333">
        <v>42885</v>
      </c>
      <c r="I1150" s="3333">
        <v>42886</v>
      </c>
      <c r="J1150" s="3324"/>
      <c r="K1150" s="3334">
        <f t="shared" ref="K1150:K1151" si="93">E1150</f>
        <v>43.29</v>
      </c>
      <c r="L1150" s="3334">
        <f t="shared" ref="L1150:L1151" si="94">F1150/30</f>
        <v>11.333333333333334</v>
      </c>
    </row>
    <row r="1151" spans="1:12" s="3327" customFormat="1" ht="12.75" customHeight="1">
      <c r="A1151" s="3354" t="s">
        <v>3872</v>
      </c>
      <c r="B1151" s="3331" t="s">
        <v>3867</v>
      </c>
      <c r="C1151" s="3331" t="s">
        <v>3945</v>
      </c>
      <c r="D1151" s="3346" t="s">
        <v>3946</v>
      </c>
      <c r="E1151" s="3332">
        <v>43.29</v>
      </c>
      <c r="F1151" s="3332">
        <v>360</v>
      </c>
      <c r="G1151" s="3333">
        <v>42887</v>
      </c>
      <c r="H1151" s="3333">
        <v>43130</v>
      </c>
      <c r="I1151" s="3333">
        <v>43190</v>
      </c>
      <c r="J1151" s="3324"/>
      <c r="K1151" s="3334">
        <f t="shared" si="93"/>
        <v>43.29</v>
      </c>
      <c r="L1151" s="3334">
        <f t="shared" si="94"/>
        <v>12</v>
      </c>
    </row>
    <row r="1152" spans="1:12" s="3327" customFormat="1" ht="12.75" customHeight="1">
      <c r="A1152" s="3355"/>
      <c r="B1152" s="3369" t="s">
        <v>3867</v>
      </c>
      <c r="C1152" s="3336" t="s">
        <v>3947</v>
      </c>
      <c r="D1152" s="3345" t="s">
        <v>3948</v>
      </c>
      <c r="E1152" s="3339">
        <v>114.7</v>
      </c>
      <c r="F1152" s="3339">
        <v>240</v>
      </c>
      <c r="G1152" s="3340">
        <v>41379</v>
      </c>
      <c r="H1152" s="3340">
        <v>41698</v>
      </c>
      <c r="I1152" s="3340">
        <v>41729</v>
      </c>
      <c r="J1152" s="3336"/>
    </row>
    <row r="1153" spans="1:12" s="3327" customFormat="1" ht="12.75" customHeight="1">
      <c r="A1153" s="3354"/>
      <c r="B1153" s="3368" t="s">
        <v>3867</v>
      </c>
      <c r="C1153" s="3324" t="s">
        <v>3949</v>
      </c>
      <c r="D1153" s="3344" t="s">
        <v>3950</v>
      </c>
      <c r="E1153" s="3325">
        <v>96.7</v>
      </c>
      <c r="F1153" s="3325">
        <v>250</v>
      </c>
      <c r="G1153" s="3326">
        <v>41699</v>
      </c>
      <c r="H1153" s="3326">
        <v>42093</v>
      </c>
      <c r="I1153" s="3326">
        <v>42094</v>
      </c>
      <c r="J1153" s="3324"/>
    </row>
    <row r="1154" spans="1:12" s="3327" customFormat="1" ht="12.75" customHeight="1">
      <c r="A1154" s="3354"/>
      <c r="B1154" s="3369" t="s">
        <v>3867</v>
      </c>
      <c r="C1154" s="3336" t="s">
        <v>3949</v>
      </c>
      <c r="D1154" s="3345" t="s">
        <v>3950</v>
      </c>
      <c r="E1154" s="3339">
        <v>96.7</v>
      </c>
      <c r="F1154" s="3339">
        <v>255</v>
      </c>
      <c r="G1154" s="3340">
        <v>42095</v>
      </c>
      <c r="H1154" s="3340">
        <v>42459</v>
      </c>
      <c r="I1154" s="3340">
        <v>42460</v>
      </c>
      <c r="J1154" s="3324"/>
    </row>
    <row r="1155" spans="1:12" s="3327" customFormat="1" ht="12.75" customHeight="1">
      <c r="A1155" s="3354"/>
      <c r="B1155" s="3369" t="s">
        <v>3867</v>
      </c>
      <c r="C1155" s="3336" t="s">
        <v>3949</v>
      </c>
      <c r="D1155" s="3345" t="s">
        <v>3950</v>
      </c>
      <c r="E1155" s="3339">
        <v>96.7</v>
      </c>
      <c r="F1155" s="3339">
        <v>265</v>
      </c>
      <c r="G1155" s="3340">
        <v>42461</v>
      </c>
      <c r="H1155" s="3340">
        <v>42824</v>
      </c>
      <c r="I1155" s="3340">
        <v>42825</v>
      </c>
      <c r="J1155" s="3324"/>
    </row>
    <row r="1156" spans="1:12" s="3327" customFormat="1" ht="12.75" customHeight="1">
      <c r="A1156" s="3354"/>
      <c r="B1156" s="3370" t="s">
        <v>3867</v>
      </c>
      <c r="C1156" s="3331" t="s">
        <v>3949</v>
      </c>
      <c r="D1156" s="3346" t="s">
        <v>3951</v>
      </c>
      <c r="E1156" s="3332">
        <v>96.7</v>
      </c>
      <c r="F1156" s="3332">
        <v>270</v>
      </c>
      <c r="G1156" s="3333">
        <v>42826</v>
      </c>
      <c r="H1156" s="3333">
        <v>42885</v>
      </c>
      <c r="I1156" s="3333">
        <v>42886</v>
      </c>
      <c r="J1156" s="3324"/>
      <c r="K1156" s="3334">
        <f t="shared" ref="K1156:K1158" si="95">E1156</f>
        <v>96.7</v>
      </c>
      <c r="L1156" s="3334">
        <f t="shared" ref="L1156:L1158" si="96">F1156/30</f>
        <v>9</v>
      </c>
    </row>
    <row r="1157" spans="1:12" s="3327" customFormat="1" ht="12.75" customHeight="1">
      <c r="A1157" s="3354"/>
      <c r="B1157" s="3370" t="s">
        <v>3867</v>
      </c>
      <c r="C1157" s="3331" t="s">
        <v>3949</v>
      </c>
      <c r="D1157" s="3346" t="s">
        <v>3951</v>
      </c>
      <c r="E1157" s="3332">
        <v>96.7</v>
      </c>
      <c r="F1157" s="3332">
        <v>270</v>
      </c>
      <c r="G1157" s="3333">
        <v>42887</v>
      </c>
      <c r="H1157" s="3333">
        <v>42916</v>
      </c>
      <c r="I1157" s="3333">
        <v>43190</v>
      </c>
      <c r="J1157" s="3324"/>
      <c r="K1157" s="3334">
        <f t="shared" si="95"/>
        <v>96.7</v>
      </c>
      <c r="L1157" s="3334">
        <f t="shared" si="96"/>
        <v>9</v>
      </c>
    </row>
    <row r="1158" spans="1:12" s="3327" customFormat="1" ht="12.75" customHeight="1">
      <c r="A1158" s="3354" t="s">
        <v>3872</v>
      </c>
      <c r="B1158" s="3370" t="s">
        <v>3867</v>
      </c>
      <c r="C1158" s="3331" t="s">
        <v>3136</v>
      </c>
      <c r="D1158" s="3346" t="s">
        <v>3951</v>
      </c>
      <c r="E1158" s="3332">
        <v>96.7</v>
      </c>
      <c r="F1158" s="3332">
        <v>295</v>
      </c>
      <c r="G1158" s="3333">
        <v>42917</v>
      </c>
      <c r="H1158" s="3333">
        <v>43130</v>
      </c>
      <c r="I1158" s="3333">
        <v>43190</v>
      </c>
      <c r="J1158" s="3324"/>
      <c r="K1158" s="3334">
        <f t="shared" si="95"/>
        <v>96.7</v>
      </c>
      <c r="L1158" s="3334">
        <f t="shared" si="96"/>
        <v>9.8333333333333339</v>
      </c>
    </row>
    <row r="1159" spans="1:12" s="3327" customFormat="1" ht="13.5" customHeight="1">
      <c r="A1159" s="3354"/>
      <c r="B1159" s="3368" t="s">
        <v>3867</v>
      </c>
      <c r="C1159" s="3324" t="s">
        <v>3952</v>
      </c>
      <c r="D1159" s="3344" t="s">
        <v>3953</v>
      </c>
      <c r="E1159" s="3325">
        <v>56.2</v>
      </c>
      <c r="F1159" s="3325">
        <v>310</v>
      </c>
      <c r="G1159" s="3326">
        <v>41699</v>
      </c>
      <c r="H1159" s="3326">
        <v>42003</v>
      </c>
      <c r="I1159" s="3326">
        <v>42094</v>
      </c>
      <c r="J1159" s="3324"/>
    </row>
    <row r="1160" spans="1:12" s="3327" customFormat="1" ht="13.5" customHeight="1">
      <c r="A1160" s="3354"/>
      <c r="B1160" s="3368" t="s">
        <v>3867</v>
      </c>
      <c r="C1160" s="3324" t="s">
        <v>3952</v>
      </c>
      <c r="D1160" s="3344" t="s">
        <v>3953</v>
      </c>
      <c r="E1160" s="3325">
        <v>56.2</v>
      </c>
      <c r="F1160" s="3325">
        <v>330</v>
      </c>
      <c r="G1160" s="3326">
        <v>42005</v>
      </c>
      <c r="H1160" s="3326">
        <v>42093</v>
      </c>
      <c r="I1160" s="3326">
        <v>42094</v>
      </c>
      <c r="J1160" s="3324"/>
    </row>
    <row r="1161" spans="1:12" s="3327" customFormat="1" ht="13.5" customHeight="1">
      <c r="A1161" s="3354"/>
      <c r="B1161" s="3369" t="s">
        <v>3867</v>
      </c>
      <c r="C1161" s="3336" t="s">
        <v>3952</v>
      </c>
      <c r="D1161" s="3345" t="s">
        <v>3953</v>
      </c>
      <c r="E1161" s="3339">
        <v>56.2</v>
      </c>
      <c r="F1161" s="3339">
        <v>330</v>
      </c>
      <c r="G1161" s="3340">
        <v>42095</v>
      </c>
      <c r="H1161" s="3340">
        <v>42459</v>
      </c>
      <c r="I1161" s="3340">
        <v>42460</v>
      </c>
      <c r="J1161" s="3324"/>
    </row>
    <row r="1162" spans="1:12" s="3327" customFormat="1" ht="13.5" customHeight="1">
      <c r="A1162" s="3354"/>
      <c r="B1162" s="3369" t="s">
        <v>3867</v>
      </c>
      <c r="C1162" s="3336" t="s">
        <v>3952</v>
      </c>
      <c r="D1162" s="3345" t="s">
        <v>3953</v>
      </c>
      <c r="E1162" s="3338">
        <v>58.8</v>
      </c>
      <c r="F1162" s="3339">
        <v>350</v>
      </c>
      <c r="G1162" s="3340">
        <v>42461</v>
      </c>
      <c r="H1162" s="3340">
        <v>42520</v>
      </c>
      <c r="I1162" s="3340">
        <v>42825</v>
      </c>
      <c r="J1162" s="3324"/>
    </row>
    <row r="1163" spans="1:12" s="3327" customFormat="1" ht="13.5" customHeight="1">
      <c r="A1163" s="3354"/>
      <c r="B1163" s="3369" t="s">
        <v>3867</v>
      </c>
      <c r="C1163" s="3336" t="s">
        <v>3954</v>
      </c>
      <c r="D1163" s="3345" t="s">
        <v>3953</v>
      </c>
      <c r="E1163" s="3339">
        <v>58.8</v>
      </c>
      <c r="F1163" s="3339">
        <v>350</v>
      </c>
      <c r="G1163" s="3340">
        <v>42522</v>
      </c>
      <c r="H1163" s="3340">
        <v>42824</v>
      </c>
      <c r="I1163" s="3340">
        <v>42825</v>
      </c>
      <c r="J1163" s="3324"/>
    </row>
    <row r="1164" spans="1:12" s="3327" customFormat="1" ht="13.5" customHeight="1">
      <c r="A1164" s="3354"/>
      <c r="B1164" s="3370" t="s">
        <v>3867</v>
      </c>
      <c r="C1164" s="3331" t="s">
        <v>3954</v>
      </c>
      <c r="D1164" s="3346" t="s">
        <v>3955</v>
      </c>
      <c r="E1164" s="3332">
        <v>58.8</v>
      </c>
      <c r="F1164" s="3332">
        <v>355</v>
      </c>
      <c r="G1164" s="3333">
        <v>42826</v>
      </c>
      <c r="H1164" s="3333">
        <v>42885</v>
      </c>
      <c r="I1164" s="3333">
        <v>42886</v>
      </c>
      <c r="J1164" s="3324"/>
      <c r="K1164" s="3334">
        <f t="shared" ref="K1164:K1165" si="97">E1164</f>
        <v>58.8</v>
      </c>
      <c r="L1164" s="3334">
        <f t="shared" ref="L1164:L1165" si="98">F1164/30</f>
        <v>11.833333333333334</v>
      </c>
    </row>
    <row r="1165" spans="1:12" s="3327" customFormat="1" ht="13.5" customHeight="1">
      <c r="A1165" s="3354" t="s">
        <v>3872</v>
      </c>
      <c r="B1165" s="3370" t="s">
        <v>3867</v>
      </c>
      <c r="C1165" s="3331" t="s">
        <v>3956</v>
      </c>
      <c r="D1165" s="3346" t="s">
        <v>3955</v>
      </c>
      <c r="E1165" s="3332">
        <v>58.8</v>
      </c>
      <c r="F1165" s="3332">
        <v>370</v>
      </c>
      <c r="G1165" s="3333">
        <v>42887</v>
      </c>
      <c r="H1165" s="3333">
        <v>43130</v>
      </c>
      <c r="I1165" s="3333">
        <v>43190</v>
      </c>
      <c r="J1165" s="3324"/>
      <c r="K1165" s="3334">
        <f t="shared" si="97"/>
        <v>58.8</v>
      </c>
      <c r="L1165" s="3334">
        <f t="shared" si="98"/>
        <v>12.333333333333334</v>
      </c>
    </row>
    <row r="1166" spans="1:12" s="3327" customFormat="1" ht="12.75" customHeight="1">
      <c r="A1166" s="3354"/>
      <c r="B1166" s="3368" t="s">
        <v>3867</v>
      </c>
      <c r="C1166" s="3324" t="s">
        <v>3957</v>
      </c>
      <c r="D1166" s="3344" t="s">
        <v>3958</v>
      </c>
      <c r="E1166" s="3325">
        <v>71.7</v>
      </c>
      <c r="F1166" s="3325">
        <v>310</v>
      </c>
      <c r="G1166" s="3326">
        <v>41699</v>
      </c>
      <c r="H1166" s="3326">
        <v>42003</v>
      </c>
      <c r="I1166" s="3326">
        <v>42094</v>
      </c>
      <c r="J1166" s="3324"/>
    </row>
    <row r="1167" spans="1:12" s="3327" customFormat="1" ht="12.75" customHeight="1">
      <c r="A1167" s="3354"/>
      <c r="B1167" s="3368" t="s">
        <v>3867</v>
      </c>
      <c r="C1167" s="3324" t="s">
        <v>3957</v>
      </c>
      <c r="D1167" s="3344" t="s">
        <v>3958</v>
      </c>
      <c r="E1167" s="3325">
        <v>71.7</v>
      </c>
      <c r="F1167" s="3325">
        <v>330</v>
      </c>
      <c r="G1167" s="3326">
        <v>42005</v>
      </c>
      <c r="H1167" s="3326">
        <v>42093</v>
      </c>
      <c r="I1167" s="3326">
        <v>42094</v>
      </c>
      <c r="J1167" s="3324"/>
    </row>
    <row r="1168" spans="1:12" s="3327" customFormat="1" ht="12.75" customHeight="1">
      <c r="A1168" s="3354"/>
      <c r="B1168" s="3369" t="s">
        <v>3867</v>
      </c>
      <c r="C1168" s="3336" t="s">
        <v>3957</v>
      </c>
      <c r="D1168" s="3345" t="s">
        <v>3958</v>
      </c>
      <c r="E1168" s="3339">
        <v>71.7</v>
      </c>
      <c r="F1168" s="3339">
        <v>330</v>
      </c>
      <c r="G1168" s="3340">
        <v>42095</v>
      </c>
      <c r="H1168" s="3340">
        <v>42459</v>
      </c>
      <c r="I1168" s="3340">
        <v>42460</v>
      </c>
      <c r="J1168" s="3324"/>
    </row>
    <row r="1169" spans="1:12" s="3327" customFormat="1" ht="12.75" customHeight="1">
      <c r="A1169" s="3354"/>
      <c r="B1169" s="3369" t="s">
        <v>3867</v>
      </c>
      <c r="C1169" s="3336" t="s">
        <v>3957</v>
      </c>
      <c r="D1169" s="3345" t="s">
        <v>3958</v>
      </c>
      <c r="E1169" s="3339">
        <v>71.7</v>
      </c>
      <c r="F1169" s="3339">
        <v>350</v>
      </c>
      <c r="G1169" s="3340">
        <v>42461</v>
      </c>
      <c r="H1169" s="3340">
        <v>42474</v>
      </c>
      <c r="I1169" s="3340">
        <v>42825</v>
      </c>
      <c r="J1169" s="3324"/>
    </row>
    <row r="1170" spans="1:12" s="3327" customFormat="1" ht="12.75" customHeight="1">
      <c r="A1170" s="3354"/>
      <c r="B1170" s="3369" t="s">
        <v>3867</v>
      </c>
      <c r="C1170" s="3372" t="s">
        <v>3959</v>
      </c>
      <c r="D1170" s="3345" t="s">
        <v>3958</v>
      </c>
      <c r="E1170" s="3339">
        <v>71.7</v>
      </c>
      <c r="F1170" s="3339">
        <v>350</v>
      </c>
      <c r="G1170" s="3340">
        <v>42476</v>
      </c>
      <c r="H1170" s="3340">
        <v>42824</v>
      </c>
      <c r="I1170" s="3340">
        <v>42825</v>
      </c>
      <c r="J1170" s="3324"/>
    </row>
    <row r="1171" spans="1:12" s="3327" customFormat="1" ht="12.75" customHeight="1">
      <c r="A1171" s="3354"/>
      <c r="B1171" s="3370" t="s">
        <v>3867</v>
      </c>
      <c r="C1171" s="3378" t="s">
        <v>3959</v>
      </c>
      <c r="D1171" s="3346" t="s">
        <v>3960</v>
      </c>
      <c r="E1171" s="3332">
        <v>71.7</v>
      </c>
      <c r="F1171" s="3332">
        <v>355</v>
      </c>
      <c r="G1171" s="3333">
        <v>42826</v>
      </c>
      <c r="H1171" s="3333">
        <v>42885</v>
      </c>
      <c r="I1171" s="3333">
        <v>42886</v>
      </c>
      <c r="J1171" s="3324"/>
      <c r="K1171" s="3334">
        <f t="shared" ref="K1171:K1172" si="99">E1171</f>
        <v>71.7</v>
      </c>
      <c r="L1171" s="3334">
        <f t="shared" ref="L1171:L1172" si="100">F1171/30</f>
        <v>11.833333333333334</v>
      </c>
    </row>
    <row r="1172" spans="1:12" s="3327" customFormat="1" ht="12.75" customHeight="1">
      <c r="A1172" s="3354" t="s">
        <v>3872</v>
      </c>
      <c r="B1172" s="3370" t="s">
        <v>3867</v>
      </c>
      <c r="C1172" s="3378" t="s">
        <v>3959</v>
      </c>
      <c r="D1172" s="3346" t="s">
        <v>3960</v>
      </c>
      <c r="E1172" s="3332">
        <v>71.7</v>
      </c>
      <c r="F1172" s="3332">
        <v>370</v>
      </c>
      <c r="G1172" s="3333">
        <v>42887</v>
      </c>
      <c r="H1172" s="3333">
        <v>43130</v>
      </c>
      <c r="I1172" s="3333">
        <v>43190</v>
      </c>
      <c r="J1172" s="3324"/>
      <c r="K1172" s="3334">
        <f t="shared" si="99"/>
        <v>71.7</v>
      </c>
      <c r="L1172" s="3334">
        <f t="shared" si="100"/>
        <v>12.333333333333334</v>
      </c>
    </row>
    <row r="1173" spans="1:12" s="3327" customFormat="1" ht="12.75" customHeight="1">
      <c r="A1173" s="3355"/>
      <c r="B1173" s="3371" t="s">
        <v>3867</v>
      </c>
      <c r="C1173" s="3372" t="s">
        <v>3351</v>
      </c>
      <c r="D1173" s="3336" t="s">
        <v>3961</v>
      </c>
      <c r="E1173" s="3339">
        <v>41.7</v>
      </c>
      <c r="F1173" s="3339">
        <v>300</v>
      </c>
      <c r="G1173" s="3340">
        <v>41000</v>
      </c>
      <c r="H1173" s="3340">
        <v>41363</v>
      </c>
      <c r="I1173" s="3340">
        <v>41364</v>
      </c>
      <c r="J1173" s="3336"/>
    </row>
    <row r="1174" spans="1:12" s="3327" customFormat="1" ht="12.75" customHeight="1">
      <c r="A1174" s="3354"/>
      <c r="B1174" s="3368" t="s">
        <v>3867</v>
      </c>
      <c r="C1174" s="3324" t="s">
        <v>3918</v>
      </c>
      <c r="D1174" s="3344" t="s">
        <v>3962</v>
      </c>
      <c r="E1174" s="3325">
        <v>33.1</v>
      </c>
      <c r="F1174" s="3325">
        <v>310</v>
      </c>
      <c r="G1174" s="3326">
        <v>41699</v>
      </c>
      <c r="H1174" s="3326">
        <v>42003</v>
      </c>
      <c r="I1174" s="3326">
        <v>42094</v>
      </c>
      <c r="J1174" s="3324"/>
    </row>
    <row r="1175" spans="1:12" s="3327" customFormat="1" ht="12.75" customHeight="1">
      <c r="A1175" s="3354"/>
      <c r="B1175" s="3368" t="s">
        <v>3867</v>
      </c>
      <c r="C1175" s="3324" t="s">
        <v>3918</v>
      </c>
      <c r="D1175" s="3344" t="s">
        <v>3962</v>
      </c>
      <c r="E1175" s="3325">
        <v>33.1</v>
      </c>
      <c r="F1175" s="3325">
        <v>330</v>
      </c>
      <c r="G1175" s="3326">
        <v>42005</v>
      </c>
      <c r="H1175" s="3326">
        <v>42093</v>
      </c>
      <c r="I1175" s="3326">
        <v>42094</v>
      </c>
      <c r="J1175" s="3324"/>
    </row>
    <row r="1176" spans="1:12" s="3327" customFormat="1" ht="12.75" customHeight="1">
      <c r="A1176" s="3354"/>
      <c r="B1176" s="3369" t="s">
        <v>3867</v>
      </c>
      <c r="C1176" s="3336" t="s">
        <v>3918</v>
      </c>
      <c r="D1176" s="3345" t="s">
        <v>3962</v>
      </c>
      <c r="E1176" s="3339">
        <v>33.1</v>
      </c>
      <c r="F1176" s="3339">
        <v>330</v>
      </c>
      <c r="G1176" s="3340">
        <v>42095</v>
      </c>
      <c r="H1176" s="3340">
        <v>42459</v>
      </c>
      <c r="I1176" s="3340">
        <v>42460</v>
      </c>
      <c r="J1176" s="3324"/>
    </row>
    <row r="1177" spans="1:12" s="3327" customFormat="1" ht="12.75" customHeight="1">
      <c r="A1177" s="3354"/>
      <c r="B1177" s="3368" t="s">
        <v>3867</v>
      </c>
      <c r="C1177" s="3324" t="s">
        <v>3755</v>
      </c>
      <c r="D1177" s="3344" t="s">
        <v>3963</v>
      </c>
      <c r="E1177" s="3325">
        <v>18</v>
      </c>
      <c r="F1177" s="3325">
        <v>310</v>
      </c>
      <c r="G1177" s="3326">
        <v>41699</v>
      </c>
      <c r="H1177" s="3326">
        <v>42003</v>
      </c>
      <c r="I1177" s="3326">
        <v>42094</v>
      </c>
      <c r="J1177" s="3324"/>
    </row>
    <row r="1178" spans="1:12" s="3327" customFormat="1" ht="12.75" customHeight="1">
      <c r="A1178" s="3354"/>
      <c r="B1178" s="3368" t="s">
        <v>3867</v>
      </c>
      <c r="C1178" s="3324" t="s">
        <v>3755</v>
      </c>
      <c r="D1178" s="3344" t="s">
        <v>3963</v>
      </c>
      <c r="E1178" s="3325">
        <v>18</v>
      </c>
      <c r="F1178" s="3325">
        <v>320</v>
      </c>
      <c r="G1178" s="3326">
        <v>42005</v>
      </c>
      <c r="H1178" s="3326">
        <v>42093</v>
      </c>
      <c r="I1178" s="3326">
        <v>42094</v>
      </c>
      <c r="J1178" s="3324"/>
    </row>
    <row r="1179" spans="1:12" s="3327" customFormat="1" ht="12.75" customHeight="1">
      <c r="A1179" s="3354"/>
      <c r="B1179" s="3369" t="s">
        <v>3867</v>
      </c>
      <c r="C1179" s="3336" t="s">
        <v>3755</v>
      </c>
      <c r="D1179" s="3345" t="s">
        <v>3963</v>
      </c>
      <c r="E1179" s="3339">
        <v>18</v>
      </c>
      <c r="F1179" s="3339">
        <v>320</v>
      </c>
      <c r="G1179" s="3340">
        <v>42095</v>
      </c>
      <c r="H1179" s="3340">
        <v>42459</v>
      </c>
      <c r="I1179" s="3340">
        <v>42460</v>
      </c>
      <c r="J1179" s="3324"/>
    </row>
    <row r="1180" spans="1:12" s="3327" customFormat="1" ht="12.75" customHeight="1">
      <c r="A1180" s="3355"/>
      <c r="B1180" s="3371" t="s">
        <v>3867</v>
      </c>
      <c r="C1180" s="3372" t="s">
        <v>3909</v>
      </c>
      <c r="D1180" s="3336" t="s">
        <v>3964</v>
      </c>
      <c r="E1180" s="3339">
        <v>52.5</v>
      </c>
      <c r="F1180" s="3339">
        <v>300</v>
      </c>
      <c r="G1180" s="3340">
        <v>41000</v>
      </c>
      <c r="H1180" s="3340">
        <v>41363</v>
      </c>
      <c r="I1180" s="3340">
        <v>41364</v>
      </c>
      <c r="J1180" s="3336"/>
    </row>
    <row r="1181" spans="1:12" s="3327" customFormat="1" ht="12.75" customHeight="1">
      <c r="A1181" s="3354"/>
      <c r="B1181" s="3368" t="s">
        <v>3867</v>
      </c>
      <c r="C1181" s="3324" t="s">
        <v>3947</v>
      </c>
      <c r="D1181" s="3344" t="s">
        <v>3965</v>
      </c>
      <c r="E1181" s="3325">
        <v>52.5</v>
      </c>
      <c r="F1181" s="3325">
        <v>310</v>
      </c>
      <c r="G1181" s="3326">
        <v>41699</v>
      </c>
      <c r="H1181" s="3326">
        <v>42003</v>
      </c>
      <c r="I1181" s="3326">
        <v>42094</v>
      </c>
      <c r="J1181" s="3324"/>
    </row>
    <row r="1182" spans="1:12" s="3327" customFormat="1" ht="12.75" customHeight="1">
      <c r="A1182" s="3354"/>
      <c r="B1182" s="3368" t="s">
        <v>3867</v>
      </c>
      <c r="C1182" s="3324" t="s">
        <v>3947</v>
      </c>
      <c r="D1182" s="3344" t="s">
        <v>3965</v>
      </c>
      <c r="E1182" s="3325">
        <v>52.5</v>
      </c>
      <c r="F1182" s="3325">
        <v>330</v>
      </c>
      <c r="G1182" s="3326">
        <v>42005</v>
      </c>
      <c r="H1182" s="3326">
        <v>42093</v>
      </c>
      <c r="I1182" s="3326">
        <v>42094</v>
      </c>
      <c r="J1182" s="3324"/>
    </row>
    <row r="1183" spans="1:12" s="3327" customFormat="1" ht="12.75" customHeight="1">
      <c r="A1183" s="3354"/>
      <c r="B1183" s="3369" t="s">
        <v>3867</v>
      </c>
      <c r="C1183" s="3336" t="s">
        <v>3947</v>
      </c>
      <c r="D1183" s="3345" t="s">
        <v>3965</v>
      </c>
      <c r="E1183" s="3339">
        <v>52.5</v>
      </c>
      <c r="F1183" s="3339">
        <v>330</v>
      </c>
      <c r="G1183" s="3340">
        <v>42095</v>
      </c>
      <c r="H1183" s="3340">
        <v>42459</v>
      </c>
      <c r="I1183" s="3340">
        <v>42460</v>
      </c>
      <c r="J1183" s="3324"/>
    </row>
    <row r="1184" spans="1:12" s="3327" customFormat="1" ht="12.75" customHeight="1">
      <c r="A1184" s="3354"/>
      <c r="B1184" s="3369" t="s">
        <v>3867</v>
      </c>
      <c r="C1184" s="3372" t="s">
        <v>3966</v>
      </c>
      <c r="D1184" s="3345" t="s">
        <v>3965</v>
      </c>
      <c r="E1184" s="3339">
        <v>52.5</v>
      </c>
      <c r="F1184" s="3339">
        <v>350</v>
      </c>
      <c r="G1184" s="3340">
        <v>42461</v>
      </c>
      <c r="H1184" s="3340">
        <v>42824</v>
      </c>
      <c r="I1184" s="3340">
        <v>42825</v>
      </c>
      <c r="J1184" s="3324"/>
    </row>
    <row r="1185" spans="1:12" s="3327" customFormat="1" ht="12.75" customHeight="1">
      <c r="A1185" s="3354"/>
      <c r="B1185" s="3370" t="s">
        <v>3867</v>
      </c>
      <c r="C1185" s="3378" t="s">
        <v>3966</v>
      </c>
      <c r="D1185" s="3346" t="s">
        <v>3967</v>
      </c>
      <c r="E1185" s="3332">
        <v>52.5</v>
      </c>
      <c r="F1185" s="3332">
        <v>370</v>
      </c>
      <c r="G1185" s="3333">
        <v>42826</v>
      </c>
      <c r="H1185" s="3333">
        <v>42885</v>
      </c>
      <c r="I1185" s="3333">
        <v>42886</v>
      </c>
      <c r="J1185" s="3324"/>
      <c r="K1185" s="3334">
        <f t="shared" ref="K1185:K1186" si="101">E1185</f>
        <v>52.5</v>
      </c>
      <c r="L1185" s="3334">
        <f t="shared" ref="L1185:L1186" si="102">F1185/30</f>
        <v>12.333333333333334</v>
      </c>
    </row>
    <row r="1186" spans="1:12" s="3327" customFormat="1" ht="12.75" customHeight="1">
      <c r="A1186" s="3354" t="s">
        <v>3872</v>
      </c>
      <c r="B1186" s="3370" t="s">
        <v>3867</v>
      </c>
      <c r="C1186" s="3378" t="s">
        <v>3966</v>
      </c>
      <c r="D1186" s="3346" t="s">
        <v>3967</v>
      </c>
      <c r="E1186" s="3332">
        <v>52.5</v>
      </c>
      <c r="F1186" s="3332">
        <v>370</v>
      </c>
      <c r="G1186" s="3333">
        <v>42887</v>
      </c>
      <c r="H1186" s="3333">
        <v>43130</v>
      </c>
      <c r="I1186" s="3333">
        <v>43190</v>
      </c>
      <c r="J1186" s="3324"/>
      <c r="K1186" s="3334">
        <f t="shared" si="101"/>
        <v>52.5</v>
      </c>
      <c r="L1186" s="3334">
        <f t="shared" si="102"/>
        <v>12.333333333333334</v>
      </c>
    </row>
    <row r="1187" spans="1:12" s="3327" customFormat="1" ht="12.75" customHeight="1">
      <c r="A1187" s="3355"/>
      <c r="B1187" s="3371" t="s">
        <v>3867</v>
      </c>
      <c r="C1187" s="3372" t="s">
        <v>3968</v>
      </c>
      <c r="D1187" s="3336" t="s">
        <v>3969</v>
      </c>
      <c r="E1187" s="3339">
        <v>48.8</v>
      </c>
      <c r="F1187" s="3339">
        <v>300</v>
      </c>
      <c r="G1187" s="3340">
        <v>41000</v>
      </c>
      <c r="H1187" s="3340">
        <v>41363</v>
      </c>
      <c r="I1187" s="3340">
        <v>41364</v>
      </c>
      <c r="J1187" s="3336"/>
    </row>
    <row r="1188" spans="1:12" s="3327" customFormat="1" ht="12.75" customHeight="1">
      <c r="A1188" s="3354"/>
      <c r="B1188" s="3368" t="s">
        <v>3867</v>
      </c>
      <c r="C1188" s="3324" t="s">
        <v>3909</v>
      </c>
      <c r="D1188" s="3344" t="s">
        <v>3970</v>
      </c>
      <c r="E1188" s="3325">
        <v>48.8</v>
      </c>
      <c r="F1188" s="3325">
        <v>310</v>
      </c>
      <c r="G1188" s="3326">
        <v>41699</v>
      </c>
      <c r="H1188" s="3326">
        <v>42093</v>
      </c>
      <c r="I1188" s="3326">
        <v>42094</v>
      </c>
      <c r="J1188" s="3324"/>
    </row>
    <row r="1189" spans="1:12" s="3327" customFormat="1" ht="12.75" customHeight="1">
      <c r="A1189" s="3354"/>
      <c r="B1189" s="3369" t="s">
        <v>3867</v>
      </c>
      <c r="C1189" s="3336" t="s">
        <v>3909</v>
      </c>
      <c r="D1189" s="3345" t="s">
        <v>3970</v>
      </c>
      <c r="E1189" s="3339">
        <v>48.8</v>
      </c>
      <c r="F1189" s="3339">
        <v>330</v>
      </c>
      <c r="G1189" s="3340">
        <v>42095</v>
      </c>
      <c r="H1189" s="3340">
        <v>42459</v>
      </c>
      <c r="I1189" s="3340">
        <v>42460</v>
      </c>
      <c r="J1189" s="3324"/>
    </row>
    <row r="1190" spans="1:12" s="3327" customFormat="1" ht="12.75" customHeight="1">
      <c r="A1190" s="3354"/>
      <c r="B1190" s="3369" t="s">
        <v>3867</v>
      </c>
      <c r="C1190" s="3372" t="s">
        <v>3947</v>
      </c>
      <c r="D1190" s="3345" t="s">
        <v>3970</v>
      </c>
      <c r="E1190" s="3339">
        <v>50.09</v>
      </c>
      <c r="F1190" s="3339">
        <v>350</v>
      </c>
      <c r="G1190" s="3340">
        <v>42461</v>
      </c>
      <c r="H1190" s="3340">
        <v>42824</v>
      </c>
      <c r="I1190" s="3340">
        <v>42825</v>
      </c>
      <c r="J1190" s="3324"/>
    </row>
    <row r="1191" spans="1:12" s="3327" customFormat="1" ht="12.75" customHeight="1">
      <c r="A1191" s="3354"/>
      <c r="B1191" s="3370" t="s">
        <v>3867</v>
      </c>
      <c r="C1191" s="3378" t="s">
        <v>3947</v>
      </c>
      <c r="D1191" s="3346" t="s">
        <v>3965</v>
      </c>
      <c r="E1191" s="3332">
        <v>50.09</v>
      </c>
      <c r="F1191" s="3332">
        <v>370</v>
      </c>
      <c r="G1191" s="3333">
        <v>42826</v>
      </c>
      <c r="H1191" s="3333">
        <v>42885</v>
      </c>
      <c r="I1191" s="3333">
        <v>42886</v>
      </c>
      <c r="J1191" s="3324"/>
      <c r="K1191" s="3334">
        <f t="shared" ref="K1191:K1192" si="103">E1191</f>
        <v>50.09</v>
      </c>
      <c r="L1191" s="3334">
        <f t="shared" ref="L1191:L1192" si="104">F1191/30</f>
        <v>12.333333333333334</v>
      </c>
    </row>
    <row r="1192" spans="1:12" s="3327" customFormat="1" ht="12.75" customHeight="1">
      <c r="A1192" s="3354" t="s">
        <v>3872</v>
      </c>
      <c r="B1192" s="3370" t="s">
        <v>3867</v>
      </c>
      <c r="C1192" s="3378" t="s">
        <v>3947</v>
      </c>
      <c r="D1192" s="3346" t="s">
        <v>3965</v>
      </c>
      <c r="E1192" s="3332">
        <v>50.09</v>
      </c>
      <c r="F1192" s="3332">
        <v>370</v>
      </c>
      <c r="G1192" s="3333">
        <v>42887</v>
      </c>
      <c r="H1192" s="3333">
        <v>43130</v>
      </c>
      <c r="I1192" s="3333">
        <v>43190</v>
      </c>
      <c r="J1192" s="3324"/>
      <c r="K1192" s="3334">
        <f t="shared" si="103"/>
        <v>50.09</v>
      </c>
      <c r="L1192" s="3334">
        <f t="shared" si="104"/>
        <v>12.333333333333334</v>
      </c>
    </row>
    <row r="1193" spans="1:12" s="3327" customFormat="1" ht="13.5" customHeight="1">
      <c r="A1193" s="3354"/>
      <c r="B1193" s="3375" t="s">
        <v>3867</v>
      </c>
      <c r="C1193" s="3379" t="s">
        <v>3971</v>
      </c>
      <c r="D1193" s="3324" t="s">
        <v>3972</v>
      </c>
      <c r="E1193" s="3325">
        <v>53.3</v>
      </c>
      <c r="F1193" s="3325">
        <v>270</v>
      </c>
      <c r="G1193" s="3326">
        <v>40264</v>
      </c>
      <c r="H1193" s="3326">
        <v>40441</v>
      </c>
      <c r="I1193" s="3326">
        <v>40632</v>
      </c>
      <c r="J1193" s="3324"/>
    </row>
    <row r="1194" spans="1:12" s="3327" customFormat="1" ht="13.5" customHeight="1">
      <c r="A1194" s="3355"/>
      <c r="B1194" s="3369" t="s">
        <v>3867</v>
      </c>
      <c r="C1194" s="3336" t="s">
        <v>3364</v>
      </c>
      <c r="D1194" s="3336" t="s">
        <v>3972</v>
      </c>
      <c r="E1194" s="3339">
        <v>53.3</v>
      </c>
      <c r="F1194" s="3339">
        <v>300</v>
      </c>
      <c r="G1194" s="3340">
        <v>41138</v>
      </c>
      <c r="H1194" s="3340">
        <v>41363</v>
      </c>
      <c r="I1194" s="3340">
        <v>41364</v>
      </c>
      <c r="J1194" s="3336"/>
    </row>
    <row r="1195" spans="1:12" s="3327" customFormat="1" ht="12.75" customHeight="1">
      <c r="A1195" s="3354"/>
      <c r="B1195" s="3368" t="s">
        <v>3867</v>
      </c>
      <c r="C1195" s="3324" t="s">
        <v>3973</v>
      </c>
      <c r="D1195" s="3344" t="s">
        <v>3974</v>
      </c>
      <c r="E1195" s="3325">
        <v>24.6</v>
      </c>
      <c r="F1195" s="3325">
        <v>310</v>
      </c>
      <c r="G1195" s="3326">
        <v>41699</v>
      </c>
      <c r="H1195" s="3326">
        <v>42003</v>
      </c>
      <c r="I1195" s="3326">
        <v>42094</v>
      </c>
      <c r="J1195" s="3324"/>
    </row>
    <row r="1196" spans="1:12" s="3327" customFormat="1" ht="12.75" customHeight="1">
      <c r="A1196" s="3354"/>
      <c r="B1196" s="3368" t="s">
        <v>3867</v>
      </c>
      <c r="C1196" s="3324" t="s">
        <v>3973</v>
      </c>
      <c r="D1196" s="3344" t="s">
        <v>3974</v>
      </c>
      <c r="E1196" s="3325">
        <v>24.6</v>
      </c>
      <c r="F1196" s="3325">
        <v>330</v>
      </c>
      <c r="G1196" s="3326">
        <v>42005</v>
      </c>
      <c r="H1196" s="3326">
        <v>42093</v>
      </c>
      <c r="I1196" s="3326">
        <v>42094</v>
      </c>
      <c r="J1196" s="3324"/>
    </row>
    <row r="1197" spans="1:12" s="3327" customFormat="1" ht="12.75" customHeight="1">
      <c r="A1197" s="3354"/>
      <c r="B1197" s="3369" t="s">
        <v>3867</v>
      </c>
      <c r="C1197" s="3336" t="s">
        <v>3973</v>
      </c>
      <c r="D1197" s="3345" t="s">
        <v>3974</v>
      </c>
      <c r="E1197" s="3339">
        <v>24.6</v>
      </c>
      <c r="F1197" s="3339">
        <v>330</v>
      </c>
      <c r="G1197" s="3340">
        <v>42095</v>
      </c>
      <c r="H1197" s="3340">
        <v>42459</v>
      </c>
      <c r="I1197" s="3340">
        <v>42460</v>
      </c>
      <c r="J1197" s="3324"/>
    </row>
    <row r="1198" spans="1:12" s="3327" customFormat="1" ht="12.75" customHeight="1">
      <c r="A1198" s="3354"/>
      <c r="B1198" s="3369" t="s">
        <v>3867</v>
      </c>
      <c r="C1198" s="3336" t="s">
        <v>3973</v>
      </c>
      <c r="D1198" s="3345" t="s">
        <v>3974</v>
      </c>
      <c r="E1198" s="3339">
        <v>24.6</v>
      </c>
      <c r="F1198" s="3339">
        <v>350</v>
      </c>
      <c r="G1198" s="3340">
        <v>42461</v>
      </c>
      <c r="H1198" s="3340">
        <v>42824</v>
      </c>
      <c r="I1198" s="3340">
        <v>42825</v>
      </c>
      <c r="J1198" s="3324"/>
    </row>
    <row r="1199" spans="1:12" s="3327" customFormat="1" ht="12.75" customHeight="1">
      <c r="A1199" s="3354"/>
      <c r="B1199" s="3370" t="s">
        <v>3867</v>
      </c>
      <c r="C1199" s="3331" t="s">
        <v>3973</v>
      </c>
      <c r="D1199" s="3346" t="s">
        <v>3974</v>
      </c>
      <c r="E1199" s="3332">
        <v>24.6</v>
      </c>
      <c r="F1199" s="3332">
        <v>350</v>
      </c>
      <c r="G1199" s="3333">
        <v>42826</v>
      </c>
      <c r="H1199" s="3333">
        <v>42885</v>
      </c>
      <c r="I1199" s="3333">
        <v>42886</v>
      </c>
      <c r="J1199" s="3324"/>
      <c r="K1199" s="3334">
        <f t="shared" ref="K1199:K1200" si="105">E1199</f>
        <v>24.6</v>
      </c>
      <c r="L1199" s="3334">
        <f t="shared" ref="L1199:L1200" si="106">F1199/30</f>
        <v>11.666666666666666</v>
      </c>
    </row>
    <row r="1200" spans="1:12" s="3327" customFormat="1" ht="12.75" customHeight="1">
      <c r="A1200" s="3354" t="s">
        <v>3872</v>
      </c>
      <c r="B1200" s="3370" t="s">
        <v>3867</v>
      </c>
      <c r="C1200" s="3331" t="s">
        <v>3973</v>
      </c>
      <c r="D1200" s="3346" t="s">
        <v>3974</v>
      </c>
      <c r="E1200" s="3332">
        <v>24.6</v>
      </c>
      <c r="F1200" s="3332">
        <v>370</v>
      </c>
      <c r="G1200" s="3333">
        <v>42887</v>
      </c>
      <c r="H1200" s="3333">
        <v>43130</v>
      </c>
      <c r="I1200" s="3333">
        <v>43190</v>
      </c>
      <c r="J1200" s="3324"/>
      <c r="K1200" s="3334">
        <f t="shared" si="105"/>
        <v>24.6</v>
      </c>
      <c r="L1200" s="3334">
        <f t="shared" si="106"/>
        <v>12.333333333333334</v>
      </c>
    </row>
    <row r="1201" spans="1:12" s="3327" customFormat="1" ht="12.75" customHeight="1">
      <c r="A1201" s="3355"/>
      <c r="B1201" s="3380" t="s">
        <v>3867</v>
      </c>
      <c r="C1201" s="3381" t="s">
        <v>3975</v>
      </c>
      <c r="D1201" s="3336" t="s">
        <v>3976</v>
      </c>
      <c r="E1201" s="3339">
        <v>28.7</v>
      </c>
      <c r="F1201" s="3339">
        <v>300</v>
      </c>
      <c r="G1201" s="3340">
        <v>41506</v>
      </c>
      <c r="H1201" s="3340">
        <v>41728</v>
      </c>
      <c r="I1201" s="3340">
        <v>41729</v>
      </c>
      <c r="J1201" s="3336"/>
    </row>
    <row r="1202" spans="1:12" s="3327" customFormat="1" ht="12.75" customHeight="1">
      <c r="A1202" s="3354"/>
      <c r="B1202" s="3368" t="s">
        <v>3867</v>
      </c>
      <c r="C1202" s="3324" t="s">
        <v>3975</v>
      </c>
      <c r="D1202" s="3344" t="s">
        <v>3976</v>
      </c>
      <c r="E1202" s="3325">
        <v>28.7</v>
      </c>
      <c r="F1202" s="3325">
        <v>310</v>
      </c>
      <c r="G1202" s="3326">
        <v>41730</v>
      </c>
      <c r="H1202" s="3326">
        <v>42003</v>
      </c>
      <c r="I1202" s="3326">
        <v>42094</v>
      </c>
      <c r="J1202" s="3324"/>
    </row>
    <row r="1203" spans="1:12" s="3327" customFormat="1" ht="12.75" customHeight="1">
      <c r="A1203" s="3354"/>
      <c r="B1203" s="3368" t="s">
        <v>3867</v>
      </c>
      <c r="C1203" s="3324" t="s">
        <v>3975</v>
      </c>
      <c r="D1203" s="3344" t="s">
        <v>3976</v>
      </c>
      <c r="E1203" s="3325">
        <v>28.7</v>
      </c>
      <c r="F1203" s="3325">
        <v>330</v>
      </c>
      <c r="G1203" s="3326">
        <v>42005</v>
      </c>
      <c r="H1203" s="3326">
        <v>42093</v>
      </c>
      <c r="I1203" s="3326">
        <v>42094</v>
      </c>
      <c r="J1203" s="3324"/>
    </row>
    <row r="1204" spans="1:12" s="3327" customFormat="1" ht="12.75" customHeight="1">
      <c r="A1204" s="3354"/>
      <c r="B1204" s="3369" t="s">
        <v>3867</v>
      </c>
      <c r="C1204" s="3336" t="s">
        <v>3975</v>
      </c>
      <c r="D1204" s="3345" t="s">
        <v>3976</v>
      </c>
      <c r="E1204" s="3339">
        <v>28.7</v>
      </c>
      <c r="F1204" s="3339">
        <v>330</v>
      </c>
      <c r="G1204" s="3340">
        <v>42095</v>
      </c>
      <c r="H1204" s="3340">
        <v>42459</v>
      </c>
      <c r="I1204" s="3340">
        <v>42460</v>
      </c>
      <c r="J1204" s="3324"/>
    </row>
    <row r="1205" spans="1:12" s="3327" customFormat="1" ht="12.75" customHeight="1">
      <c r="A1205" s="3354"/>
      <c r="B1205" s="3369" t="s">
        <v>3867</v>
      </c>
      <c r="C1205" s="3336" t="s">
        <v>3975</v>
      </c>
      <c r="D1205" s="3345" t="s">
        <v>3976</v>
      </c>
      <c r="E1205" s="3339">
        <v>28.7</v>
      </c>
      <c r="F1205" s="3339">
        <v>350</v>
      </c>
      <c r="G1205" s="3340">
        <v>42461</v>
      </c>
      <c r="H1205" s="3340">
        <v>42824</v>
      </c>
      <c r="I1205" s="3340">
        <v>42825</v>
      </c>
      <c r="J1205" s="3324"/>
    </row>
    <row r="1206" spans="1:12" s="3327" customFormat="1" ht="12.75" customHeight="1">
      <c r="A1206" s="3354"/>
      <c r="B1206" s="3370" t="s">
        <v>3867</v>
      </c>
      <c r="C1206" s="3331" t="s">
        <v>3975</v>
      </c>
      <c r="D1206" s="3346" t="s">
        <v>3977</v>
      </c>
      <c r="E1206" s="3332">
        <v>28.7</v>
      </c>
      <c r="F1206" s="3332">
        <v>350</v>
      </c>
      <c r="G1206" s="3333">
        <v>42826</v>
      </c>
      <c r="H1206" s="3333">
        <v>42885</v>
      </c>
      <c r="I1206" s="3333">
        <v>42886</v>
      </c>
      <c r="J1206" s="3324"/>
      <c r="K1206" s="3334">
        <f t="shared" ref="K1206:K1207" si="107">E1206</f>
        <v>28.7</v>
      </c>
      <c r="L1206" s="3334">
        <f t="shared" ref="L1206:L1207" si="108">F1206/30</f>
        <v>11.666666666666666</v>
      </c>
    </row>
    <row r="1207" spans="1:12" s="3327" customFormat="1" ht="12.75" customHeight="1">
      <c r="A1207" s="3354" t="s">
        <v>3872</v>
      </c>
      <c r="B1207" s="3370" t="s">
        <v>3867</v>
      </c>
      <c r="C1207" s="3331" t="s">
        <v>3975</v>
      </c>
      <c r="D1207" s="3346" t="s">
        <v>3977</v>
      </c>
      <c r="E1207" s="3332">
        <v>28.7</v>
      </c>
      <c r="F1207" s="3332">
        <v>370</v>
      </c>
      <c r="G1207" s="3333">
        <v>42887</v>
      </c>
      <c r="H1207" s="3333">
        <v>43130</v>
      </c>
      <c r="I1207" s="3333">
        <v>43190</v>
      </c>
      <c r="J1207" s="3324"/>
      <c r="K1207" s="3334">
        <f t="shared" si="107"/>
        <v>28.7</v>
      </c>
      <c r="L1207" s="3334">
        <f t="shared" si="108"/>
        <v>12.333333333333334</v>
      </c>
    </row>
    <row r="1208" spans="1:12" s="3382" customFormat="1" ht="12.75" customHeight="1">
      <c r="A1208" s="3355"/>
      <c r="B1208" s="3371" t="s">
        <v>3867</v>
      </c>
      <c r="C1208" s="3372" t="s">
        <v>3978</v>
      </c>
      <c r="D1208" s="3336" t="s">
        <v>3979</v>
      </c>
      <c r="E1208" s="3339">
        <v>17.5</v>
      </c>
      <c r="F1208" s="3339">
        <v>300</v>
      </c>
      <c r="G1208" s="3340">
        <v>41000</v>
      </c>
      <c r="H1208" s="3340">
        <v>41363</v>
      </c>
      <c r="I1208" s="3340">
        <v>41364</v>
      </c>
      <c r="J1208" s="3336"/>
    </row>
    <row r="1209" spans="1:12" s="3327" customFormat="1" ht="12.75" customHeight="1">
      <c r="A1209" s="3355"/>
      <c r="B1209" s="3369" t="s">
        <v>3867</v>
      </c>
      <c r="C1209" s="3336" t="s">
        <v>3980</v>
      </c>
      <c r="D1209" s="3336" t="s">
        <v>3981</v>
      </c>
      <c r="E1209" s="3339">
        <v>74.8</v>
      </c>
      <c r="F1209" s="3339">
        <v>300</v>
      </c>
      <c r="G1209" s="3340">
        <v>41000</v>
      </c>
      <c r="H1209" s="3340">
        <v>41363</v>
      </c>
      <c r="I1209" s="3340">
        <v>41364</v>
      </c>
      <c r="J1209" s="3336"/>
    </row>
    <row r="1210" spans="1:12" s="3327" customFormat="1" ht="12.75" customHeight="1">
      <c r="A1210" s="3354"/>
      <c r="B1210" s="3368" t="s">
        <v>3867</v>
      </c>
      <c r="C1210" s="3324" t="s">
        <v>3980</v>
      </c>
      <c r="D1210" s="3344" t="s">
        <v>3982</v>
      </c>
      <c r="E1210" s="3325">
        <v>74.8</v>
      </c>
      <c r="F1210" s="3325">
        <v>310</v>
      </c>
      <c r="G1210" s="3326">
        <v>41730</v>
      </c>
      <c r="H1210" s="3326">
        <v>42003</v>
      </c>
      <c r="I1210" s="3326">
        <v>42094</v>
      </c>
      <c r="J1210" s="3324"/>
    </row>
    <row r="1211" spans="1:12" s="3327" customFormat="1" ht="12.75" customHeight="1">
      <c r="A1211" s="3354"/>
      <c r="B1211" s="3368" t="s">
        <v>3867</v>
      </c>
      <c r="C1211" s="3324" t="s">
        <v>3980</v>
      </c>
      <c r="D1211" s="3344" t="s">
        <v>3982</v>
      </c>
      <c r="E1211" s="3325">
        <v>74.8</v>
      </c>
      <c r="F1211" s="3325">
        <v>330</v>
      </c>
      <c r="G1211" s="3326">
        <v>42005</v>
      </c>
      <c r="H1211" s="3326">
        <v>42093</v>
      </c>
      <c r="I1211" s="3326">
        <v>42094</v>
      </c>
      <c r="J1211" s="3324"/>
    </row>
    <row r="1212" spans="1:12" s="3327" customFormat="1" ht="12.75" customHeight="1">
      <c r="A1212" s="3354"/>
      <c r="B1212" s="3369" t="s">
        <v>3867</v>
      </c>
      <c r="C1212" s="3336" t="s">
        <v>3980</v>
      </c>
      <c r="D1212" s="3345" t="s">
        <v>3982</v>
      </c>
      <c r="E1212" s="3339">
        <v>74.8</v>
      </c>
      <c r="F1212" s="3339">
        <v>330</v>
      </c>
      <c r="G1212" s="3340">
        <v>42095</v>
      </c>
      <c r="H1212" s="3340">
        <v>42459</v>
      </c>
      <c r="I1212" s="3340">
        <v>42460</v>
      </c>
      <c r="J1212" s="3324"/>
    </row>
    <row r="1213" spans="1:12" s="3327" customFormat="1" ht="11.25">
      <c r="A1213" s="3354"/>
      <c r="B1213" s="3369" t="s">
        <v>3867</v>
      </c>
      <c r="C1213" s="3336" t="s">
        <v>3980</v>
      </c>
      <c r="D1213" s="3345" t="s">
        <v>3982</v>
      </c>
      <c r="E1213" s="3339">
        <v>74.8</v>
      </c>
      <c r="F1213" s="3339">
        <v>350</v>
      </c>
      <c r="G1213" s="3340">
        <v>42461</v>
      </c>
      <c r="H1213" s="3340">
        <v>42551</v>
      </c>
      <c r="I1213" s="3340">
        <v>42825</v>
      </c>
      <c r="J1213" s="3324"/>
    </row>
    <row r="1214" spans="1:12" s="3327" customFormat="1" ht="11.25">
      <c r="A1214" s="3354"/>
      <c r="B1214" s="3369" t="s">
        <v>3867</v>
      </c>
      <c r="C1214" s="3336" t="s">
        <v>3980</v>
      </c>
      <c r="D1214" s="3345" t="s">
        <v>3982</v>
      </c>
      <c r="E1214" s="3339">
        <v>74.8</v>
      </c>
      <c r="F1214" s="3339">
        <v>350</v>
      </c>
      <c r="G1214" s="3340">
        <v>42552</v>
      </c>
      <c r="H1214" s="3340">
        <v>42824</v>
      </c>
      <c r="I1214" s="3340">
        <v>42825</v>
      </c>
      <c r="J1214" s="3324"/>
    </row>
    <row r="1215" spans="1:12" s="3327" customFormat="1" ht="11.25">
      <c r="A1215" s="3354"/>
      <c r="B1215" s="3370" t="s">
        <v>3867</v>
      </c>
      <c r="C1215" s="3331" t="s">
        <v>3980</v>
      </c>
      <c r="D1215" s="3346" t="s">
        <v>3982</v>
      </c>
      <c r="E1215" s="3332">
        <v>74.8</v>
      </c>
      <c r="F1215" s="3332">
        <v>360</v>
      </c>
      <c r="G1215" s="3333">
        <v>42826</v>
      </c>
      <c r="H1215" s="3333">
        <v>42885</v>
      </c>
      <c r="I1215" s="3333">
        <v>42886</v>
      </c>
      <c r="J1215" s="3324"/>
      <c r="K1215" s="3334">
        <f t="shared" ref="K1215:K1216" si="109">E1215</f>
        <v>74.8</v>
      </c>
      <c r="L1215" s="3334">
        <f t="shared" ref="L1215:L1216" si="110">F1215/30</f>
        <v>12</v>
      </c>
    </row>
    <row r="1216" spans="1:12" s="3327" customFormat="1" ht="12.75" customHeight="1">
      <c r="A1216" s="3354" t="s">
        <v>3872</v>
      </c>
      <c r="B1216" s="3370" t="s">
        <v>3867</v>
      </c>
      <c r="C1216" s="3331" t="s">
        <v>3983</v>
      </c>
      <c r="D1216" s="3346" t="s">
        <v>3982</v>
      </c>
      <c r="E1216" s="3332">
        <v>74.8</v>
      </c>
      <c r="F1216" s="3332">
        <v>370</v>
      </c>
      <c r="G1216" s="3333">
        <v>42887</v>
      </c>
      <c r="H1216" s="3333">
        <v>43130</v>
      </c>
      <c r="I1216" s="3333">
        <v>43190</v>
      </c>
      <c r="J1216" s="3324"/>
      <c r="K1216" s="3334">
        <f t="shared" si="109"/>
        <v>74.8</v>
      </c>
      <c r="L1216" s="3334">
        <f t="shared" si="110"/>
        <v>12.333333333333334</v>
      </c>
    </row>
    <row r="1217" spans="1:12" s="3327" customFormat="1" ht="13.5" customHeight="1">
      <c r="A1217" s="3354"/>
      <c r="B1217" s="3368" t="s">
        <v>3867</v>
      </c>
      <c r="C1217" s="3324" t="s">
        <v>3984</v>
      </c>
      <c r="D1217" s="3344" t="s">
        <v>3985</v>
      </c>
      <c r="E1217" s="3325">
        <v>75.5</v>
      </c>
      <c r="F1217" s="3325">
        <v>310</v>
      </c>
      <c r="G1217" s="3326">
        <v>41699</v>
      </c>
      <c r="H1217" s="3326">
        <v>42093</v>
      </c>
      <c r="I1217" s="3326">
        <v>42094</v>
      </c>
      <c r="J1217" s="3324"/>
    </row>
    <row r="1218" spans="1:12" s="3327" customFormat="1" ht="13.5" customHeight="1">
      <c r="A1218" s="3354"/>
      <c r="B1218" s="3369" t="s">
        <v>3867</v>
      </c>
      <c r="C1218" s="3336" t="s">
        <v>3984</v>
      </c>
      <c r="D1218" s="3345" t="s">
        <v>3985</v>
      </c>
      <c r="E1218" s="3339">
        <v>75.5</v>
      </c>
      <c r="F1218" s="3339">
        <v>330</v>
      </c>
      <c r="G1218" s="3340">
        <v>42095</v>
      </c>
      <c r="H1218" s="3340">
        <v>42459</v>
      </c>
      <c r="I1218" s="3340">
        <v>42460</v>
      </c>
      <c r="J1218" s="3324"/>
    </row>
    <row r="1219" spans="1:12" s="3327" customFormat="1" ht="13.5" customHeight="1">
      <c r="A1219" s="3354"/>
      <c r="B1219" s="3369" t="s">
        <v>3867</v>
      </c>
      <c r="C1219" s="3336" t="s">
        <v>3984</v>
      </c>
      <c r="D1219" s="3345" t="s">
        <v>3985</v>
      </c>
      <c r="E1219" s="3339">
        <v>75.5</v>
      </c>
      <c r="F1219" s="3339">
        <v>330</v>
      </c>
      <c r="G1219" s="3340">
        <v>42461</v>
      </c>
      <c r="H1219" s="3340">
        <v>42520</v>
      </c>
      <c r="I1219" s="3340">
        <v>42825</v>
      </c>
      <c r="J1219" s="3324"/>
    </row>
    <row r="1220" spans="1:12" s="3327" customFormat="1" ht="13.5" customHeight="1">
      <c r="A1220" s="3354"/>
      <c r="B1220" s="3369" t="s">
        <v>3867</v>
      </c>
      <c r="C1220" s="3336" t="s">
        <v>3984</v>
      </c>
      <c r="D1220" s="3345" t="s">
        <v>3985</v>
      </c>
      <c r="E1220" s="3339">
        <v>75.489999999999995</v>
      </c>
      <c r="F1220" s="3339">
        <v>330</v>
      </c>
      <c r="G1220" s="3340">
        <v>42522</v>
      </c>
      <c r="H1220" s="3340">
        <v>42824</v>
      </c>
      <c r="I1220" s="3340">
        <v>42825</v>
      </c>
      <c r="J1220" s="3324"/>
    </row>
    <row r="1221" spans="1:12" s="3327" customFormat="1" ht="13.5" customHeight="1">
      <c r="A1221" s="3354"/>
      <c r="B1221" s="3370" t="s">
        <v>3867</v>
      </c>
      <c r="C1221" s="3331" t="s">
        <v>3984</v>
      </c>
      <c r="D1221" s="3346" t="s">
        <v>3986</v>
      </c>
      <c r="E1221" s="3332">
        <v>75.489999999999995</v>
      </c>
      <c r="F1221" s="3332">
        <v>330</v>
      </c>
      <c r="G1221" s="3333">
        <v>42827</v>
      </c>
      <c r="H1221" s="3333">
        <v>42885</v>
      </c>
      <c r="I1221" s="3333">
        <v>42886</v>
      </c>
      <c r="J1221" s="3324"/>
      <c r="K1221" s="3334">
        <f t="shared" ref="K1221:K1222" si="111">E1221</f>
        <v>75.489999999999995</v>
      </c>
      <c r="L1221" s="3334">
        <f t="shared" ref="L1221:L1222" si="112">F1221/30</f>
        <v>11</v>
      </c>
    </row>
    <row r="1222" spans="1:12" s="3327" customFormat="1" ht="13.5" customHeight="1">
      <c r="A1222" s="3354" t="s">
        <v>3872</v>
      </c>
      <c r="B1222" s="3370" t="s">
        <v>3867</v>
      </c>
      <c r="C1222" s="3331" t="s">
        <v>3885</v>
      </c>
      <c r="D1222" s="3346" t="s">
        <v>3986</v>
      </c>
      <c r="E1222" s="3332">
        <v>38.08</v>
      </c>
      <c r="F1222" s="3332">
        <v>370</v>
      </c>
      <c r="G1222" s="3333">
        <v>42887</v>
      </c>
      <c r="H1222" s="3333">
        <v>43130</v>
      </c>
      <c r="I1222" s="3333">
        <v>43190</v>
      </c>
      <c r="J1222" s="3324"/>
      <c r="K1222" s="3334">
        <f t="shared" si="111"/>
        <v>38.08</v>
      </c>
      <c r="L1222" s="3334">
        <f t="shared" si="112"/>
        <v>12.333333333333334</v>
      </c>
    </row>
    <row r="1223" spans="1:12" s="3327" customFormat="1" ht="13.5" customHeight="1">
      <c r="A1223" s="3354" t="s">
        <v>3872</v>
      </c>
      <c r="B1223" s="3370" t="s">
        <v>3867</v>
      </c>
      <c r="C1223" s="3331" t="s">
        <v>3987</v>
      </c>
      <c r="D1223" s="3346" t="s">
        <v>3988</v>
      </c>
      <c r="E1223" s="3332">
        <v>37.43</v>
      </c>
      <c r="F1223" s="3332">
        <v>370</v>
      </c>
      <c r="G1223" s="3333">
        <v>42887</v>
      </c>
      <c r="H1223" s="3333">
        <v>43130</v>
      </c>
      <c r="I1223" s="3333">
        <v>43190</v>
      </c>
      <c r="J1223" s="3324"/>
    </row>
    <row r="1224" spans="1:12" s="3327" customFormat="1" ht="13.5" customHeight="1">
      <c r="A1224" s="3355"/>
      <c r="B1224" s="3371" t="s">
        <v>3867</v>
      </c>
      <c r="C1224" s="3372" t="s">
        <v>3931</v>
      </c>
      <c r="D1224" s="3336" t="s">
        <v>3989</v>
      </c>
      <c r="E1224" s="3339">
        <v>41.2</v>
      </c>
      <c r="F1224" s="3339">
        <v>305</v>
      </c>
      <c r="G1224" s="3340">
        <v>41000</v>
      </c>
      <c r="H1224" s="3340">
        <v>41363</v>
      </c>
      <c r="I1224" s="3340">
        <v>41364</v>
      </c>
      <c r="J1224" s="3336"/>
    </row>
    <row r="1225" spans="1:12" s="3327" customFormat="1" ht="12.75" customHeight="1">
      <c r="A1225" s="3354"/>
      <c r="B1225" s="3368" t="s">
        <v>3867</v>
      </c>
      <c r="C1225" s="3324" t="s">
        <v>3990</v>
      </c>
      <c r="D1225" s="3344" t="s">
        <v>3991</v>
      </c>
      <c r="E1225" s="3325">
        <v>42</v>
      </c>
      <c r="F1225" s="3325">
        <v>310</v>
      </c>
      <c r="G1225" s="3326">
        <v>41699</v>
      </c>
      <c r="H1225" s="3326">
        <v>42003</v>
      </c>
      <c r="I1225" s="3326">
        <v>42094</v>
      </c>
      <c r="J1225" s="3324"/>
    </row>
    <row r="1226" spans="1:12" s="3327" customFormat="1" ht="12.75" customHeight="1">
      <c r="A1226" s="3354"/>
      <c r="B1226" s="3368" t="s">
        <v>3867</v>
      </c>
      <c r="C1226" s="3324" t="s">
        <v>3990</v>
      </c>
      <c r="D1226" s="3344" t="s">
        <v>3991</v>
      </c>
      <c r="E1226" s="3325">
        <v>42</v>
      </c>
      <c r="F1226" s="3325">
        <v>330</v>
      </c>
      <c r="G1226" s="3326">
        <v>42005</v>
      </c>
      <c r="H1226" s="3326">
        <v>42093</v>
      </c>
      <c r="I1226" s="3326">
        <v>42094</v>
      </c>
      <c r="J1226" s="3324"/>
    </row>
    <row r="1227" spans="1:12" s="3327" customFormat="1" ht="12.75" customHeight="1">
      <c r="A1227" s="3354"/>
      <c r="B1227" s="3369" t="s">
        <v>3867</v>
      </c>
      <c r="C1227" s="3336" t="s">
        <v>3990</v>
      </c>
      <c r="D1227" s="3345" t="s">
        <v>3991</v>
      </c>
      <c r="E1227" s="3339">
        <v>42</v>
      </c>
      <c r="F1227" s="3339">
        <v>330</v>
      </c>
      <c r="G1227" s="3340">
        <v>42095</v>
      </c>
      <c r="H1227" s="3340">
        <v>42459</v>
      </c>
      <c r="I1227" s="3340">
        <v>42460</v>
      </c>
      <c r="J1227" s="3324"/>
    </row>
    <row r="1228" spans="1:12" s="3327" customFormat="1" ht="12.75" customHeight="1">
      <c r="A1228" s="3354"/>
      <c r="B1228" s="3369" t="s">
        <v>3867</v>
      </c>
      <c r="C1228" s="3336" t="s">
        <v>3990</v>
      </c>
      <c r="D1228" s="3345" t="s">
        <v>3991</v>
      </c>
      <c r="E1228" s="3339">
        <v>42</v>
      </c>
      <c r="F1228" s="3339">
        <v>350</v>
      </c>
      <c r="G1228" s="3340">
        <v>42461</v>
      </c>
      <c r="H1228" s="3340">
        <v>42824</v>
      </c>
      <c r="I1228" s="3340">
        <v>42825</v>
      </c>
      <c r="J1228" s="3324"/>
    </row>
    <row r="1229" spans="1:12" s="3327" customFormat="1" ht="12.75" customHeight="1">
      <c r="A1229" s="3354"/>
      <c r="B1229" s="3370" t="s">
        <v>3867</v>
      </c>
      <c r="C1229" s="3331" t="s">
        <v>3990</v>
      </c>
      <c r="D1229" s="3346" t="s">
        <v>3988</v>
      </c>
      <c r="E1229" s="3332">
        <v>42</v>
      </c>
      <c r="F1229" s="3332">
        <v>360</v>
      </c>
      <c r="G1229" s="3333">
        <v>42826</v>
      </c>
      <c r="H1229" s="3333">
        <v>42885</v>
      </c>
      <c r="I1229" s="3333">
        <v>42886</v>
      </c>
      <c r="J1229" s="3324"/>
      <c r="K1229" s="3334">
        <f t="shared" ref="K1229:K1232" si="113">E1229</f>
        <v>42</v>
      </c>
      <c r="L1229" s="3334">
        <f t="shared" ref="L1229:L1232" si="114">F1229/30</f>
        <v>12</v>
      </c>
    </row>
    <row r="1230" spans="1:12" s="3327" customFormat="1" ht="12.75" customHeight="1">
      <c r="A1230" s="3354"/>
      <c r="B1230" s="3370" t="s">
        <v>3867</v>
      </c>
      <c r="C1230" s="3331" t="s">
        <v>3990</v>
      </c>
      <c r="D1230" s="3346" t="s">
        <v>3988</v>
      </c>
      <c r="E1230" s="3332">
        <v>42</v>
      </c>
      <c r="F1230" s="3332">
        <v>370</v>
      </c>
      <c r="G1230" s="3333">
        <v>42887</v>
      </c>
      <c r="H1230" s="3333">
        <v>42983</v>
      </c>
      <c r="I1230" s="3333">
        <v>43190</v>
      </c>
      <c r="J1230" s="3324"/>
      <c r="K1230" s="3334">
        <f t="shared" si="113"/>
        <v>42</v>
      </c>
      <c r="L1230" s="3334">
        <f t="shared" si="114"/>
        <v>12.333333333333334</v>
      </c>
    </row>
    <row r="1231" spans="1:12" s="3327" customFormat="1" ht="12.75" customHeight="1">
      <c r="A1231" s="3354"/>
      <c r="B1231" s="3370" t="s">
        <v>3867</v>
      </c>
      <c r="C1231" s="3331" t="s">
        <v>3990</v>
      </c>
      <c r="D1231" s="3346" t="s">
        <v>3988</v>
      </c>
      <c r="E1231" s="3332">
        <v>42</v>
      </c>
      <c r="F1231" s="3332">
        <v>370</v>
      </c>
      <c r="G1231" s="3333">
        <v>42984</v>
      </c>
      <c r="H1231" s="3333">
        <v>43038</v>
      </c>
      <c r="I1231" s="3333">
        <v>43190</v>
      </c>
      <c r="J1231" s="3324"/>
      <c r="K1231" s="3334">
        <f t="shared" si="113"/>
        <v>42</v>
      </c>
      <c r="L1231" s="3334">
        <f t="shared" si="114"/>
        <v>12.333333333333334</v>
      </c>
    </row>
    <row r="1232" spans="1:12" s="3327" customFormat="1" ht="12.75" customHeight="1">
      <c r="A1232" s="3354" t="s">
        <v>3872</v>
      </c>
      <c r="B1232" s="3370" t="s">
        <v>3867</v>
      </c>
      <c r="C1232" s="3331" t="s">
        <v>3990</v>
      </c>
      <c r="D1232" s="3346" t="s">
        <v>3988</v>
      </c>
      <c r="E1232" s="3332">
        <v>42</v>
      </c>
      <c r="F1232" s="3332">
        <v>370</v>
      </c>
      <c r="G1232" s="3333">
        <v>43040</v>
      </c>
      <c r="H1232" s="3333">
        <v>43130</v>
      </c>
      <c r="I1232" s="3333">
        <v>43190</v>
      </c>
      <c r="J1232" s="3324"/>
      <c r="K1232" s="3334">
        <f t="shared" si="113"/>
        <v>42</v>
      </c>
      <c r="L1232" s="3334">
        <f t="shared" si="114"/>
        <v>12.333333333333334</v>
      </c>
    </row>
    <row r="1233" spans="1:12" s="3327" customFormat="1" ht="12.75" customHeight="1">
      <c r="A1233" s="3355"/>
      <c r="B1233" s="3369" t="s">
        <v>3867</v>
      </c>
      <c r="C1233" s="3336" t="s">
        <v>3992</v>
      </c>
      <c r="D1233" s="3336" t="s">
        <v>3993</v>
      </c>
      <c r="E1233" s="3339">
        <v>29.5</v>
      </c>
      <c r="F1233" s="3339">
        <v>300</v>
      </c>
      <c r="G1233" s="3340">
        <v>41000</v>
      </c>
      <c r="H1233" s="3340">
        <v>41363</v>
      </c>
      <c r="I1233" s="3340">
        <v>41364</v>
      </c>
      <c r="J1233" s="3336"/>
    </row>
    <row r="1234" spans="1:12" s="3327" customFormat="1" ht="12.75" customHeight="1">
      <c r="A1234" s="3354"/>
      <c r="B1234" s="3368" t="s">
        <v>3867</v>
      </c>
      <c r="C1234" s="3324" t="s">
        <v>3968</v>
      </c>
      <c r="D1234" s="3344" t="s">
        <v>3994</v>
      </c>
      <c r="E1234" s="3325">
        <v>30.7</v>
      </c>
      <c r="F1234" s="3325">
        <v>310</v>
      </c>
      <c r="G1234" s="3326">
        <v>41699</v>
      </c>
      <c r="H1234" s="3326">
        <v>42003</v>
      </c>
      <c r="I1234" s="3326">
        <v>42094</v>
      </c>
      <c r="J1234" s="3324"/>
    </row>
    <row r="1235" spans="1:12" s="3327" customFormat="1" ht="12.75" customHeight="1">
      <c r="A1235" s="3354"/>
      <c r="B1235" s="3368" t="s">
        <v>3867</v>
      </c>
      <c r="C1235" s="3324" t="s">
        <v>3968</v>
      </c>
      <c r="D1235" s="3344" t="s">
        <v>3994</v>
      </c>
      <c r="E1235" s="3325">
        <v>30.7</v>
      </c>
      <c r="F1235" s="3325">
        <v>330</v>
      </c>
      <c r="G1235" s="3326">
        <v>42005</v>
      </c>
      <c r="H1235" s="3326">
        <v>42093</v>
      </c>
      <c r="I1235" s="3326">
        <v>42094</v>
      </c>
      <c r="J1235" s="3324"/>
    </row>
    <row r="1236" spans="1:12" s="3327" customFormat="1" ht="12.75" customHeight="1">
      <c r="A1236" s="3354"/>
      <c r="B1236" s="3369" t="s">
        <v>3867</v>
      </c>
      <c r="C1236" s="3336" t="s">
        <v>3968</v>
      </c>
      <c r="D1236" s="3345" t="s">
        <v>3994</v>
      </c>
      <c r="E1236" s="3339">
        <v>30.7</v>
      </c>
      <c r="F1236" s="3339">
        <v>330</v>
      </c>
      <c r="G1236" s="3340">
        <v>42095</v>
      </c>
      <c r="H1236" s="3340">
        <v>42459</v>
      </c>
      <c r="I1236" s="3340">
        <v>42460</v>
      </c>
      <c r="J1236" s="3324"/>
    </row>
    <row r="1237" spans="1:12" s="3327" customFormat="1" ht="12.75" customHeight="1">
      <c r="A1237" s="3354"/>
      <c r="B1237" s="3369" t="s">
        <v>3867</v>
      </c>
      <c r="C1237" s="3336" t="s">
        <v>3968</v>
      </c>
      <c r="D1237" s="3345" t="s">
        <v>3994</v>
      </c>
      <c r="E1237" s="3338">
        <v>30.71</v>
      </c>
      <c r="F1237" s="3339">
        <v>350</v>
      </c>
      <c r="G1237" s="3340">
        <v>42461</v>
      </c>
      <c r="H1237" s="3340">
        <v>42824</v>
      </c>
      <c r="I1237" s="3340">
        <v>42825</v>
      </c>
      <c r="J1237" s="3324"/>
    </row>
    <row r="1238" spans="1:12" s="3327" customFormat="1" ht="12.75" customHeight="1">
      <c r="A1238" s="3354"/>
      <c r="B1238" s="3370" t="s">
        <v>3867</v>
      </c>
      <c r="C1238" s="3331" t="s">
        <v>3968</v>
      </c>
      <c r="D1238" s="3346" t="s">
        <v>3995</v>
      </c>
      <c r="E1238" s="3347">
        <v>30.71</v>
      </c>
      <c r="F1238" s="3332">
        <v>360</v>
      </c>
      <c r="G1238" s="3333">
        <v>42826</v>
      </c>
      <c r="H1238" s="3333">
        <v>42885</v>
      </c>
      <c r="I1238" s="3333">
        <v>42886</v>
      </c>
      <c r="J1238" s="3324"/>
      <c r="K1238" s="3334">
        <f t="shared" ref="K1238:K1239" si="115">E1238</f>
        <v>30.71</v>
      </c>
      <c r="L1238" s="3334">
        <f t="shared" ref="L1238:L1239" si="116">F1238/30</f>
        <v>12</v>
      </c>
    </row>
    <row r="1239" spans="1:12" s="3327" customFormat="1" ht="12.75" customHeight="1">
      <c r="A1239" s="3354" t="s">
        <v>3872</v>
      </c>
      <c r="B1239" s="3370" t="s">
        <v>3867</v>
      </c>
      <c r="C1239" s="3331" t="s">
        <v>3968</v>
      </c>
      <c r="D1239" s="3346" t="s">
        <v>3995</v>
      </c>
      <c r="E1239" s="3347">
        <v>30.71</v>
      </c>
      <c r="F1239" s="3332">
        <v>370</v>
      </c>
      <c r="G1239" s="3333">
        <v>42887</v>
      </c>
      <c r="H1239" s="3333">
        <v>43130</v>
      </c>
      <c r="I1239" s="3333">
        <v>43190</v>
      </c>
      <c r="J1239" s="3324"/>
      <c r="K1239" s="3334">
        <f t="shared" si="115"/>
        <v>30.71</v>
      </c>
      <c r="L1239" s="3334">
        <f t="shared" si="116"/>
        <v>12.333333333333334</v>
      </c>
    </row>
    <row r="1240" spans="1:12" s="3327" customFormat="1" ht="12.75" customHeight="1">
      <c r="A1240" s="3354"/>
      <c r="B1240" s="3368" t="s">
        <v>3867</v>
      </c>
      <c r="C1240" s="3324" t="s">
        <v>3996</v>
      </c>
      <c r="D1240" s="3344" t="s">
        <v>3997</v>
      </c>
      <c r="E1240" s="3325">
        <v>29.5</v>
      </c>
      <c r="F1240" s="3325">
        <v>310</v>
      </c>
      <c r="G1240" s="3326">
        <v>41699</v>
      </c>
      <c r="H1240" s="3326">
        <v>42003</v>
      </c>
      <c r="I1240" s="3326">
        <v>42094</v>
      </c>
      <c r="J1240" s="3324"/>
    </row>
    <row r="1241" spans="1:12" s="3327" customFormat="1" ht="12.75" customHeight="1">
      <c r="A1241" s="3354"/>
      <c r="B1241" s="3368" t="s">
        <v>3867</v>
      </c>
      <c r="C1241" s="3324" t="s">
        <v>3996</v>
      </c>
      <c r="D1241" s="3344" t="s">
        <v>3997</v>
      </c>
      <c r="E1241" s="3325">
        <v>29.5</v>
      </c>
      <c r="F1241" s="3325">
        <v>325</v>
      </c>
      <c r="G1241" s="3326">
        <v>42005</v>
      </c>
      <c r="H1241" s="3326">
        <v>42093</v>
      </c>
      <c r="I1241" s="3326">
        <v>42094</v>
      </c>
      <c r="J1241" s="3324"/>
    </row>
    <row r="1242" spans="1:12" s="3327" customFormat="1" ht="12.75" customHeight="1">
      <c r="A1242" s="3354"/>
      <c r="B1242" s="3369" t="s">
        <v>3867</v>
      </c>
      <c r="C1242" s="3336" t="s">
        <v>3996</v>
      </c>
      <c r="D1242" s="3345" t="s">
        <v>3997</v>
      </c>
      <c r="E1242" s="3339">
        <v>29.5</v>
      </c>
      <c r="F1242" s="3339">
        <v>330</v>
      </c>
      <c r="G1242" s="3340">
        <v>42095</v>
      </c>
      <c r="H1242" s="3340">
        <v>42459</v>
      </c>
      <c r="I1242" s="3340">
        <v>42460</v>
      </c>
      <c r="J1242" s="3324"/>
    </row>
    <row r="1243" spans="1:12" s="3327" customFormat="1" ht="12.75" customHeight="1">
      <c r="A1243" s="3354"/>
      <c r="B1243" s="3369" t="s">
        <v>3867</v>
      </c>
      <c r="C1243" s="3336" t="s">
        <v>3996</v>
      </c>
      <c r="D1243" s="3345" t="s">
        <v>3997</v>
      </c>
      <c r="E1243" s="3339">
        <v>29.5</v>
      </c>
      <c r="F1243" s="3339">
        <v>350</v>
      </c>
      <c r="G1243" s="3340">
        <v>42461</v>
      </c>
      <c r="H1243" s="3340">
        <v>42581</v>
      </c>
      <c r="I1243" s="3340">
        <v>42825</v>
      </c>
      <c r="J1243" s="3324"/>
    </row>
    <row r="1244" spans="1:12" s="3327" customFormat="1" ht="12.75" customHeight="1">
      <c r="A1244" s="3354"/>
      <c r="B1244" s="3369" t="s">
        <v>3867</v>
      </c>
      <c r="C1244" s="3372" t="s">
        <v>3998</v>
      </c>
      <c r="D1244" s="3345" t="s">
        <v>3997</v>
      </c>
      <c r="E1244" s="3339">
        <v>29.5</v>
      </c>
      <c r="F1244" s="3339">
        <v>350</v>
      </c>
      <c r="G1244" s="3340">
        <v>42583</v>
      </c>
      <c r="H1244" s="3340">
        <v>42824</v>
      </c>
      <c r="I1244" s="3340">
        <v>42825</v>
      </c>
      <c r="J1244" s="3324"/>
    </row>
    <row r="1245" spans="1:12" s="3327" customFormat="1" ht="12.75" customHeight="1">
      <c r="A1245" s="3354"/>
      <c r="B1245" s="3370" t="s">
        <v>3867</v>
      </c>
      <c r="C1245" s="3378" t="s">
        <v>3998</v>
      </c>
      <c r="D1245" s="3346" t="s">
        <v>3999</v>
      </c>
      <c r="E1245" s="3332">
        <v>29.5</v>
      </c>
      <c r="F1245" s="3332">
        <v>360</v>
      </c>
      <c r="G1245" s="3333">
        <v>42826</v>
      </c>
      <c r="H1245" s="3333">
        <v>42885</v>
      </c>
      <c r="I1245" s="3333">
        <v>42886</v>
      </c>
      <c r="J1245" s="3324"/>
      <c r="K1245" s="3334">
        <f t="shared" ref="K1245:K1246" si="117">E1245</f>
        <v>29.5</v>
      </c>
      <c r="L1245" s="3334">
        <f t="shared" ref="L1245:L1246" si="118">F1245/30</f>
        <v>12</v>
      </c>
    </row>
    <row r="1246" spans="1:12" s="3327" customFormat="1" ht="12.75" customHeight="1">
      <c r="A1246" s="3354" t="s">
        <v>3872</v>
      </c>
      <c r="B1246" s="3370" t="s">
        <v>3867</v>
      </c>
      <c r="C1246" s="3378" t="s">
        <v>3998</v>
      </c>
      <c r="D1246" s="3346" t="s">
        <v>3999</v>
      </c>
      <c r="E1246" s="3332">
        <v>29.5</v>
      </c>
      <c r="F1246" s="3332">
        <v>370</v>
      </c>
      <c r="G1246" s="3333">
        <v>42887</v>
      </c>
      <c r="H1246" s="3333">
        <v>43130</v>
      </c>
      <c r="I1246" s="3333">
        <v>43190</v>
      </c>
      <c r="J1246" s="3324"/>
      <c r="K1246" s="3334">
        <f t="shared" si="117"/>
        <v>29.5</v>
      </c>
      <c r="L1246" s="3334">
        <f t="shared" si="118"/>
        <v>12.333333333333334</v>
      </c>
    </row>
    <row r="1247" spans="1:12" s="3327" customFormat="1" ht="12.75" customHeight="1">
      <c r="A1247" s="3355"/>
      <c r="B1247" s="3371" t="s">
        <v>3867</v>
      </c>
      <c r="C1247" s="3372" t="s">
        <v>4000</v>
      </c>
      <c r="D1247" s="3336" t="s">
        <v>4001</v>
      </c>
      <c r="E1247" s="3339">
        <v>130.80000000000001</v>
      </c>
      <c r="F1247" s="3339">
        <v>300</v>
      </c>
      <c r="G1247" s="3340">
        <v>41000</v>
      </c>
      <c r="H1247" s="3340">
        <v>41363</v>
      </c>
      <c r="I1247" s="3340">
        <v>41364</v>
      </c>
      <c r="J1247" s="3336"/>
    </row>
    <row r="1248" spans="1:12" s="3327" customFormat="1" ht="12.75" customHeight="1">
      <c r="A1248" s="3354"/>
      <c r="B1248" s="3368" t="s">
        <v>3867</v>
      </c>
      <c r="C1248" s="3324" t="s">
        <v>4002</v>
      </c>
      <c r="D1248" s="3344" t="s">
        <v>4003</v>
      </c>
      <c r="E1248" s="3325">
        <v>130.80000000000001</v>
      </c>
      <c r="F1248" s="3325">
        <v>330</v>
      </c>
      <c r="G1248" s="3326">
        <v>41699</v>
      </c>
      <c r="H1248" s="3326">
        <v>42003</v>
      </c>
      <c r="I1248" s="3326">
        <v>42094</v>
      </c>
      <c r="J1248" s="3324"/>
    </row>
    <row r="1249" spans="1:12" s="3327" customFormat="1" ht="12.75" customHeight="1">
      <c r="A1249" s="3354"/>
      <c r="B1249" s="3368" t="s">
        <v>3867</v>
      </c>
      <c r="C1249" s="3324" t="s">
        <v>4002</v>
      </c>
      <c r="D1249" s="3344" t="s">
        <v>4003</v>
      </c>
      <c r="E1249" s="3325">
        <v>130.80000000000001</v>
      </c>
      <c r="F1249" s="3325">
        <v>350</v>
      </c>
      <c r="G1249" s="3326">
        <v>42005</v>
      </c>
      <c r="H1249" s="3326">
        <v>42093</v>
      </c>
      <c r="I1249" s="3326">
        <v>42094</v>
      </c>
      <c r="J1249" s="3324"/>
    </row>
    <row r="1250" spans="1:12" s="3327" customFormat="1" ht="12.75" customHeight="1">
      <c r="A1250" s="3354"/>
      <c r="B1250" s="3369" t="s">
        <v>3867</v>
      </c>
      <c r="C1250" s="3336" t="s">
        <v>4002</v>
      </c>
      <c r="D1250" s="3345" t="s">
        <v>4003</v>
      </c>
      <c r="E1250" s="3339">
        <v>130.80000000000001</v>
      </c>
      <c r="F1250" s="3339">
        <v>350</v>
      </c>
      <c r="G1250" s="3340">
        <v>42095</v>
      </c>
      <c r="H1250" s="3340">
        <v>42459</v>
      </c>
      <c r="I1250" s="3340">
        <v>42460</v>
      </c>
      <c r="J1250" s="3324"/>
    </row>
    <row r="1251" spans="1:12" s="3327" customFormat="1" ht="12.75" customHeight="1">
      <c r="A1251" s="3354"/>
      <c r="B1251" s="3369" t="s">
        <v>3867</v>
      </c>
      <c r="C1251" s="3336" t="s">
        <v>4002</v>
      </c>
      <c r="D1251" s="3345" t="s">
        <v>4003</v>
      </c>
      <c r="E1251" s="3339">
        <v>130.80000000000001</v>
      </c>
      <c r="F1251" s="3339">
        <v>360</v>
      </c>
      <c r="G1251" s="3340">
        <v>42461</v>
      </c>
      <c r="H1251" s="3340">
        <v>42824</v>
      </c>
      <c r="I1251" s="3340">
        <v>42825</v>
      </c>
      <c r="J1251" s="3324"/>
    </row>
    <row r="1252" spans="1:12" s="3327" customFormat="1" ht="12.75" customHeight="1">
      <c r="A1252" s="3354"/>
      <c r="B1252" s="3370" t="s">
        <v>3867</v>
      </c>
      <c r="C1252" s="3331" t="s">
        <v>4004</v>
      </c>
      <c r="D1252" s="3346" t="s">
        <v>4005</v>
      </c>
      <c r="E1252" s="3332">
        <v>130.80000000000001</v>
      </c>
      <c r="F1252" s="3332">
        <v>360</v>
      </c>
      <c r="G1252" s="3333">
        <v>42826</v>
      </c>
      <c r="H1252" s="3333">
        <v>42885</v>
      </c>
      <c r="I1252" s="3333">
        <v>42886</v>
      </c>
      <c r="J1252" s="3324"/>
      <c r="K1252" s="3334">
        <f t="shared" ref="K1252:K1253" si="119">E1252</f>
        <v>130.80000000000001</v>
      </c>
      <c r="L1252" s="3334">
        <f t="shared" ref="L1252:L1253" si="120">F1252/30</f>
        <v>12</v>
      </c>
    </row>
    <row r="1253" spans="1:12" s="3327" customFormat="1" ht="12.75" customHeight="1">
      <c r="A1253" s="3354"/>
      <c r="B1253" s="3370" t="s">
        <v>3867</v>
      </c>
      <c r="C1253" s="3331" t="s">
        <v>4004</v>
      </c>
      <c r="D1253" s="3346" t="s">
        <v>4005</v>
      </c>
      <c r="E1253" s="3332">
        <v>130.80000000000001</v>
      </c>
      <c r="F1253" s="3332">
        <v>360</v>
      </c>
      <c r="G1253" s="3333">
        <v>42887</v>
      </c>
      <c r="H1253" s="3333">
        <v>42916</v>
      </c>
      <c r="I1253" s="3333">
        <v>43190</v>
      </c>
      <c r="J1253" s="3324"/>
      <c r="K1253" s="3334">
        <f t="shared" si="119"/>
        <v>130.80000000000001</v>
      </c>
      <c r="L1253" s="3334">
        <f t="shared" si="120"/>
        <v>12</v>
      </c>
    </row>
    <row r="1254" spans="1:12" s="3327" customFormat="1" ht="12.75" customHeight="1">
      <c r="A1254" s="3354" t="s">
        <v>3872</v>
      </c>
      <c r="B1254" s="3370" t="s">
        <v>3867</v>
      </c>
      <c r="C1254" s="3331" t="s">
        <v>4006</v>
      </c>
      <c r="D1254" s="3346" t="s">
        <v>4005</v>
      </c>
      <c r="E1254" s="3332">
        <v>130.80000000000001</v>
      </c>
      <c r="F1254" s="3332">
        <v>360</v>
      </c>
      <c r="G1254" s="3333">
        <v>42917</v>
      </c>
      <c r="H1254" s="3333">
        <v>43130</v>
      </c>
      <c r="I1254" s="3333">
        <v>43190</v>
      </c>
      <c r="J1254" s="3324"/>
    </row>
    <row r="1255" spans="1:12" s="3327" customFormat="1" ht="12.75" customHeight="1">
      <c r="A1255" s="3355"/>
      <c r="B1255" s="3371" t="s">
        <v>3867</v>
      </c>
      <c r="C1255" s="3372" t="s">
        <v>4007</v>
      </c>
      <c r="D1255" s="3336" t="s">
        <v>4008</v>
      </c>
      <c r="E1255" s="3339">
        <v>133.4</v>
      </c>
      <c r="F1255" s="3339">
        <v>300</v>
      </c>
      <c r="G1255" s="3340">
        <v>40634</v>
      </c>
      <c r="H1255" s="3340">
        <v>40831</v>
      </c>
      <c r="I1255" s="3340">
        <v>40999</v>
      </c>
      <c r="J1255" s="3336"/>
    </row>
    <row r="1256" spans="1:12" s="3327" customFormat="1" ht="12.75" customHeight="1">
      <c r="A1256" s="3355"/>
      <c r="B1256" s="3369" t="s">
        <v>3867</v>
      </c>
      <c r="C1256" s="3336" t="s">
        <v>4009</v>
      </c>
      <c r="D1256" s="3336" t="s">
        <v>4008</v>
      </c>
      <c r="E1256" s="3339">
        <v>133.4</v>
      </c>
      <c r="F1256" s="3339">
        <v>300</v>
      </c>
      <c r="G1256" s="3340">
        <v>41000</v>
      </c>
      <c r="H1256" s="3340">
        <v>41363</v>
      </c>
      <c r="I1256" s="3340">
        <v>41364</v>
      </c>
      <c r="J1256" s="3336"/>
    </row>
    <row r="1257" spans="1:12" s="3327" customFormat="1" ht="12.75" customHeight="1">
      <c r="A1257" s="3354"/>
      <c r="B1257" s="3368" t="s">
        <v>3867</v>
      </c>
      <c r="C1257" s="3324" t="s">
        <v>4010</v>
      </c>
      <c r="D1257" s="3344" t="s">
        <v>4011</v>
      </c>
      <c r="E1257" s="3325">
        <v>96.4</v>
      </c>
      <c r="F1257" s="3325">
        <v>330</v>
      </c>
      <c r="G1257" s="3326">
        <v>41699</v>
      </c>
      <c r="H1257" s="3326">
        <v>42003</v>
      </c>
      <c r="I1257" s="3326">
        <v>42094</v>
      </c>
      <c r="J1257" s="3324"/>
    </row>
    <row r="1258" spans="1:12" s="3327" customFormat="1" ht="12.75" customHeight="1">
      <c r="A1258" s="3354"/>
      <c r="B1258" s="3368" t="s">
        <v>3867</v>
      </c>
      <c r="C1258" s="3324" t="s">
        <v>4010</v>
      </c>
      <c r="D1258" s="3344" t="s">
        <v>4011</v>
      </c>
      <c r="E1258" s="3325">
        <v>96.4</v>
      </c>
      <c r="F1258" s="3325">
        <v>350</v>
      </c>
      <c r="G1258" s="3326">
        <v>42005</v>
      </c>
      <c r="H1258" s="3326">
        <v>42093</v>
      </c>
      <c r="I1258" s="3326">
        <v>42094</v>
      </c>
      <c r="J1258" s="3324"/>
    </row>
    <row r="1259" spans="1:12" s="3327" customFormat="1" ht="12.75" customHeight="1">
      <c r="A1259" s="3354"/>
      <c r="B1259" s="3369" t="s">
        <v>3867</v>
      </c>
      <c r="C1259" s="3336" t="s">
        <v>4010</v>
      </c>
      <c r="D1259" s="3345" t="s">
        <v>4011</v>
      </c>
      <c r="E1259" s="3339">
        <v>96.4</v>
      </c>
      <c r="F1259" s="3339">
        <v>350</v>
      </c>
      <c r="G1259" s="3340">
        <v>42095</v>
      </c>
      <c r="H1259" s="3340">
        <v>42459</v>
      </c>
      <c r="I1259" s="3340">
        <v>42460</v>
      </c>
      <c r="J1259" s="3324"/>
    </row>
    <row r="1260" spans="1:12" s="3327" customFormat="1" ht="12.75" customHeight="1">
      <c r="A1260" s="3354"/>
      <c r="B1260" s="3369" t="s">
        <v>3867</v>
      </c>
      <c r="C1260" s="3336" t="s">
        <v>4010</v>
      </c>
      <c r="D1260" s="3345" t="s">
        <v>4011</v>
      </c>
      <c r="E1260" s="3339">
        <v>96.4</v>
      </c>
      <c r="F1260" s="3339">
        <v>360</v>
      </c>
      <c r="G1260" s="3340">
        <v>42461</v>
      </c>
      <c r="H1260" s="3340">
        <v>42824</v>
      </c>
      <c r="I1260" s="3340">
        <v>42825</v>
      </c>
      <c r="J1260" s="3324"/>
    </row>
    <row r="1261" spans="1:12" s="3327" customFormat="1" ht="12.75" customHeight="1">
      <c r="A1261" s="3354"/>
      <c r="B1261" s="3370" t="s">
        <v>3867</v>
      </c>
      <c r="C1261" s="3331" t="s">
        <v>4012</v>
      </c>
      <c r="D1261" s="3346" t="s">
        <v>4013</v>
      </c>
      <c r="E1261" s="3332">
        <v>96.4</v>
      </c>
      <c r="F1261" s="3332">
        <v>365</v>
      </c>
      <c r="G1261" s="3333">
        <v>42826</v>
      </c>
      <c r="H1261" s="3333">
        <v>42851</v>
      </c>
      <c r="I1261" s="3333">
        <v>42886</v>
      </c>
      <c r="J1261" s="3324"/>
      <c r="K1261" s="3334">
        <f t="shared" ref="K1261:K1262" si="121">E1261</f>
        <v>96.4</v>
      </c>
      <c r="L1261" s="3334">
        <f t="shared" ref="L1261:L1262" si="122">F1261/30</f>
        <v>12.166666666666666</v>
      </c>
    </row>
    <row r="1262" spans="1:12" s="3327" customFormat="1" ht="12.75" customHeight="1">
      <c r="A1262" s="3354"/>
      <c r="B1262" s="3370" t="s">
        <v>3867</v>
      </c>
      <c r="C1262" s="3331" t="s">
        <v>4014</v>
      </c>
      <c r="D1262" s="3346" t="s">
        <v>4013</v>
      </c>
      <c r="E1262" s="3332">
        <v>96.4</v>
      </c>
      <c r="F1262" s="3332">
        <v>340</v>
      </c>
      <c r="G1262" s="3333">
        <v>42852</v>
      </c>
      <c r="H1262" s="3333">
        <v>42885</v>
      </c>
      <c r="I1262" s="3333">
        <v>42978</v>
      </c>
      <c r="J1262" s="3324"/>
      <c r="K1262" s="3334">
        <f t="shared" si="121"/>
        <v>96.4</v>
      </c>
      <c r="L1262" s="3334">
        <f t="shared" si="122"/>
        <v>11.333333333333334</v>
      </c>
    </row>
    <row r="1263" spans="1:12" s="3327" customFormat="1" ht="12.75" customHeight="1">
      <c r="A1263" s="3354"/>
      <c r="B1263" s="3368" t="s">
        <v>3867</v>
      </c>
      <c r="C1263" s="3324" t="s">
        <v>3351</v>
      </c>
      <c r="D1263" s="3344" t="s">
        <v>4015</v>
      </c>
      <c r="E1263" s="3325">
        <v>37</v>
      </c>
      <c r="F1263" s="3325">
        <v>310</v>
      </c>
      <c r="G1263" s="3326">
        <v>41699</v>
      </c>
      <c r="H1263" s="3326">
        <v>42003</v>
      </c>
      <c r="I1263" s="3326">
        <v>42094</v>
      </c>
      <c r="J1263" s="3324"/>
    </row>
    <row r="1264" spans="1:12" s="3327" customFormat="1" ht="12.75" customHeight="1">
      <c r="A1264" s="3354"/>
      <c r="B1264" s="3368" t="s">
        <v>3867</v>
      </c>
      <c r="C1264" s="3324" t="s">
        <v>3351</v>
      </c>
      <c r="D1264" s="3344" t="s">
        <v>4015</v>
      </c>
      <c r="E1264" s="3325">
        <v>37</v>
      </c>
      <c r="F1264" s="3325">
        <v>320</v>
      </c>
      <c r="G1264" s="3326">
        <v>42005</v>
      </c>
      <c r="H1264" s="3326">
        <v>42093</v>
      </c>
      <c r="I1264" s="3326">
        <v>42094</v>
      </c>
      <c r="J1264" s="3324"/>
    </row>
    <row r="1265" spans="1:12" s="3327" customFormat="1" ht="12.75" customHeight="1">
      <c r="A1265" s="3354"/>
      <c r="B1265" s="3369" t="s">
        <v>3867</v>
      </c>
      <c r="C1265" s="3336" t="s">
        <v>3351</v>
      </c>
      <c r="D1265" s="3345" t="s">
        <v>4015</v>
      </c>
      <c r="E1265" s="3339">
        <v>37</v>
      </c>
      <c r="F1265" s="3339">
        <v>320</v>
      </c>
      <c r="G1265" s="3340">
        <v>42095</v>
      </c>
      <c r="H1265" s="3340">
        <v>42459</v>
      </c>
      <c r="I1265" s="3340">
        <v>42460</v>
      </c>
      <c r="J1265" s="3324"/>
    </row>
    <row r="1266" spans="1:12" s="3327" customFormat="1" ht="12.75" customHeight="1">
      <c r="A1266" s="3354"/>
      <c r="B1266" s="3369" t="s">
        <v>3867</v>
      </c>
      <c r="C1266" s="3336" t="s">
        <v>4016</v>
      </c>
      <c r="D1266" s="3345" t="s">
        <v>4015</v>
      </c>
      <c r="E1266" s="3339">
        <v>38.19</v>
      </c>
      <c r="F1266" s="3339">
        <v>340</v>
      </c>
      <c r="G1266" s="3340">
        <v>42461</v>
      </c>
      <c r="H1266" s="3340">
        <v>42824</v>
      </c>
      <c r="I1266" s="3340">
        <v>42825</v>
      </c>
      <c r="J1266" s="3324"/>
    </row>
    <row r="1267" spans="1:12" s="3327" customFormat="1" ht="12.75" customHeight="1">
      <c r="A1267" s="3354"/>
      <c r="B1267" s="3370" t="s">
        <v>3867</v>
      </c>
      <c r="C1267" s="3331" t="s">
        <v>4014</v>
      </c>
      <c r="D1267" s="3346" t="s">
        <v>4017</v>
      </c>
      <c r="E1267" s="3332">
        <v>38.19</v>
      </c>
      <c r="F1267" s="3332">
        <v>340</v>
      </c>
      <c r="G1267" s="3333">
        <v>42826</v>
      </c>
      <c r="H1267" s="3333">
        <v>42885</v>
      </c>
      <c r="I1267" s="3333">
        <v>43190</v>
      </c>
      <c r="J1267" s="3324"/>
      <c r="K1267" s="3334">
        <f t="shared" ref="K1267:K1268" si="123">E1267</f>
        <v>38.19</v>
      </c>
      <c r="L1267" s="3334">
        <f t="shared" ref="L1267:L1268" si="124">F1267/30</f>
        <v>11.333333333333334</v>
      </c>
    </row>
    <row r="1268" spans="1:12" s="3327" customFormat="1" ht="12.75" customHeight="1">
      <c r="A1268" s="3354" t="s">
        <v>3872</v>
      </c>
      <c r="B1268" s="3370" t="s">
        <v>3867</v>
      </c>
      <c r="C1268" s="3331" t="s">
        <v>4014</v>
      </c>
      <c r="D1268" s="3346" t="s">
        <v>4018</v>
      </c>
      <c r="E1268" s="3332">
        <v>212.51</v>
      </c>
      <c r="F1268" s="3332">
        <v>340</v>
      </c>
      <c r="G1268" s="3333">
        <v>42887</v>
      </c>
      <c r="H1268" s="3333">
        <v>43130</v>
      </c>
      <c r="I1268" s="3333">
        <v>43190</v>
      </c>
      <c r="J1268" s="3324"/>
      <c r="K1268" s="3334">
        <f t="shared" si="123"/>
        <v>212.51</v>
      </c>
      <c r="L1268" s="3334">
        <f t="shared" si="124"/>
        <v>11.333333333333334</v>
      </c>
    </row>
    <row r="1269" spans="1:12" s="3327" customFormat="1" ht="12.75" customHeight="1">
      <c r="A1269" s="3355"/>
      <c r="B1269" s="3369" t="s">
        <v>3867</v>
      </c>
      <c r="C1269" s="3336" t="s">
        <v>4019</v>
      </c>
      <c r="D1269" s="3336" t="s">
        <v>4020</v>
      </c>
      <c r="E1269" s="3339">
        <v>151.5</v>
      </c>
      <c r="F1269" s="3339">
        <v>315</v>
      </c>
      <c r="G1269" s="3340">
        <v>41000</v>
      </c>
      <c r="H1269" s="3340">
        <v>41363</v>
      </c>
      <c r="I1269" s="3340">
        <v>41364</v>
      </c>
      <c r="J1269" s="3336"/>
    </row>
    <row r="1270" spans="1:12" s="3327" customFormat="1" ht="12.75" customHeight="1">
      <c r="A1270" s="3354"/>
      <c r="B1270" s="3383" t="s">
        <v>3867</v>
      </c>
      <c r="C1270" s="3384" t="s">
        <v>4019</v>
      </c>
      <c r="D1270" s="3324" t="s">
        <v>4021</v>
      </c>
      <c r="E1270" s="3325">
        <v>151.5</v>
      </c>
      <c r="F1270" s="3325">
        <v>320</v>
      </c>
      <c r="G1270" s="3326">
        <v>41730</v>
      </c>
      <c r="H1270" s="3326">
        <v>41730</v>
      </c>
      <c r="I1270" s="3326">
        <v>42094</v>
      </c>
      <c r="J1270" s="3324"/>
    </row>
    <row r="1271" spans="1:12" s="3327" customFormat="1" ht="12.75" customHeight="1">
      <c r="A1271" s="3354"/>
      <c r="B1271" s="3368" t="s">
        <v>3867</v>
      </c>
      <c r="C1271" s="3324" t="s">
        <v>4022</v>
      </c>
      <c r="D1271" s="3344" t="s">
        <v>4021</v>
      </c>
      <c r="E1271" s="3325">
        <v>151.5</v>
      </c>
      <c r="F1271" s="3325">
        <v>320</v>
      </c>
      <c r="G1271" s="3326">
        <v>41731</v>
      </c>
      <c r="H1271" s="3326">
        <v>42003</v>
      </c>
      <c r="I1271" s="3326">
        <v>42094</v>
      </c>
      <c r="J1271" s="3324"/>
    </row>
    <row r="1272" spans="1:12" s="3327" customFormat="1" ht="12.75" customHeight="1">
      <c r="A1272" s="3354"/>
      <c r="B1272" s="3368" t="s">
        <v>3867</v>
      </c>
      <c r="C1272" s="3324" t="s">
        <v>4022</v>
      </c>
      <c r="D1272" s="3344" t="s">
        <v>4021</v>
      </c>
      <c r="E1272" s="3325">
        <v>151.5</v>
      </c>
      <c r="F1272" s="3325">
        <v>330</v>
      </c>
      <c r="G1272" s="3326">
        <v>42005</v>
      </c>
      <c r="H1272" s="3326">
        <v>42093</v>
      </c>
      <c r="I1272" s="3326">
        <v>42094</v>
      </c>
      <c r="J1272" s="3324"/>
    </row>
    <row r="1273" spans="1:12" s="3327" customFormat="1" ht="12.75" customHeight="1">
      <c r="A1273" s="3354"/>
      <c r="B1273" s="3369" t="s">
        <v>3867</v>
      </c>
      <c r="C1273" s="3336" t="s">
        <v>4022</v>
      </c>
      <c r="D1273" s="3345" t="s">
        <v>4021</v>
      </c>
      <c r="E1273" s="3339">
        <v>151.5</v>
      </c>
      <c r="F1273" s="3339">
        <v>340</v>
      </c>
      <c r="G1273" s="3340">
        <v>42095</v>
      </c>
      <c r="H1273" s="3340">
        <v>42459</v>
      </c>
      <c r="I1273" s="3340">
        <v>42460</v>
      </c>
      <c r="J1273" s="3324"/>
    </row>
    <row r="1274" spans="1:12" s="3327" customFormat="1" ht="12.75" customHeight="1">
      <c r="A1274" s="3354"/>
      <c r="B1274" s="3369" t="s">
        <v>3867</v>
      </c>
      <c r="C1274" s="3336" t="s">
        <v>4022</v>
      </c>
      <c r="D1274" s="3345" t="s">
        <v>4021</v>
      </c>
      <c r="E1274" s="3339">
        <v>151.5</v>
      </c>
      <c r="F1274" s="3339">
        <v>360</v>
      </c>
      <c r="G1274" s="3340">
        <v>42461</v>
      </c>
      <c r="H1274" s="3340">
        <v>42824</v>
      </c>
      <c r="I1274" s="3340">
        <v>42825</v>
      </c>
      <c r="J1274" s="3324"/>
    </row>
    <row r="1275" spans="1:12" s="3327" customFormat="1" ht="12.75" customHeight="1">
      <c r="A1275" s="3354"/>
      <c r="B1275" s="3370" t="s">
        <v>3867</v>
      </c>
      <c r="C1275" s="3331" t="s">
        <v>4022</v>
      </c>
      <c r="D1275" s="3346" t="s">
        <v>4021</v>
      </c>
      <c r="E1275" s="3332">
        <v>151.5</v>
      </c>
      <c r="F1275" s="3332">
        <v>360</v>
      </c>
      <c r="G1275" s="3333">
        <v>42826</v>
      </c>
      <c r="H1275" s="3333">
        <v>42885</v>
      </c>
      <c r="I1275" s="3333">
        <v>42886</v>
      </c>
      <c r="J1275" s="3324"/>
      <c r="K1275" s="3334">
        <f t="shared" ref="K1275:K1276" si="125">E1275</f>
        <v>151.5</v>
      </c>
      <c r="L1275" s="3334">
        <f t="shared" ref="L1275:L1276" si="126">F1275/30</f>
        <v>12</v>
      </c>
    </row>
    <row r="1276" spans="1:12" s="3327" customFormat="1" ht="12.75" customHeight="1">
      <c r="A1276" s="3354"/>
      <c r="B1276" s="3370" t="s">
        <v>3867</v>
      </c>
      <c r="C1276" s="3331" t="s">
        <v>4022</v>
      </c>
      <c r="D1276" s="3346" t="s">
        <v>4021</v>
      </c>
      <c r="E1276" s="3332">
        <v>151.5</v>
      </c>
      <c r="F1276" s="3332">
        <v>360</v>
      </c>
      <c r="G1276" s="3333">
        <v>42887</v>
      </c>
      <c r="H1276" s="3333">
        <v>42893</v>
      </c>
      <c r="I1276" s="3333">
        <v>43190</v>
      </c>
      <c r="J1276" s="3324"/>
      <c r="K1276" s="3334">
        <f t="shared" si="125"/>
        <v>151.5</v>
      </c>
      <c r="L1276" s="3334">
        <f t="shared" si="126"/>
        <v>12</v>
      </c>
    </row>
    <row r="1277" spans="1:12" s="3327" customFormat="1" ht="12.75" customHeight="1">
      <c r="A1277" s="3354" t="s">
        <v>3872</v>
      </c>
      <c r="B1277" s="3370" t="s">
        <v>3867</v>
      </c>
      <c r="C1277" s="3331" t="s">
        <v>4007</v>
      </c>
      <c r="D1277" s="3346" t="s">
        <v>4021</v>
      </c>
      <c r="E1277" s="3332">
        <v>151.5</v>
      </c>
      <c r="F1277" s="3332">
        <v>360</v>
      </c>
      <c r="G1277" s="3333">
        <v>42894</v>
      </c>
      <c r="H1277" s="3333">
        <v>43130</v>
      </c>
      <c r="I1277" s="3333">
        <v>43190</v>
      </c>
      <c r="J1277" s="3324"/>
    </row>
    <row r="1278" spans="1:12" s="3327" customFormat="1" ht="12.75" customHeight="1">
      <c r="A1278" s="3355"/>
      <c r="B1278" s="3371" t="s">
        <v>3867</v>
      </c>
      <c r="C1278" s="3372" t="s">
        <v>4023</v>
      </c>
      <c r="D1278" s="3336" t="s">
        <v>4024</v>
      </c>
      <c r="E1278" s="3339">
        <v>79.099999999999994</v>
      </c>
      <c r="F1278" s="3339">
        <v>310</v>
      </c>
      <c r="G1278" s="3340">
        <v>41014</v>
      </c>
      <c r="H1278" s="3340">
        <v>41333</v>
      </c>
      <c r="I1278" s="3340">
        <v>41364</v>
      </c>
      <c r="J1278" s="3336"/>
    </row>
    <row r="1279" spans="1:12" s="3327" customFormat="1" ht="12.75" customHeight="1">
      <c r="A1279" s="3355"/>
      <c r="B1279" s="3366" t="s">
        <v>3867</v>
      </c>
      <c r="C1279" s="3367" t="s">
        <v>4025</v>
      </c>
      <c r="D1279" s="3336" t="s">
        <v>4026</v>
      </c>
      <c r="E1279" s="3339">
        <v>79.099999999999994</v>
      </c>
      <c r="F1279" s="3339">
        <v>310</v>
      </c>
      <c r="G1279" s="3340">
        <v>41365</v>
      </c>
      <c r="H1279" s="3340">
        <v>41728</v>
      </c>
      <c r="I1279" s="3340">
        <v>41729</v>
      </c>
      <c r="J1279" s="3336"/>
    </row>
    <row r="1280" spans="1:12" s="3327" customFormat="1" ht="12.75" customHeight="1">
      <c r="A1280" s="3354"/>
      <c r="B1280" s="3368" t="s">
        <v>3867</v>
      </c>
      <c r="C1280" s="3324" t="s">
        <v>4025</v>
      </c>
      <c r="D1280" s="3344" t="s">
        <v>4026</v>
      </c>
      <c r="E1280" s="3325">
        <v>79.099999999999994</v>
      </c>
      <c r="F1280" s="3325">
        <v>320</v>
      </c>
      <c r="G1280" s="3326">
        <v>41730</v>
      </c>
      <c r="H1280" s="3326">
        <v>41820</v>
      </c>
      <c r="I1280" s="3326">
        <v>41364</v>
      </c>
      <c r="J1280" s="3324"/>
    </row>
    <row r="1281" spans="1:12" s="3327" customFormat="1" ht="12.75" customHeight="1">
      <c r="A1281" s="3354"/>
      <c r="B1281" s="3368" t="s">
        <v>3867</v>
      </c>
      <c r="C1281" s="3324" t="s">
        <v>4027</v>
      </c>
      <c r="D1281" s="3344" t="s">
        <v>4026</v>
      </c>
      <c r="E1281" s="3325">
        <v>79.099999999999994</v>
      </c>
      <c r="F1281" s="3325">
        <v>320</v>
      </c>
      <c r="G1281" s="3326">
        <v>41821</v>
      </c>
      <c r="H1281" s="3326">
        <v>42093</v>
      </c>
      <c r="I1281" s="3326">
        <v>42094</v>
      </c>
      <c r="J1281" s="3324"/>
    </row>
    <row r="1282" spans="1:12" s="3327" customFormat="1" ht="12.75" customHeight="1">
      <c r="A1282" s="3354"/>
      <c r="B1282" s="3369" t="s">
        <v>3867</v>
      </c>
      <c r="C1282" s="3336" t="s">
        <v>4027</v>
      </c>
      <c r="D1282" s="3345" t="s">
        <v>4026</v>
      </c>
      <c r="E1282" s="3339">
        <v>79.099999999999994</v>
      </c>
      <c r="F1282" s="3339">
        <v>320</v>
      </c>
      <c r="G1282" s="3340">
        <v>42095</v>
      </c>
      <c r="H1282" s="3340">
        <v>42459</v>
      </c>
      <c r="I1282" s="3340">
        <v>42460</v>
      </c>
      <c r="J1282" s="3324"/>
    </row>
    <row r="1283" spans="1:12" s="3327" customFormat="1" ht="12.75" customHeight="1">
      <c r="A1283" s="3354"/>
      <c r="B1283" s="3369" t="s">
        <v>3867</v>
      </c>
      <c r="C1283" s="3372" t="s">
        <v>4028</v>
      </c>
      <c r="D1283" s="3345" t="s">
        <v>4026</v>
      </c>
      <c r="E1283" s="3339">
        <v>77.91</v>
      </c>
      <c r="F1283" s="3339">
        <v>340</v>
      </c>
      <c r="G1283" s="3340">
        <v>42461</v>
      </c>
      <c r="H1283" s="3340">
        <v>42824</v>
      </c>
      <c r="I1283" s="3340">
        <v>42825</v>
      </c>
      <c r="J1283" s="3324"/>
    </row>
    <row r="1284" spans="1:12" s="3327" customFormat="1" ht="12.75" customHeight="1">
      <c r="A1284" s="3354"/>
      <c r="B1284" s="3370" t="s">
        <v>3867</v>
      </c>
      <c r="C1284" s="3378" t="s">
        <v>4028</v>
      </c>
      <c r="D1284" s="3346" t="s">
        <v>4026</v>
      </c>
      <c r="E1284" s="3332">
        <v>77.91</v>
      </c>
      <c r="F1284" s="3332">
        <v>340</v>
      </c>
      <c r="G1284" s="3333">
        <v>42826</v>
      </c>
      <c r="H1284" s="3333">
        <v>42885</v>
      </c>
      <c r="I1284" s="3333">
        <v>42886</v>
      </c>
      <c r="J1284" s="3324"/>
      <c r="K1284" s="3334">
        <f t="shared" ref="K1284:K1285" si="127">E1284</f>
        <v>77.91</v>
      </c>
      <c r="L1284" s="3334">
        <f t="shared" ref="L1284:L1285" si="128">F1284/30</f>
        <v>11.333333333333334</v>
      </c>
    </row>
    <row r="1285" spans="1:12" s="3327" customFormat="1" ht="13.5" customHeight="1">
      <c r="A1285" s="3354"/>
      <c r="B1285" s="3375" t="s">
        <v>3867</v>
      </c>
      <c r="C1285" s="3379" t="s">
        <v>4029</v>
      </c>
      <c r="D1285" s="3324" t="s">
        <v>4030</v>
      </c>
      <c r="E1285" s="3325">
        <v>221.1</v>
      </c>
      <c r="F1285" s="3325">
        <v>315</v>
      </c>
      <c r="G1285" s="3326">
        <v>40634</v>
      </c>
      <c r="H1285" s="3326">
        <v>40754</v>
      </c>
      <c r="I1285" s="3326">
        <v>42094</v>
      </c>
      <c r="J1285" s="3324"/>
      <c r="K1285" s="3334"/>
      <c r="L1285" s="3334"/>
    </row>
    <row r="1286" spans="1:12" s="3327" customFormat="1" ht="13.5" customHeight="1">
      <c r="A1286" s="3354"/>
      <c r="B1286" s="3368" t="s">
        <v>3867</v>
      </c>
      <c r="C1286" s="3324" t="s">
        <v>4031</v>
      </c>
      <c r="D1286" s="3324" t="s">
        <v>4032</v>
      </c>
      <c r="E1286" s="3325">
        <v>138.30000000000001</v>
      </c>
      <c r="F1286" s="3325">
        <v>315</v>
      </c>
      <c r="G1286" s="3326">
        <v>40634</v>
      </c>
      <c r="H1286" s="3326">
        <v>40754</v>
      </c>
      <c r="I1286" s="3326">
        <v>40999</v>
      </c>
      <c r="J1286" s="3324"/>
    </row>
    <row r="1287" spans="1:12" s="3327" customFormat="1" ht="13.5" customHeight="1">
      <c r="A1287" s="3355"/>
      <c r="B1287" s="3366" t="s">
        <v>3867</v>
      </c>
      <c r="C1287" s="3367" t="s">
        <v>4033</v>
      </c>
      <c r="D1287" s="3336" t="s">
        <v>4034</v>
      </c>
      <c r="E1287" s="3339">
        <v>359.4</v>
      </c>
      <c r="F1287" s="3339">
        <v>303</v>
      </c>
      <c r="G1287" s="3340">
        <v>41009</v>
      </c>
      <c r="H1287" s="3340">
        <v>41728</v>
      </c>
      <c r="I1287" s="3340">
        <v>41729</v>
      </c>
      <c r="J1287" s="3336"/>
    </row>
    <row r="1288" spans="1:12" s="3327" customFormat="1" ht="13.5" customHeight="1">
      <c r="A1288" s="3354"/>
      <c r="B1288" s="3368" t="s">
        <v>3867</v>
      </c>
      <c r="C1288" s="3324" t="s">
        <v>4033</v>
      </c>
      <c r="D1288" s="3344" t="s">
        <v>4034</v>
      </c>
      <c r="E1288" s="3325">
        <v>359.4</v>
      </c>
      <c r="F1288" s="3325">
        <v>240</v>
      </c>
      <c r="G1288" s="3326">
        <v>41730</v>
      </c>
      <c r="H1288" s="3326">
        <v>42093</v>
      </c>
      <c r="I1288" s="3326">
        <v>42094</v>
      </c>
      <c r="J1288" s="3324"/>
    </row>
    <row r="1289" spans="1:12" s="3327" customFormat="1" ht="13.5" customHeight="1">
      <c r="A1289" s="3354"/>
      <c r="B1289" s="3369" t="s">
        <v>3867</v>
      </c>
      <c r="C1289" s="3336" t="s">
        <v>4033</v>
      </c>
      <c r="D1289" s="3345" t="s">
        <v>4034</v>
      </c>
      <c r="E1289" s="3339">
        <v>359.4</v>
      </c>
      <c r="F1289" s="3339">
        <v>250</v>
      </c>
      <c r="G1289" s="3340">
        <v>42095</v>
      </c>
      <c r="H1289" s="3340">
        <v>42459</v>
      </c>
      <c r="I1289" s="3340">
        <v>42460</v>
      </c>
      <c r="J1289" s="3324"/>
    </row>
    <row r="1290" spans="1:12" s="3327" customFormat="1" ht="13.5" customHeight="1">
      <c r="A1290" s="3354"/>
      <c r="B1290" s="3369" t="s">
        <v>3867</v>
      </c>
      <c r="C1290" s="3336" t="s">
        <v>4033</v>
      </c>
      <c r="D1290" s="3345" t="s">
        <v>4034</v>
      </c>
      <c r="E1290" s="3338">
        <v>413.31</v>
      </c>
      <c r="F1290" s="3339">
        <v>250</v>
      </c>
      <c r="G1290" s="3340">
        <v>42461</v>
      </c>
      <c r="H1290" s="3340">
        <v>42824</v>
      </c>
      <c r="I1290" s="3340">
        <v>42825</v>
      </c>
      <c r="J1290" s="3324"/>
    </row>
    <row r="1291" spans="1:12" s="3327" customFormat="1" ht="13.5" customHeight="1">
      <c r="A1291" s="3354"/>
      <c r="B1291" s="3370" t="s">
        <v>3867</v>
      </c>
      <c r="C1291" s="3331" t="s">
        <v>4033</v>
      </c>
      <c r="D1291" s="3346" t="s">
        <v>4034</v>
      </c>
      <c r="E1291" s="3332">
        <v>413.31</v>
      </c>
      <c r="F1291" s="3332">
        <v>270</v>
      </c>
      <c r="G1291" s="3333">
        <v>42826</v>
      </c>
      <c r="H1291" s="3333">
        <v>42885</v>
      </c>
      <c r="I1291" s="3333">
        <v>42886</v>
      </c>
      <c r="J1291" s="3324"/>
      <c r="K1291" s="3334">
        <f t="shared" ref="K1291:K1293" si="129">E1291</f>
        <v>413.31</v>
      </c>
      <c r="L1291" s="3334">
        <f t="shared" ref="L1291:L1293" si="130">F1291/30</f>
        <v>9</v>
      </c>
    </row>
    <row r="1292" spans="1:12" s="3327" customFormat="1" ht="13.5" customHeight="1">
      <c r="A1292" s="3354"/>
      <c r="B1292" s="3370" t="s">
        <v>3867</v>
      </c>
      <c r="C1292" s="3331" t="s">
        <v>4033</v>
      </c>
      <c r="D1292" s="3346" t="s">
        <v>4034</v>
      </c>
      <c r="E1292" s="3332">
        <v>413.31</v>
      </c>
      <c r="F1292" s="3332">
        <v>300</v>
      </c>
      <c r="G1292" s="3333">
        <v>42887</v>
      </c>
      <c r="H1292" s="3333">
        <v>42983</v>
      </c>
      <c r="I1292" s="3333">
        <v>43190</v>
      </c>
      <c r="J1292" s="3324"/>
      <c r="K1292" s="3334">
        <f t="shared" si="129"/>
        <v>413.31</v>
      </c>
      <c r="L1292" s="3334">
        <f t="shared" si="130"/>
        <v>10</v>
      </c>
    </row>
    <row r="1293" spans="1:12" s="3327" customFormat="1" ht="13.5" customHeight="1">
      <c r="A1293" s="3354" t="s">
        <v>3872</v>
      </c>
      <c r="B1293" s="3370" t="s">
        <v>3867</v>
      </c>
      <c r="C1293" s="3331" t="s">
        <v>4033</v>
      </c>
      <c r="D1293" s="3346" t="s">
        <v>4034</v>
      </c>
      <c r="E1293" s="3332">
        <v>413.31</v>
      </c>
      <c r="F1293" s="3332">
        <v>300</v>
      </c>
      <c r="G1293" s="3333">
        <v>42984</v>
      </c>
      <c r="H1293" s="3333">
        <v>43130</v>
      </c>
      <c r="I1293" s="3333">
        <v>43190</v>
      </c>
      <c r="J1293" s="3324"/>
      <c r="K1293" s="3334">
        <f t="shared" si="129"/>
        <v>413.31</v>
      </c>
      <c r="L1293" s="3334">
        <f t="shared" si="130"/>
        <v>10</v>
      </c>
    </row>
    <row r="1294" spans="1:12" s="3327" customFormat="1" ht="12.75" customHeight="1">
      <c r="A1294" s="3354"/>
      <c r="B1294" s="3368" t="s">
        <v>3867</v>
      </c>
      <c r="C1294" s="3324" t="s">
        <v>4035</v>
      </c>
      <c r="D1294" s="3344" t="s">
        <v>4036</v>
      </c>
      <c r="E1294" s="3325">
        <v>215.7</v>
      </c>
      <c r="F1294" s="3325">
        <v>260</v>
      </c>
      <c r="G1294" s="3326">
        <v>41730</v>
      </c>
      <c r="H1294" s="3326">
        <v>42003</v>
      </c>
      <c r="I1294" s="3326">
        <v>42094</v>
      </c>
      <c r="J1294" s="3324"/>
    </row>
    <row r="1295" spans="1:12" s="3327" customFormat="1" ht="12.75" customHeight="1">
      <c r="A1295" s="3354"/>
      <c r="B1295" s="3368" t="s">
        <v>3867</v>
      </c>
      <c r="C1295" s="3324" t="s">
        <v>4035</v>
      </c>
      <c r="D1295" s="3344" t="s">
        <v>4036</v>
      </c>
      <c r="E1295" s="3325">
        <v>215.7</v>
      </c>
      <c r="F1295" s="3325">
        <v>270</v>
      </c>
      <c r="G1295" s="3326">
        <v>42005</v>
      </c>
      <c r="H1295" s="3326">
        <v>42093</v>
      </c>
      <c r="I1295" s="3326">
        <v>42094</v>
      </c>
      <c r="J1295" s="3324"/>
    </row>
    <row r="1296" spans="1:12" s="3327" customFormat="1" ht="12.75" customHeight="1">
      <c r="A1296" s="3354"/>
      <c r="B1296" s="3369" t="s">
        <v>3867</v>
      </c>
      <c r="C1296" s="3336" t="s">
        <v>4035</v>
      </c>
      <c r="D1296" s="3345" t="s">
        <v>4036</v>
      </c>
      <c r="E1296" s="3339">
        <v>215.7</v>
      </c>
      <c r="F1296" s="3339">
        <v>270</v>
      </c>
      <c r="G1296" s="3340">
        <v>42095</v>
      </c>
      <c r="H1296" s="3340">
        <v>42154</v>
      </c>
      <c r="I1296" s="3340">
        <v>42155</v>
      </c>
      <c r="J1296" s="3324"/>
    </row>
    <row r="1297" spans="1:12" s="3327" customFormat="1" ht="12.75" customHeight="1">
      <c r="A1297" s="3354"/>
      <c r="B1297" s="3369" t="s">
        <v>3867</v>
      </c>
      <c r="C1297" s="3336" t="s">
        <v>4035</v>
      </c>
      <c r="D1297" s="3345" t="s">
        <v>4036</v>
      </c>
      <c r="E1297" s="3339">
        <v>215.7</v>
      </c>
      <c r="F1297" s="3339">
        <v>270</v>
      </c>
      <c r="G1297" s="3340">
        <v>42156</v>
      </c>
      <c r="H1297" s="3340">
        <v>42215</v>
      </c>
      <c r="I1297" s="3340">
        <v>42460</v>
      </c>
      <c r="J1297" s="3324"/>
    </row>
    <row r="1298" spans="1:12" s="3327" customFormat="1" ht="12.75" customHeight="1">
      <c r="A1298" s="3354"/>
      <c r="B1298" s="3369" t="s">
        <v>3867</v>
      </c>
      <c r="C1298" s="3336" t="s">
        <v>4035</v>
      </c>
      <c r="D1298" s="3345" t="s">
        <v>4036</v>
      </c>
      <c r="E1298" s="3339">
        <v>123.1</v>
      </c>
      <c r="F1298" s="3339"/>
      <c r="G1298" s="3340">
        <v>42217</v>
      </c>
      <c r="H1298" s="3340">
        <v>42459</v>
      </c>
      <c r="I1298" s="3340">
        <v>42460</v>
      </c>
      <c r="J1298" s="3324"/>
    </row>
    <row r="1299" spans="1:12" s="3327" customFormat="1" ht="12.75" customHeight="1">
      <c r="A1299" s="3354"/>
      <c r="B1299" s="3369" t="s">
        <v>3867</v>
      </c>
      <c r="C1299" s="3336" t="s">
        <v>4035</v>
      </c>
      <c r="D1299" s="3345" t="s">
        <v>4036</v>
      </c>
      <c r="E1299" s="3339">
        <v>123.1</v>
      </c>
      <c r="F1299" s="3339">
        <v>280</v>
      </c>
      <c r="G1299" s="3340">
        <v>42461</v>
      </c>
      <c r="H1299" s="3340">
        <v>42824</v>
      </c>
      <c r="I1299" s="3340">
        <v>42825</v>
      </c>
      <c r="J1299" s="3324"/>
    </row>
    <row r="1300" spans="1:12" s="3327" customFormat="1" ht="12.75" customHeight="1">
      <c r="A1300" s="3354"/>
      <c r="B1300" s="3370" t="s">
        <v>3867</v>
      </c>
      <c r="C1300" s="3331" t="s">
        <v>4035</v>
      </c>
      <c r="D1300" s="3346" t="s">
        <v>4037</v>
      </c>
      <c r="E1300" s="3332">
        <v>123.1</v>
      </c>
      <c r="F1300" s="3332">
        <v>280</v>
      </c>
      <c r="G1300" s="3333">
        <v>42826</v>
      </c>
      <c r="H1300" s="3333">
        <v>42885</v>
      </c>
      <c r="I1300" s="3333">
        <v>42886</v>
      </c>
      <c r="J1300" s="3324"/>
      <c r="K1300" s="3334">
        <f t="shared" ref="K1300:K1301" si="131">E1300</f>
        <v>123.1</v>
      </c>
      <c r="L1300" s="3334">
        <f t="shared" ref="L1300:L1301" si="132">F1300/30</f>
        <v>9.3333333333333339</v>
      </c>
    </row>
    <row r="1301" spans="1:12" s="3327" customFormat="1" ht="12.75" customHeight="1">
      <c r="A1301" s="3354" t="s">
        <v>3872</v>
      </c>
      <c r="B1301" s="3370" t="s">
        <v>3867</v>
      </c>
      <c r="C1301" s="3331" t="s">
        <v>4035</v>
      </c>
      <c r="D1301" s="3346" t="s">
        <v>4037</v>
      </c>
      <c r="E1301" s="3332">
        <v>123.1</v>
      </c>
      <c r="F1301" s="3332">
        <v>330</v>
      </c>
      <c r="G1301" s="3333">
        <v>42887</v>
      </c>
      <c r="H1301" s="3333">
        <v>43130</v>
      </c>
      <c r="I1301" s="3333">
        <v>43190</v>
      </c>
      <c r="J1301" s="3324"/>
      <c r="K1301" s="3334">
        <f t="shared" si="131"/>
        <v>123.1</v>
      </c>
      <c r="L1301" s="3334">
        <f t="shared" si="132"/>
        <v>11</v>
      </c>
    </row>
    <row r="1302" spans="1:12" s="3327" customFormat="1" ht="12.75" customHeight="1">
      <c r="A1302" s="3354"/>
      <c r="B1302" s="3369" t="s">
        <v>3867</v>
      </c>
      <c r="C1302" s="3336" t="s">
        <v>4038</v>
      </c>
      <c r="D1302" s="3345" t="s">
        <v>4037</v>
      </c>
      <c r="E1302" s="3339">
        <v>92.6</v>
      </c>
      <c r="F1302" s="3339">
        <v>280</v>
      </c>
      <c r="G1302" s="3340">
        <v>42217</v>
      </c>
      <c r="H1302" s="3340">
        <v>42459</v>
      </c>
      <c r="I1302" s="3340">
        <v>42460</v>
      </c>
      <c r="J1302" s="3324"/>
    </row>
    <row r="1303" spans="1:12" s="3327" customFormat="1" ht="12.75" customHeight="1">
      <c r="A1303" s="3354"/>
      <c r="B1303" s="3369" t="s">
        <v>3867</v>
      </c>
      <c r="C1303" s="3336" t="s">
        <v>4038</v>
      </c>
      <c r="D1303" s="3345" t="s">
        <v>4037</v>
      </c>
      <c r="E1303" s="3339">
        <v>92.6</v>
      </c>
      <c r="F1303" s="3339">
        <v>290</v>
      </c>
      <c r="G1303" s="3340">
        <v>42461</v>
      </c>
      <c r="H1303" s="3340">
        <v>42824</v>
      </c>
      <c r="I1303" s="3340">
        <v>42825</v>
      </c>
      <c r="J1303" s="3324"/>
    </row>
    <row r="1304" spans="1:12" s="3327" customFormat="1" ht="12.75" customHeight="1">
      <c r="A1304" s="3354"/>
      <c r="B1304" s="3370" t="s">
        <v>3867</v>
      </c>
      <c r="C1304" s="3331" t="s">
        <v>4038</v>
      </c>
      <c r="D1304" s="3346" t="s">
        <v>4036</v>
      </c>
      <c r="E1304" s="3332">
        <v>92.6</v>
      </c>
      <c r="F1304" s="3332">
        <v>325</v>
      </c>
      <c r="G1304" s="3333">
        <v>42826</v>
      </c>
      <c r="H1304" s="3333">
        <v>42885</v>
      </c>
      <c r="I1304" s="3333">
        <v>42886</v>
      </c>
      <c r="J1304" s="3324"/>
      <c r="K1304" s="3334">
        <f t="shared" ref="K1304:K1305" si="133">E1304</f>
        <v>92.6</v>
      </c>
      <c r="L1304" s="3334">
        <f t="shared" ref="L1304:L1305" si="134">F1304/30</f>
        <v>10.833333333333334</v>
      </c>
    </row>
    <row r="1305" spans="1:12" s="3327" customFormat="1" ht="12.75" customHeight="1">
      <c r="A1305" s="3354" t="s">
        <v>3872</v>
      </c>
      <c r="B1305" s="3370" t="s">
        <v>3867</v>
      </c>
      <c r="C1305" s="3331" t="s">
        <v>4038</v>
      </c>
      <c r="D1305" s="3346" t="s">
        <v>4036</v>
      </c>
      <c r="E1305" s="3332">
        <v>92.6</v>
      </c>
      <c r="F1305" s="3332">
        <v>325</v>
      </c>
      <c r="G1305" s="3333">
        <v>42887</v>
      </c>
      <c r="H1305" s="3333">
        <v>43130</v>
      </c>
      <c r="I1305" s="3333">
        <v>43190</v>
      </c>
      <c r="J1305" s="3324"/>
      <c r="K1305" s="3334">
        <f t="shared" si="133"/>
        <v>92.6</v>
      </c>
      <c r="L1305" s="3334">
        <f t="shared" si="134"/>
        <v>10.833333333333334</v>
      </c>
    </row>
    <row r="1306" spans="1:12" s="3327" customFormat="1" ht="12.75" customHeight="1">
      <c r="A1306" s="3355"/>
      <c r="B1306" s="3380" t="s">
        <v>3867</v>
      </c>
      <c r="C1306" s="3381" t="s">
        <v>4039</v>
      </c>
      <c r="D1306" s="3336" t="s">
        <v>4040</v>
      </c>
      <c r="E1306" s="3339">
        <v>606</v>
      </c>
      <c r="F1306" s="3339">
        <v>303</v>
      </c>
      <c r="G1306" s="3340">
        <v>41071</v>
      </c>
      <c r="H1306" s="3340">
        <v>41728</v>
      </c>
      <c r="I1306" s="3340">
        <v>41729</v>
      </c>
      <c r="J1306" s="3336" t="s">
        <v>4041</v>
      </c>
    </row>
    <row r="1307" spans="1:12" s="3327" customFormat="1" ht="12.75" customHeight="1">
      <c r="A1307" s="3354"/>
      <c r="B1307" s="3368" t="s">
        <v>3867</v>
      </c>
      <c r="C1307" s="3324" t="s">
        <v>4039</v>
      </c>
      <c r="D1307" s="3344" t="s">
        <v>4040</v>
      </c>
      <c r="E1307" s="3325">
        <v>460.4</v>
      </c>
      <c r="F1307" s="3325">
        <v>240</v>
      </c>
      <c r="G1307" s="3326">
        <v>41730</v>
      </c>
      <c r="H1307" s="3326">
        <v>42093</v>
      </c>
      <c r="I1307" s="3326">
        <v>42094</v>
      </c>
      <c r="J1307" s="3324"/>
    </row>
    <row r="1308" spans="1:12" s="3327" customFormat="1" ht="12.75" customHeight="1">
      <c r="A1308" s="3354"/>
      <c r="B1308" s="3369" t="s">
        <v>3867</v>
      </c>
      <c r="C1308" s="3336" t="s">
        <v>4039</v>
      </c>
      <c r="D1308" s="3345" t="s">
        <v>4040</v>
      </c>
      <c r="E1308" s="3339">
        <v>460.4</v>
      </c>
      <c r="F1308" s="3339">
        <v>250</v>
      </c>
      <c r="G1308" s="3340">
        <v>42095</v>
      </c>
      <c r="H1308" s="3340">
        <v>42459</v>
      </c>
      <c r="I1308" s="3340">
        <v>42460</v>
      </c>
      <c r="J1308" s="3324"/>
    </row>
    <row r="1309" spans="1:12" s="3327" customFormat="1" ht="12.75" customHeight="1">
      <c r="A1309" s="3354"/>
      <c r="B1309" s="3369" t="s">
        <v>3867</v>
      </c>
      <c r="C1309" s="3336" t="s">
        <v>4039</v>
      </c>
      <c r="D1309" s="3345" t="s">
        <v>4040</v>
      </c>
      <c r="E1309" s="3339">
        <v>460.4</v>
      </c>
      <c r="F1309" s="3339">
        <v>250</v>
      </c>
      <c r="G1309" s="3340">
        <v>42461</v>
      </c>
      <c r="H1309" s="3340">
        <v>42824</v>
      </c>
      <c r="I1309" s="3340">
        <v>42825</v>
      </c>
      <c r="J1309" s="3324"/>
    </row>
    <row r="1310" spans="1:12" s="3327" customFormat="1" ht="12.75" customHeight="1">
      <c r="A1310" s="3354"/>
      <c r="B1310" s="3370" t="s">
        <v>3867</v>
      </c>
      <c r="C1310" s="3331" t="s">
        <v>4039</v>
      </c>
      <c r="D1310" s="3346" t="s">
        <v>4040</v>
      </c>
      <c r="E1310" s="3332">
        <v>460.4</v>
      </c>
      <c r="F1310" s="3332">
        <v>270</v>
      </c>
      <c r="G1310" s="3333">
        <v>42826</v>
      </c>
      <c r="H1310" s="3333">
        <v>42885</v>
      </c>
      <c r="I1310" s="3333">
        <v>42886</v>
      </c>
      <c r="J1310" s="3324"/>
      <c r="K1310" s="3334">
        <f t="shared" ref="K1310:K1311" si="135">E1310</f>
        <v>460.4</v>
      </c>
      <c r="L1310" s="3334">
        <f t="shared" ref="L1310:L1311" si="136">F1310/30</f>
        <v>9</v>
      </c>
    </row>
    <row r="1311" spans="1:12" s="3327" customFormat="1" ht="12.75" customHeight="1">
      <c r="A1311" s="3354" t="s">
        <v>3872</v>
      </c>
      <c r="B1311" s="3370" t="s">
        <v>3867</v>
      </c>
      <c r="C1311" s="3331" t="s">
        <v>4039</v>
      </c>
      <c r="D1311" s="3346" t="s">
        <v>4040</v>
      </c>
      <c r="E1311" s="3332">
        <v>460.4</v>
      </c>
      <c r="F1311" s="3332">
        <v>300</v>
      </c>
      <c r="G1311" s="3333">
        <v>42887</v>
      </c>
      <c r="H1311" s="3333">
        <v>43130</v>
      </c>
      <c r="I1311" s="3333">
        <v>43190</v>
      </c>
      <c r="J1311" s="3324"/>
      <c r="K1311" s="3334">
        <f t="shared" si="135"/>
        <v>460.4</v>
      </c>
      <c r="L1311" s="3334">
        <f t="shared" si="136"/>
        <v>10</v>
      </c>
    </row>
    <row r="1312" spans="1:12" s="3327" customFormat="1" ht="13.5" customHeight="1">
      <c r="A1312" s="3354"/>
      <c r="B1312" s="3368" t="s">
        <v>3867</v>
      </c>
      <c r="C1312" s="3324" t="s">
        <v>4019</v>
      </c>
      <c r="D1312" s="3344" t="s">
        <v>4040</v>
      </c>
      <c r="E1312" s="3325">
        <v>146.9</v>
      </c>
      <c r="F1312" s="3325">
        <v>240</v>
      </c>
      <c r="G1312" s="3326">
        <v>41730</v>
      </c>
      <c r="H1312" s="3326">
        <v>42003</v>
      </c>
      <c r="I1312" s="3326">
        <v>42094</v>
      </c>
      <c r="J1312" s="3324"/>
    </row>
    <row r="1313" spans="1:12" s="3327" customFormat="1" ht="13.5" customHeight="1">
      <c r="A1313" s="3354"/>
      <c r="B1313" s="3368" t="s">
        <v>3867</v>
      </c>
      <c r="C1313" s="3324" t="s">
        <v>4019</v>
      </c>
      <c r="D1313" s="3344" t="s">
        <v>4040</v>
      </c>
      <c r="E1313" s="3325">
        <v>146.9</v>
      </c>
      <c r="F1313" s="3325">
        <v>270</v>
      </c>
      <c r="G1313" s="3326">
        <v>42005</v>
      </c>
      <c r="H1313" s="3326">
        <v>42093</v>
      </c>
      <c r="I1313" s="3326">
        <v>42094</v>
      </c>
      <c r="J1313" s="3324"/>
    </row>
    <row r="1314" spans="1:12" s="3327" customFormat="1" ht="13.5" customHeight="1">
      <c r="A1314" s="3354"/>
      <c r="B1314" s="3369" t="s">
        <v>3867</v>
      </c>
      <c r="C1314" s="3336" t="s">
        <v>4019</v>
      </c>
      <c r="D1314" s="3345" t="s">
        <v>4040</v>
      </c>
      <c r="E1314" s="3339">
        <v>146.9</v>
      </c>
      <c r="F1314" s="3339">
        <v>270</v>
      </c>
      <c r="G1314" s="3340">
        <v>42095</v>
      </c>
      <c r="H1314" s="3340">
        <v>42459</v>
      </c>
      <c r="I1314" s="3340">
        <v>42460</v>
      </c>
      <c r="J1314" s="3324"/>
    </row>
    <row r="1315" spans="1:12" s="3327" customFormat="1" ht="13.5" customHeight="1">
      <c r="A1315" s="3354"/>
      <c r="B1315" s="3369" t="s">
        <v>3867</v>
      </c>
      <c r="C1315" s="3336" t="s">
        <v>4019</v>
      </c>
      <c r="D1315" s="3345" t="s">
        <v>4040</v>
      </c>
      <c r="E1315" s="3339">
        <v>146.9</v>
      </c>
      <c r="F1315" s="3339">
        <v>270</v>
      </c>
      <c r="G1315" s="3340">
        <v>42461</v>
      </c>
      <c r="H1315" s="3340">
        <v>42824</v>
      </c>
      <c r="I1315" s="3340">
        <v>42825</v>
      </c>
      <c r="J1315" s="3324"/>
    </row>
    <row r="1316" spans="1:12" s="3327" customFormat="1" ht="13.5" customHeight="1">
      <c r="A1316" s="3354"/>
      <c r="B1316" s="3370" t="s">
        <v>3867</v>
      </c>
      <c r="C1316" s="3331" t="s">
        <v>4042</v>
      </c>
      <c r="D1316" s="3346" t="s">
        <v>4043</v>
      </c>
      <c r="E1316" s="3332">
        <v>146.9</v>
      </c>
      <c r="F1316" s="3332">
        <v>275</v>
      </c>
      <c r="G1316" s="3333">
        <v>42826</v>
      </c>
      <c r="H1316" s="3333">
        <v>42845</v>
      </c>
      <c r="I1316" s="3333">
        <v>42886</v>
      </c>
      <c r="J1316" s="3324"/>
      <c r="K1316" s="3334">
        <f t="shared" ref="K1316:K1318" si="137">E1316</f>
        <v>146.9</v>
      </c>
      <c r="L1316" s="3334">
        <f t="shared" ref="L1316:L1318" si="138">F1316/30</f>
        <v>9.1666666666666661</v>
      </c>
    </row>
    <row r="1317" spans="1:12" s="3327" customFormat="1" ht="13.5" customHeight="1">
      <c r="A1317" s="3354"/>
      <c r="B1317" s="3370" t="s">
        <v>3867</v>
      </c>
      <c r="C1317" s="3331" t="s">
        <v>4044</v>
      </c>
      <c r="D1317" s="3346" t="s">
        <v>4043</v>
      </c>
      <c r="E1317" s="3332">
        <v>146.9</v>
      </c>
      <c r="F1317" s="3332">
        <v>345</v>
      </c>
      <c r="G1317" s="3333">
        <v>42846</v>
      </c>
      <c r="H1317" s="3333">
        <v>42885</v>
      </c>
      <c r="I1317" s="3333">
        <v>42978</v>
      </c>
      <c r="J1317" s="3324"/>
      <c r="K1317" s="3334">
        <f t="shared" si="137"/>
        <v>146.9</v>
      </c>
      <c r="L1317" s="3334">
        <f t="shared" si="138"/>
        <v>11.5</v>
      </c>
    </row>
    <row r="1318" spans="1:12" s="3327" customFormat="1" ht="13.5" customHeight="1">
      <c r="A1318" s="3354" t="s">
        <v>3872</v>
      </c>
      <c r="B1318" s="3370" t="s">
        <v>3867</v>
      </c>
      <c r="C1318" s="3331" t="s">
        <v>4044</v>
      </c>
      <c r="D1318" s="3346" t="s">
        <v>4043</v>
      </c>
      <c r="E1318" s="3332">
        <v>146.9</v>
      </c>
      <c r="F1318" s="3332">
        <v>360</v>
      </c>
      <c r="G1318" s="3333">
        <v>42887</v>
      </c>
      <c r="H1318" s="3333">
        <v>43130</v>
      </c>
      <c r="I1318" s="3333">
        <v>43190</v>
      </c>
      <c r="J1318" s="3324"/>
      <c r="K1318" s="3334">
        <f t="shared" si="137"/>
        <v>146.9</v>
      </c>
      <c r="L1318" s="3334">
        <f t="shared" si="138"/>
        <v>12</v>
      </c>
    </row>
    <row r="1319" spans="1:12" s="3327" customFormat="1" ht="12.75" customHeight="1">
      <c r="A1319" s="3355"/>
      <c r="B1319" s="3371" t="s">
        <v>3867</v>
      </c>
      <c r="C1319" s="3372" t="s">
        <v>4045</v>
      </c>
      <c r="D1319" s="3336" t="s">
        <v>4046</v>
      </c>
      <c r="E1319" s="3339">
        <v>401.2</v>
      </c>
      <c r="F1319" s="3339">
        <v>300</v>
      </c>
      <c r="G1319" s="3340">
        <v>41000</v>
      </c>
      <c r="H1319" s="3340">
        <v>41363</v>
      </c>
      <c r="I1319" s="3340">
        <v>41364</v>
      </c>
      <c r="J1319" s="3336"/>
    </row>
    <row r="1320" spans="1:12" s="3327" customFormat="1" ht="13.5" customHeight="1">
      <c r="A1320" s="3354"/>
      <c r="B1320" s="3368" t="s">
        <v>3867</v>
      </c>
      <c r="C1320" s="3324" t="s">
        <v>4045</v>
      </c>
      <c r="D1320" s="3344" t="s">
        <v>3878</v>
      </c>
      <c r="E1320" s="3325">
        <v>401.2</v>
      </c>
      <c r="F1320" s="3325">
        <v>292</v>
      </c>
      <c r="G1320" s="3326">
        <v>41730</v>
      </c>
      <c r="H1320" s="3326">
        <v>42093</v>
      </c>
      <c r="I1320" s="3326">
        <v>42094</v>
      </c>
      <c r="J1320" s="3324"/>
    </row>
    <row r="1321" spans="1:12" s="3327" customFormat="1" ht="13.5" customHeight="1">
      <c r="A1321" s="3354"/>
      <c r="B1321" s="3369" t="s">
        <v>3867</v>
      </c>
      <c r="C1321" s="3336" t="s">
        <v>4045</v>
      </c>
      <c r="D1321" s="3345" t="s">
        <v>3878</v>
      </c>
      <c r="E1321" s="3339">
        <v>401.2</v>
      </c>
      <c r="F1321" s="3339">
        <v>305</v>
      </c>
      <c r="G1321" s="3340">
        <v>42095</v>
      </c>
      <c r="H1321" s="3340">
        <v>42459</v>
      </c>
      <c r="I1321" s="3340">
        <v>42460</v>
      </c>
      <c r="J1321" s="3324"/>
    </row>
    <row r="1322" spans="1:12" s="3327" customFormat="1" ht="13.5" customHeight="1">
      <c r="A1322" s="3354"/>
      <c r="B1322" s="3369" t="s">
        <v>3867</v>
      </c>
      <c r="C1322" s="3336" t="s">
        <v>4045</v>
      </c>
      <c r="D1322" s="3345" t="s">
        <v>3878</v>
      </c>
      <c r="E1322" s="3339">
        <v>401.2</v>
      </c>
      <c r="F1322" s="3339">
        <v>310</v>
      </c>
      <c r="G1322" s="3340">
        <v>42461</v>
      </c>
      <c r="H1322" s="3340">
        <v>42653</v>
      </c>
      <c r="I1322" s="3340">
        <v>42825</v>
      </c>
      <c r="J1322" s="3324"/>
    </row>
    <row r="1323" spans="1:12" s="3327" customFormat="1" ht="13.5" customHeight="1">
      <c r="A1323" s="3354"/>
      <c r="B1323" s="3369" t="s">
        <v>3867</v>
      </c>
      <c r="C1323" s="3336" t="s">
        <v>4045</v>
      </c>
      <c r="D1323" s="3345" t="s">
        <v>3878</v>
      </c>
      <c r="E1323" s="3339">
        <v>237.36</v>
      </c>
      <c r="F1323" s="3339">
        <v>310</v>
      </c>
      <c r="G1323" s="3340">
        <v>42654</v>
      </c>
      <c r="H1323" s="3340">
        <v>42824</v>
      </c>
      <c r="I1323" s="3340">
        <v>42825</v>
      </c>
      <c r="J1323" s="3324"/>
    </row>
    <row r="1324" spans="1:12" s="3327" customFormat="1" ht="13.5" customHeight="1">
      <c r="A1324" s="3354"/>
      <c r="B1324" s="3370" t="s">
        <v>3867</v>
      </c>
      <c r="C1324" s="3331" t="s">
        <v>4045</v>
      </c>
      <c r="D1324" s="3346" t="s">
        <v>3878</v>
      </c>
      <c r="E1324" s="3332">
        <v>237.36</v>
      </c>
      <c r="F1324" s="3332">
        <v>320</v>
      </c>
      <c r="G1324" s="3333">
        <v>42826</v>
      </c>
      <c r="H1324" s="3333">
        <v>42885</v>
      </c>
      <c r="I1324" s="3333">
        <v>42886</v>
      </c>
      <c r="J1324" s="3324"/>
      <c r="K1324" s="3334">
        <f t="shared" ref="K1324:K1325" si="139">E1324</f>
        <v>237.36</v>
      </c>
      <c r="L1324" s="3334">
        <f t="shared" ref="L1324:L1325" si="140">F1324/30</f>
        <v>10.666666666666666</v>
      </c>
    </row>
    <row r="1325" spans="1:12" s="3327" customFormat="1" ht="13.5" customHeight="1">
      <c r="A1325" s="3354" t="s">
        <v>3872</v>
      </c>
      <c r="B1325" s="3370" t="s">
        <v>3867</v>
      </c>
      <c r="C1325" s="3331" t="s">
        <v>4045</v>
      </c>
      <c r="D1325" s="3346" t="s">
        <v>3878</v>
      </c>
      <c r="E1325" s="3332">
        <v>237.36</v>
      </c>
      <c r="F1325" s="3332">
        <v>335</v>
      </c>
      <c r="G1325" s="3333">
        <v>42887</v>
      </c>
      <c r="H1325" s="3333">
        <v>43130</v>
      </c>
      <c r="I1325" s="3333">
        <v>43190</v>
      </c>
      <c r="J1325" s="3324"/>
      <c r="K1325" s="3334">
        <f t="shared" si="139"/>
        <v>237.36</v>
      </c>
      <c r="L1325" s="3334">
        <f t="shared" si="140"/>
        <v>11.166666666666666</v>
      </c>
    </row>
    <row r="1326" spans="1:12" s="3327" customFormat="1" ht="13.5" customHeight="1">
      <c r="A1326" s="3354"/>
      <c r="B1326" s="3369" t="s">
        <v>3867</v>
      </c>
      <c r="C1326" s="3336" t="s">
        <v>4047</v>
      </c>
      <c r="D1326" s="3345" t="s">
        <v>3878</v>
      </c>
      <c r="E1326" s="3339">
        <v>163.84</v>
      </c>
      <c r="F1326" s="3339">
        <v>310</v>
      </c>
      <c r="G1326" s="3340">
        <v>42654</v>
      </c>
      <c r="H1326" s="3340">
        <v>42824</v>
      </c>
      <c r="I1326" s="3340">
        <v>42825</v>
      </c>
      <c r="J1326" s="3324"/>
    </row>
    <row r="1327" spans="1:12" s="3327" customFormat="1" ht="13.5" customHeight="1">
      <c r="A1327" s="3354"/>
      <c r="B1327" s="3370" t="s">
        <v>3867</v>
      </c>
      <c r="C1327" s="3331" t="s">
        <v>4047</v>
      </c>
      <c r="D1327" s="3346" t="s">
        <v>4048</v>
      </c>
      <c r="E1327" s="3332">
        <v>163.84</v>
      </c>
      <c r="F1327" s="3332">
        <v>320</v>
      </c>
      <c r="G1327" s="3333">
        <v>42826</v>
      </c>
      <c r="H1327" s="3333">
        <v>42885</v>
      </c>
      <c r="I1327" s="3333">
        <v>42886</v>
      </c>
      <c r="J1327" s="3324"/>
      <c r="K1327" s="3334">
        <f t="shared" ref="K1327:K1328" si="141">E1327</f>
        <v>163.84</v>
      </c>
      <c r="L1327" s="3334">
        <f t="shared" ref="L1327:L1328" si="142">F1327/30</f>
        <v>10.666666666666666</v>
      </c>
    </row>
    <row r="1328" spans="1:12" s="3327" customFormat="1" ht="13.5" customHeight="1">
      <c r="A1328" s="3354" t="s">
        <v>3872</v>
      </c>
      <c r="B1328" s="3370" t="s">
        <v>3867</v>
      </c>
      <c r="C1328" s="3331" t="s">
        <v>4047</v>
      </c>
      <c r="D1328" s="3346" t="s">
        <v>4048</v>
      </c>
      <c r="E1328" s="3332">
        <v>163.84</v>
      </c>
      <c r="F1328" s="3332">
        <v>335</v>
      </c>
      <c r="G1328" s="3333">
        <v>42887</v>
      </c>
      <c r="H1328" s="3333">
        <v>43130</v>
      </c>
      <c r="I1328" s="3333">
        <v>43190</v>
      </c>
      <c r="J1328" s="3324"/>
      <c r="K1328" s="3334">
        <f t="shared" si="141"/>
        <v>163.84</v>
      </c>
      <c r="L1328" s="3334">
        <f t="shared" si="142"/>
        <v>11.166666666666666</v>
      </c>
    </row>
    <row r="1329" spans="1:12" s="3327" customFormat="1" ht="12.75" customHeight="1">
      <c r="A1329" s="3355"/>
      <c r="B1329" s="3371" t="s">
        <v>3867</v>
      </c>
      <c r="C1329" s="3372" t="s">
        <v>4049</v>
      </c>
      <c r="D1329" s="3336" t="s">
        <v>4050</v>
      </c>
      <c r="E1329" s="3339">
        <v>71.5</v>
      </c>
      <c r="F1329" s="3339">
        <v>305</v>
      </c>
      <c r="G1329" s="3340">
        <v>41000</v>
      </c>
      <c r="H1329" s="3340">
        <v>41363</v>
      </c>
      <c r="I1329" s="3340">
        <v>41364</v>
      </c>
      <c r="J1329" s="3336"/>
    </row>
    <row r="1330" spans="1:12" s="3327" customFormat="1" ht="13.5" customHeight="1">
      <c r="A1330" s="3354"/>
      <c r="B1330" s="3368" t="s">
        <v>3867</v>
      </c>
      <c r="C1330" s="3324" t="s">
        <v>4051</v>
      </c>
      <c r="D1330" s="3344" t="s">
        <v>4040</v>
      </c>
      <c r="E1330" s="3325">
        <v>61.7</v>
      </c>
      <c r="F1330" s="3325">
        <v>270</v>
      </c>
      <c r="G1330" s="3326">
        <v>41699</v>
      </c>
      <c r="H1330" s="3326">
        <v>42093</v>
      </c>
      <c r="I1330" s="3326">
        <v>42094</v>
      </c>
      <c r="J1330" s="3324"/>
    </row>
    <row r="1331" spans="1:12" s="3327" customFormat="1" ht="13.5" customHeight="1">
      <c r="A1331" s="3354"/>
      <c r="B1331" s="3369" t="s">
        <v>3867</v>
      </c>
      <c r="C1331" s="3336" t="s">
        <v>4051</v>
      </c>
      <c r="D1331" s="3345" t="s">
        <v>4040</v>
      </c>
      <c r="E1331" s="3339">
        <v>61.7</v>
      </c>
      <c r="F1331" s="3339">
        <v>280</v>
      </c>
      <c r="G1331" s="3340">
        <v>42095</v>
      </c>
      <c r="H1331" s="3340">
        <v>42381</v>
      </c>
      <c r="I1331" s="3340">
        <v>42460</v>
      </c>
      <c r="J1331" s="3324"/>
    </row>
    <row r="1332" spans="1:12" s="3327" customFormat="1" ht="13.5" customHeight="1">
      <c r="A1332" s="3354"/>
      <c r="B1332" s="3369" t="s">
        <v>3867</v>
      </c>
      <c r="C1332" s="3336" t="s">
        <v>4052</v>
      </c>
      <c r="D1332" s="3345" t="s">
        <v>4053</v>
      </c>
      <c r="E1332" s="3339">
        <v>125.6</v>
      </c>
      <c r="F1332" s="3339">
        <v>340</v>
      </c>
      <c r="G1332" s="3340">
        <v>42382</v>
      </c>
      <c r="H1332" s="3340">
        <v>42399</v>
      </c>
      <c r="I1332" s="3340">
        <v>42460</v>
      </c>
      <c r="J1332" s="3324"/>
    </row>
    <row r="1333" spans="1:12" s="3327" customFormat="1" ht="13.5" customHeight="1">
      <c r="A1333" s="3354"/>
      <c r="B1333" s="3369" t="s">
        <v>3867</v>
      </c>
      <c r="C1333" s="3336" t="s">
        <v>4052</v>
      </c>
      <c r="D1333" s="3345" t="s">
        <v>4053</v>
      </c>
      <c r="E1333" s="3338">
        <v>142.79</v>
      </c>
      <c r="F1333" s="3339">
        <v>340</v>
      </c>
      <c r="G1333" s="3340">
        <v>42401</v>
      </c>
      <c r="H1333" s="3340">
        <v>42459</v>
      </c>
      <c r="I1333" s="3340">
        <v>42460</v>
      </c>
      <c r="J1333" s="3324"/>
    </row>
    <row r="1334" spans="1:12" s="3327" customFormat="1" ht="13.5" customHeight="1">
      <c r="A1334" s="3354"/>
      <c r="B1334" s="3369" t="s">
        <v>3867</v>
      </c>
      <c r="C1334" s="3336" t="s">
        <v>4052</v>
      </c>
      <c r="D1334" s="3345" t="s">
        <v>4053</v>
      </c>
      <c r="E1334" s="3339">
        <v>142.79</v>
      </c>
      <c r="F1334" s="3339">
        <v>340</v>
      </c>
      <c r="G1334" s="3340">
        <v>42461</v>
      </c>
      <c r="H1334" s="3340">
        <v>42824</v>
      </c>
      <c r="I1334" s="3340">
        <v>42825</v>
      </c>
      <c r="J1334" s="3324"/>
    </row>
    <row r="1335" spans="1:12" s="3327" customFormat="1" ht="13.5" customHeight="1">
      <c r="A1335" s="3354"/>
      <c r="B1335" s="3370" t="s">
        <v>3867</v>
      </c>
      <c r="C1335" s="3331" t="s">
        <v>4052</v>
      </c>
      <c r="D1335" s="3346" t="s">
        <v>4053</v>
      </c>
      <c r="E1335" s="3332">
        <v>142.79</v>
      </c>
      <c r="F1335" s="3332">
        <v>330</v>
      </c>
      <c r="G1335" s="3333">
        <v>42826</v>
      </c>
      <c r="H1335" s="3333">
        <v>42885</v>
      </c>
      <c r="I1335" s="3333">
        <v>42886</v>
      </c>
      <c r="J1335" s="3324"/>
      <c r="K1335" s="3334">
        <f t="shared" ref="K1335:K1336" si="143">E1335</f>
        <v>142.79</v>
      </c>
      <c r="L1335" s="3334">
        <f t="shared" ref="L1335:L1336" si="144">F1335/30</f>
        <v>11</v>
      </c>
    </row>
    <row r="1336" spans="1:12" s="3327" customFormat="1" ht="13.5" customHeight="1">
      <c r="A1336" s="3354" t="s">
        <v>3872</v>
      </c>
      <c r="B1336" s="3370" t="s">
        <v>3867</v>
      </c>
      <c r="C1336" s="3331" t="s">
        <v>4052</v>
      </c>
      <c r="D1336" s="3346" t="s">
        <v>4053</v>
      </c>
      <c r="E1336" s="3332">
        <v>142.79</v>
      </c>
      <c r="F1336" s="3332">
        <v>350</v>
      </c>
      <c r="G1336" s="3333">
        <v>42887</v>
      </c>
      <c r="H1336" s="3333">
        <v>43130</v>
      </c>
      <c r="I1336" s="3333">
        <v>43190</v>
      </c>
      <c r="J1336" s="3324"/>
      <c r="K1336" s="3334">
        <f t="shared" si="143"/>
        <v>142.79</v>
      </c>
      <c r="L1336" s="3334">
        <f t="shared" si="144"/>
        <v>11.666666666666666</v>
      </c>
    </row>
    <row r="1337" spans="1:12" s="3327" customFormat="1" ht="13.5" customHeight="1">
      <c r="A1337" s="3355"/>
      <c r="B1337" s="3369" t="s">
        <v>3867</v>
      </c>
      <c r="C1337" s="3336" t="s">
        <v>4054</v>
      </c>
      <c r="D1337" s="3336" t="s">
        <v>4055</v>
      </c>
      <c r="E1337" s="3339">
        <v>108.9</v>
      </c>
      <c r="F1337" s="3339">
        <v>320</v>
      </c>
      <c r="G1337" s="3340">
        <v>41000</v>
      </c>
      <c r="H1337" s="3340">
        <v>41363</v>
      </c>
      <c r="I1337" s="3340">
        <v>41364</v>
      </c>
      <c r="J1337" s="3336"/>
    </row>
    <row r="1338" spans="1:12" s="3327" customFormat="1" ht="13.5" customHeight="1">
      <c r="A1338" s="3354"/>
      <c r="B1338" s="3368" t="s">
        <v>3867</v>
      </c>
      <c r="C1338" s="3324" t="s">
        <v>4056</v>
      </c>
      <c r="D1338" s="3344" t="s">
        <v>4034</v>
      </c>
      <c r="E1338" s="3325">
        <v>108.9</v>
      </c>
      <c r="F1338" s="3325">
        <v>330</v>
      </c>
      <c r="G1338" s="3326">
        <v>41699</v>
      </c>
      <c r="H1338" s="3326">
        <v>42093</v>
      </c>
      <c r="I1338" s="3326">
        <v>42094</v>
      </c>
      <c r="J1338" s="3324"/>
    </row>
    <row r="1339" spans="1:12" s="3327" customFormat="1" ht="13.5" customHeight="1">
      <c r="A1339" s="3354"/>
      <c r="B1339" s="3369" t="s">
        <v>3867</v>
      </c>
      <c r="C1339" s="3336" t="s">
        <v>4056</v>
      </c>
      <c r="D1339" s="3345" t="s">
        <v>4034</v>
      </c>
      <c r="E1339" s="3339">
        <v>108.9</v>
      </c>
      <c r="F1339" s="3339">
        <v>330</v>
      </c>
      <c r="G1339" s="3340">
        <v>42095</v>
      </c>
      <c r="H1339" s="3340">
        <v>42154</v>
      </c>
      <c r="I1339" s="3340">
        <v>42460</v>
      </c>
      <c r="J1339" s="3324"/>
    </row>
    <row r="1340" spans="1:12" s="3327" customFormat="1" ht="13.5" customHeight="1">
      <c r="A1340" s="3354"/>
      <c r="B1340" s="3369" t="s">
        <v>3867</v>
      </c>
      <c r="C1340" s="3336" t="s">
        <v>4057</v>
      </c>
      <c r="D1340" s="3345" t="s">
        <v>4034</v>
      </c>
      <c r="E1340" s="3339">
        <v>108.9</v>
      </c>
      <c r="F1340" s="3339">
        <v>330</v>
      </c>
      <c r="G1340" s="3340">
        <v>42156</v>
      </c>
      <c r="H1340" s="3340">
        <v>42381</v>
      </c>
      <c r="I1340" s="3340">
        <v>42460</v>
      </c>
      <c r="J1340" s="3324"/>
    </row>
    <row r="1341" spans="1:12" s="3327" customFormat="1" ht="13.5" customHeight="1">
      <c r="A1341" s="3354"/>
      <c r="B1341" s="3369" t="s">
        <v>3867</v>
      </c>
      <c r="C1341" s="3336" t="s">
        <v>4057</v>
      </c>
      <c r="D1341" s="3345" t="s">
        <v>4034</v>
      </c>
      <c r="E1341" s="3339">
        <v>108.9</v>
      </c>
      <c r="F1341" s="3339">
        <v>465</v>
      </c>
      <c r="G1341" s="3340">
        <v>42382</v>
      </c>
      <c r="H1341" s="3340">
        <v>42399</v>
      </c>
      <c r="I1341" s="3340">
        <v>42460</v>
      </c>
      <c r="J1341" s="3324"/>
    </row>
    <row r="1342" spans="1:12" s="3327" customFormat="1" ht="13.5" customHeight="1">
      <c r="A1342" s="3355"/>
      <c r="B1342" s="3366" t="s">
        <v>3867</v>
      </c>
      <c r="C1342" s="3367" t="s">
        <v>4058</v>
      </c>
      <c r="D1342" s="3336" t="s">
        <v>4059</v>
      </c>
      <c r="E1342" s="3339">
        <v>169.6</v>
      </c>
      <c r="F1342" s="3339">
        <v>270</v>
      </c>
      <c r="G1342" s="3340">
        <v>41000</v>
      </c>
      <c r="H1342" s="3340">
        <v>41363</v>
      </c>
      <c r="I1342" s="3340">
        <v>41364</v>
      </c>
      <c r="J1342" s="3336"/>
    </row>
    <row r="1343" spans="1:12" s="3327" customFormat="1" ht="13.5" customHeight="1">
      <c r="A1343" s="3354"/>
      <c r="B1343" s="3368" t="s">
        <v>3867</v>
      </c>
      <c r="C1343" s="3324" t="s">
        <v>4060</v>
      </c>
      <c r="D1343" s="3344" t="s">
        <v>4021</v>
      </c>
      <c r="E1343" s="3325">
        <v>171.5</v>
      </c>
      <c r="F1343" s="3325">
        <v>210</v>
      </c>
      <c r="G1343" s="3326">
        <v>41699</v>
      </c>
      <c r="H1343" s="3326">
        <v>42003</v>
      </c>
      <c r="I1343" s="3326">
        <v>42094</v>
      </c>
      <c r="J1343" s="3324"/>
    </row>
    <row r="1344" spans="1:12" s="3327" customFormat="1" ht="13.5" customHeight="1">
      <c r="A1344" s="3354"/>
      <c r="B1344" s="3368" t="s">
        <v>3867</v>
      </c>
      <c r="C1344" s="3324" t="s">
        <v>4060</v>
      </c>
      <c r="D1344" s="3344" t="s">
        <v>4021</v>
      </c>
      <c r="E1344" s="3325">
        <v>171.5</v>
      </c>
      <c r="F1344" s="3325">
        <v>220</v>
      </c>
      <c r="G1344" s="3326">
        <v>42005</v>
      </c>
      <c r="H1344" s="3326">
        <v>42093</v>
      </c>
      <c r="I1344" s="3326">
        <v>42094</v>
      </c>
      <c r="J1344" s="3324"/>
    </row>
    <row r="1345" spans="1:12" s="3327" customFormat="1" ht="13.5" customHeight="1">
      <c r="A1345" s="3354"/>
      <c r="B1345" s="3369" t="s">
        <v>3867</v>
      </c>
      <c r="C1345" s="3336" t="s">
        <v>4061</v>
      </c>
      <c r="D1345" s="3345" t="s">
        <v>4021</v>
      </c>
      <c r="E1345" s="3339">
        <v>171.5</v>
      </c>
      <c r="F1345" s="3339">
        <v>220</v>
      </c>
      <c r="G1345" s="3340">
        <v>42095</v>
      </c>
      <c r="H1345" s="3340">
        <v>42368</v>
      </c>
      <c r="I1345" s="3340">
        <v>42460</v>
      </c>
      <c r="J1345" s="3324"/>
    </row>
    <row r="1346" spans="1:12" s="3327" customFormat="1" ht="13.5" customHeight="1">
      <c r="A1346" s="3355"/>
      <c r="B1346" s="3380" t="s">
        <v>3867</v>
      </c>
      <c r="C1346" s="3381" t="s">
        <v>4062</v>
      </c>
      <c r="D1346" s="3336" t="s">
        <v>4063</v>
      </c>
      <c r="E1346" s="3339">
        <v>169.6</v>
      </c>
      <c r="F1346" s="3339">
        <v>280</v>
      </c>
      <c r="G1346" s="3340">
        <v>41365</v>
      </c>
      <c r="H1346" s="3340">
        <v>41698</v>
      </c>
      <c r="I1346" s="3340">
        <v>41729</v>
      </c>
      <c r="J1346" s="3336"/>
    </row>
    <row r="1347" spans="1:12" s="3327" customFormat="1" ht="12.75" customHeight="1">
      <c r="A1347" s="3354"/>
      <c r="B1347" s="3368" t="s">
        <v>3867</v>
      </c>
      <c r="C1347" s="3324" t="s">
        <v>4064</v>
      </c>
      <c r="D1347" s="3344" t="s">
        <v>4017</v>
      </c>
      <c r="E1347" s="3325">
        <v>169.6</v>
      </c>
      <c r="F1347" s="3325">
        <v>210</v>
      </c>
      <c r="G1347" s="3326">
        <v>41699</v>
      </c>
      <c r="H1347" s="3326">
        <v>42003</v>
      </c>
      <c r="I1347" s="3326">
        <v>42094</v>
      </c>
      <c r="J1347" s="3324"/>
    </row>
    <row r="1348" spans="1:12" s="3327" customFormat="1" ht="12.75" customHeight="1">
      <c r="A1348" s="3354"/>
      <c r="B1348" s="3368" t="s">
        <v>3867</v>
      </c>
      <c r="C1348" s="3324" t="s">
        <v>4064</v>
      </c>
      <c r="D1348" s="3344" t="s">
        <v>4017</v>
      </c>
      <c r="E1348" s="3325">
        <v>169.6</v>
      </c>
      <c r="F1348" s="3325">
        <v>220</v>
      </c>
      <c r="G1348" s="3326">
        <v>42005</v>
      </c>
      <c r="H1348" s="3326">
        <v>42093</v>
      </c>
      <c r="I1348" s="3326">
        <v>42094</v>
      </c>
      <c r="J1348" s="3324"/>
    </row>
    <row r="1349" spans="1:12" s="3327" customFormat="1" ht="12.75" customHeight="1">
      <c r="A1349" s="3354"/>
      <c r="B1349" s="3369" t="s">
        <v>3867</v>
      </c>
      <c r="C1349" s="3336" t="s">
        <v>4064</v>
      </c>
      <c r="D1349" s="3345" t="s">
        <v>4017</v>
      </c>
      <c r="E1349" s="3339">
        <v>169.6</v>
      </c>
      <c r="F1349" s="3339">
        <v>220</v>
      </c>
      <c r="G1349" s="3340">
        <v>42095</v>
      </c>
      <c r="H1349" s="3340">
        <v>42381</v>
      </c>
      <c r="I1349" s="3340">
        <v>42460</v>
      </c>
      <c r="J1349" s="3324"/>
    </row>
    <row r="1350" spans="1:12" s="3327" customFormat="1" ht="12.75" customHeight="1">
      <c r="A1350" s="3354"/>
      <c r="B1350" s="3369" t="s">
        <v>3867</v>
      </c>
      <c r="C1350" s="3336" t="s">
        <v>4064</v>
      </c>
      <c r="D1350" s="3345" t="s">
        <v>4017</v>
      </c>
      <c r="E1350" s="3339">
        <v>169.6</v>
      </c>
      <c r="F1350" s="3339">
        <v>465</v>
      </c>
      <c r="G1350" s="3340">
        <v>42382</v>
      </c>
      <c r="H1350" s="3340">
        <v>42399</v>
      </c>
      <c r="I1350" s="3340">
        <v>42460</v>
      </c>
      <c r="J1350" s="3324"/>
    </row>
    <row r="1351" spans="1:12" s="3327" customFormat="1" ht="14.25" customHeight="1">
      <c r="A1351" s="3354"/>
      <c r="B1351" s="3369" t="s">
        <v>3867</v>
      </c>
      <c r="C1351" s="3336" t="s">
        <v>4052</v>
      </c>
      <c r="D1351" s="3345" t="s">
        <v>4065</v>
      </c>
      <c r="E1351" s="3338">
        <v>454.91</v>
      </c>
      <c r="F1351" s="3339">
        <v>320</v>
      </c>
      <c r="G1351" s="3340">
        <v>42401</v>
      </c>
      <c r="H1351" s="3340">
        <v>42459</v>
      </c>
      <c r="I1351" s="3340">
        <v>42460</v>
      </c>
      <c r="J1351" s="3324"/>
    </row>
    <row r="1352" spans="1:12" s="3327" customFormat="1" ht="12.75" customHeight="1">
      <c r="A1352" s="3354"/>
      <c r="B1352" s="3369" t="s">
        <v>3867</v>
      </c>
      <c r="C1352" s="3336" t="s">
        <v>4052</v>
      </c>
      <c r="D1352" s="3345" t="s">
        <v>4065</v>
      </c>
      <c r="E1352" s="3339">
        <v>454.91</v>
      </c>
      <c r="F1352" s="3339">
        <v>320</v>
      </c>
      <c r="G1352" s="3340">
        <v>42461</v>
      </c>
      <c r="H1352" s="3340">
        <v>42824</v>
      </c>
      <c r="I1352" s="3340">
        <v>42825</v>
      </c>
      <c r="J1352" s="3324"/>
    </row>
    <row r="1353" spans="1:12" s="3327" customFormat="1" ht="12.75" customHeight="1">
      <c r="A1353" s="3354"/>
      <c r="B1353" s="3370" t="s">
        <v>3867</v>
      </c>
      <c r="C1353" s="3331" t="s">
        <v>4052</v>
      </c>
      <c r="D1353" s="3346" t="s">
        <v>4065</v>
      </c>
      <c r="E1353" s="3332">
        <v>454.91</v>
      </c>
      <c r="F1353" s="3332">
        <v>330</v>
      </c>
      <c r="G1353" s="3333">
        <v>42826</v>
      </c>
      <c r="H1353" s="3333">
        <v>42885</v>
      </c>
      <c r="I1353" s="3333">
        <v>42886</v>
      </c>
      <c r="J1353" s="3324"/>
      <c r="K1353" s="3334">
        <f t="shared" ref="K1353:K1354" si="145">E1353</f>
        <v>454.91</v>
      </c>
      <c r="L1353" s="3334">
        <f t="shared" ref="L1353:L1354" si="146">F1353/30</f>
        <v>11</v>
      </c>
    </row>
    <row r="1354" spans="1:12" s="3327" customFormat="1" ht="12.75" customHeight="1">
      <c r="A1354" s="3354" t="s">
        <v>3872</v>
      </c>
      <c r="B1354" s="3370" t="s">
        <v>3867</v>
      </c>
      <c r="C1354" s="3331" t="s">
        <v>4052</v>
      </c>
      <c r="D1354" s="3346" t="s">
        <v>4065</v>
      </c>
      <c r="E1354" s="3332">
        <v>454.91</v>
      </c>
      <c r="F1354" s="3332">
        <v>350</v>
      </c>
      <c r="G1354" s="3333">
        <v>42887</v>
      </c>
      <c r="H1354" s="3333">
        <v>43130</v>
      </c>
      <c r="I1354" s="3333">
        <v>43190</v>
      </c>
      <c r="J1354" s="3324"/>
      <c r="K1354" s="3334">
        <f t="shared" si="145"/>
        <v>454.91</v>
      </c>
      <c r="L1354" s="3334">
        <f t="shared" si="146"/>
        <v>11.666666666666666</v>
      </c>
    </row>
    <row r="1355" spans="1:12" s="3327" customFormat="1" ht="12.75" customHeight="1">
      <c r="A1355" s="3355"/>
      <c r="B1355" s="3369" t="s">
        <v>3867</v>
      </c>
      <c r="C1355" s="3336" t="s">
        <v>4066</v>
      </c>
      <c r="D1355" s="3336" t="s">
        <v>4067</v>
      </c>
      <c r="E1355" s="3339">
        <v>167.2</v>
      </c>
      <c r="F1355" s="3339">
        <v>260</v>
      </c>
      <c r="G1355" s="3340">
        <v>41000</v>
      </c>
      <c r="H1355" s="3340">
        <v>41363</v>
      </c>
      <c r="I1355" s="3340">
        <v>41364</v>
      </c>
      <c r="J1355" s="3336"/>
    </row>
    <row r="1356" spans="1:12" s="3327" customFormat="1" ht="12.75" customHeight="1">
      <c r="A1356" s="3354"/>
      <c r="B1356" s="3368" t="s">
        <v>3867</v>
      </c>
      <c r="C1356" s="3324" t="s">
        <v>4068</v>
      </c>
      <c r="D1356" s="3344" t="s">
        <v>4005</v>
      </c>
      <c r="E1356" s="3325">
        <v>163</v>
      </c>
      <c r="F1356" s="3325">
        <v>210</v>
      </c>
      <c r="G1356" s="3326">
        <v>41699</v>
      </c>
      <c r="H1356" s="3326">
        <v>42003</v>
      </c>
      <c r="I1356" s="3326">
        <v>42094</v>
      </c>
      <c r="J1356" s="3324"/>
    </row>
    <row r="1357" spans="1:12" s="3327" customFormat="1" ht="12.75" customHeight="1">
      <c r="A1357" s="3354"/>
      <c r="B1357" s="3368" t="s">
        <v>3867</v>
      </c>
      <c r="C1357" s="3324" t="s">
        <v>4068</v>
      </c>
      <c r="D1357" s="3344" t="s">
        <v>4005</v>
      </c>
      <c r="E1357" s="3325">
        <v>163</v>
      </c>
      <c r="F1357" s="3325">
        <v>220</v>
      </c>
      <c r="G1357" s="3326">
        <v>42005</v>
      </c>
      <c r="H1357" s="3326">
        <v>42093</v>
      </c>
      <c r="I1357" s="3326">
        <v>42094</v>
      </c>
      <c r="J1357" s="3324"/>
    </row>
    <row r="1358" spans="1:12" s="3327" customFormat="1" ht="12.75" customHeight="1">
      <c r="A1358" s="3354"/>
      <c r="B1358" s="3369" t="s">
        <v>3867</v>
      </c>
      <c r="C1358" s="3336" t="s">
        <v>4068</v>
      </c>
      <c r="D1358" s="3345" t="s">
        <v>4005</v>
      </c>
      <c r="E1358" s="3339">
        <v>163</v>
      </c>
      <c r="F1358" s="3339">
        <v>220</v>
      </c>
      <c r="G1358" s="3340">
        <v>42095</v>
      </c>
      <c r="H1358" s="3340">
        <v>42459</v>
      </c>
      <c r="I1358" s="3340">
        <v>42460</v>
      </c>
      <c r="J1358" s="3324"/>
    </row>
    <row r="1359" spans="1:12" s="3327" customFormat="1" ht="12.75" customHeight="1">
      <c r="A1359" s="3355"/>
      <c r="B1359" s="3371" t="s">
        <v>3867</v>
      </c>
      <c r="C1359" s="3372" t="s">
        <v>4069</v>
      </c>
      <c r="D1359" s="3336" t="s">
        <v>4070</v>
      </c>
      <c r="E1359" s="3339">
        <v>238.6</v>
      </c>
      <c r="F1359" s="3339">
        <v>270</v>
      </c>
      <c r="G1359" s="3340">
        <v>41000</v>
      </c>
      <c r="H1359" s="3340">
        <v>41363</v>
      </c>
      <c r="I1359" s="3340">
        <v>41364</v>
      </c>
      <c r="J1359" s="3336"/>
    </row>
    <row r="1360" spans="1:12" s="3327" customFormat="1" ht="12.75" customHeight="1">
      <c r="A1360" s="3354"/>
      <c r="B1360" s="3368" t="s">
        <v>3867</v>
      </c>
      <c r="C1360" s="3324" t="s">
        <v>4071</v>
      </c>
      <c r="D1360" s="3344" t="s">
        <v>3967</v>
      </c>
      <c r="E1360" s="3325">
        <v>60.8</v>
      </c>
      <c r="F1360" s="3325">
        <v>310</v>
      </c>
      <c r="G1360" s="3326">
        <v>41699</v>
      </c>
      <c r="H1360" s="3326">
        <v>42095</v>
      </c>
      <c r="I1360" s="3326">
        <v>42095</v>
      </c>
      <c r="J1360" s="3324"/>
    </row>
    <row r="1361" spans="1:12" s="3327" customFormat="1" ht="12.75" customHeight="1">
      <c r="A1361" s="3354"/>
      <c r="B1361" s="3369" t="s">
        <v>3867</v>
      </c>
      <c r="C1361" s="3336" t="s">
        <v>4071</v>
      </c>
      <c r="D1361" s="3345" t="s">
        <v>3967</v>
      </c>
      <c r="E1361" s="3339">
        <v>60.8</v>
      </c>
      <c r="F1361" s="3339">
        <v>310</v>
      </c>
      <c r="G1361" s="3340">
        <v>42096</v>
      </c>
      <c r="H1361" s="3340">
        <v>42459</v>
      </c>
      <c r="I1361" s="3340">
        <v>42460</v>
      </c>
      <c r="J1361" s="3324"/>
    </row>
    <row r="1362" spans="1:12" s="3327" customFormat="1" ht="13.5" customHeight="1">
      <c r="A1362" s="3354"/>
      <c r="B1362" s="3368" t="s">
        <v>3867</v>
      </c>
      <c r="C1362" s="3324" t="s">
        <v>4072</v>
      </c>
      <c r="D1362" s="3344" t="s">
        <v>3976</v>
      </c>
      <c r="E1362" s="3325">
        <v>40.4</v>
      </c>
      <c r="F1362" s="3325">
        <v>240</v>
      </c>
      <c r="G1362" s="3326">
        <v>41699</v>
      </c>
      <c r="H1362" s="3326">
        <v>41988</v>
      </c>
      <c r="I1362" s="3326">
        <v>42094</v>
      </c>
      <c r="J1362" s="3324"/>
    </row>
    <row r="1363" spans="1:12" s="3327" customFormat="1" ht="13.5" customHeight="1">
      <c r="A1363" s="3354"/>
      <c r="B1363" s="3368" t="s">
        <v>3867</v>
      </c>
      <c r="C1363" s="3324" t="s">
        <v>4071</v>
      </c>
      <c r="D1363" s="3344" t="s">
        <v>3976</v>
      </c>
      <c r="E1363" s="3325">
        <v>40.4</v>
      </c>
      <c r="F1363" s="3325">
        <v>240.56</v>
      </c>
      <c r="G1363" s="3326">
        <v>42025</v>
      </c>
      <c r="H1363" s="3326">
        <v>42093</v>
      </c>
      <c r="I1363" s="3326">
        <v>42094</v>
      </c>
      <c r="J1363" s="3324"/>
    </row>
    <row r="1364" spans="1:12" s="3327" customFormat="1" ht="13.5" customHeight="1">
      <c r="A1364" s="3354"/>
      <c r="B1364" s="3369" t="s">
        <v>3867</v>
      </c>
      <c r="C1364" s="3336" t="s">
        <v>4071</v>
      </c>
      <c r="D1364" s="3345" t="s">
        <v>3976</v>
      </c>
      <c r="E1364" s="3339">
        <v>40.4</v>
      </c>
      <c r="F1364" s="3339">
        <v>240</v>
      </c>
      <c r="G1364" s="3340">
        <v>42095</v>
      </c>
      <c r="H1364" s="3340">
        <v>42459</v>
      </c>
      <c r="I1364" s="3340">
        <v>42460</v>
      </c>
      <c r="J1364" s="3324"/>
    </row>
    <row r="1365" spans="1:12" s="3327" customFormat="1" ht="12.75" customHeight="1">
      <c r="A1365" s="3354"/>
      <c r="B1365" s="3368" t="s">
        <v>3867</v>
      </c>
      <c r="C1365" s="3324" t="s">
        <v>4073</v>
      </c>
      <c r="D1365" s="3344" t="s">
        <v>3982</v>
      </c>
      <c r="E1365" s="3325">
        <v>137.4</v>
      </c>
      <c r="F1365" s="3325">
        <v>210</v>
      </c>
      <c r="G1365" s="3326">
        <v>41699</v>
      </c>
      <c r="H1365" s="3326">
        <v>42003</v>
      </c>
      <c r="I1365" s="3326">
        <v>42094</v>
      </c>
      <c r="J1365" s="3324"/>
    </row>
    <row r="1366" spans="1:12" s="3327" customFormat="1" ht="12.75" customHeight="1">
      <c r="A1366" s="3354"/>
      <c r="B1366" s="3368" t="s">
        <v>3867</v>
      </c>
      <c r="C1366" s="3324" t="s">
        <v>4073</v>
      </c>
      <c r="D1366" s="3344" t="s">
        <v>3982</v>
      </c>
      <c r="E1366" s="3325">
        <v>137.4</v>
      </c>
      <c r="F1366" s="3325">
        <v>220</v>
      </c>
      <c r="G1366" s="3326">
        <v>42005</v>
      </c>
      <c r="H1366" s="3326">
        <v>42093</v>
      </c>
      <c r="I1366" s="3326">
        <v>42094</v>
      </c>
      <c r="J1366" s="3324"/>
    </row>
    <row r="1367" spans="1:12" s="3327" customFormat="1" ht="12.75" customHeight="1">
      <c r="A1367" s="3354"/>
      <c r="B1367" s="3369" t="s">
        <v>3867</v>
      </c>
      <c r="C1367" s="3336" t="s">
        <v>4073</v>
      </c>
      <c r="D1367" s="3345" t="s">
        <v>3982</v>
      </c>
      <c r="E1367" s="3339">
        <v>137.4</v>
      </c>
      <c r="F1367" s="3339">
        <v>220</v>
      </c>
      <c r="G1367" s="3340">
        <v>42095</v>
      </c>
      <c r="H1367" s="3340">
        <v>42459</v>
      </c>
      <c r="I1367" s="3340">
        <v>42460</v>
      </c>
      <c r="J1367" s="3324"/>
    </row>
    <row r="1368" spans="1:12" s="3327" customFormat="1" ht="12.75" customHeight="1">
      <c r="A1368" s="3354"/>
      <c r="B1368" s="3369" t="s">
        <v>3867</v>
      </c>
      <c r="C1368" s="3372" t="s">
        <v>3443</v>
      </c>
      <c r="D1368" s="3345" t="s">
        <v>4074</v>
      </c>
      <c r="E1368" s="3338">
        <v>411.61</v>
      </c>
      <c r="F1368" s="3339">
        <v>330</v>
      </c>
      <c r="G1368" s="3340">
        <v>42461</v>
      </c>
      <c r="H1368" s="3340">
        <v>42824</v>
      </c>
      <c r="I1368" s="3340">
        <v>42825</v>
      </c>
      <c r="J1368" s="3324"/>
    </row>
    <row r="1369" spans="1:12" s="3327" customFormat="1" ht="12.75" customHeight="1">
      <c r="A1369" s="3354"/>
      <c r="B1369" s="3370" t="s">
        <v>3867</v>
      </c>
      <c r="C1369" s="3378" t="s">
        <v>3443</v>
      </c>
      <c r="D1369" s="3378" t="s">
        <v>4075</v>
      </c>
      <c r="E1369" s="3332">
        <v>411.61</v>
      </c>
      <c r="F1369" s="3332">
        <v>335</v>
      </c>
      <c r="G1369" s="3333">
        <v>42826</v>
      </c>
      <c r="H1369" s="3333">
        <v>42885</v>
      </c>
      <c r="I1369" s="3333">
        <v>42886</v>
      </c>
      <c r="J1369" s="3324"/>
      <c r="K1369" s="3334">
        <f t="shared" ref="K1369:K1370" si="147">E1369</f>
        <v>411.61</v>
      </c>
      <c r="L1369" s="3334">
        <f t="shared" ref="L1369:L1370" si="148">F1369/30</f>
        <v>11.166666666666666</v>
      </c>
    </row>
    <row r="1370" spans="1:12" s="3327" customFormat="1" ht="12.75" customHeight="1">
      <c r="A1370" s="3354" t="s">
        <v>3872</v>
      </c>
      <c r="B1370" s="3370" t="s">
        <v>3867</v>
      </c>
      <c r="C1370" s="3378" t="s">
        <v>3443</v>
      </c>
      <c r="D1370" s="3378" t="s">
        <v>4075</v>
      </c>
      <c r="E1370" s="3332">
        <v>411.61</v>
      </c>
      <c r="F1370" s="3332">
        <v>350</v>
      </c>
      <c r="G1370" s="3333">
        <v>42887</v>
      </c>
      <c r="H1370" s="3333">
        <v>43130</v>
      </c>
      <c r="I1370" s="3333">
        <v>43190</v>
      </c>
      <c r="J1370" s="3324"/>
      <c r="K1370" s="3334">
        <f t="shared" si="147"/>
        <v>411.61</v>
      </c>
      <c r="L1370" s="3334">
        <f t="shared" si="148"/>
        <v>11.666666666666666</v>
      </c>
    </row>
    <row r="1371" spans="1:12" s="3327" customFormat="1" ht="12.75" customHeight="1">
      <c r="A1371" s="3355"/>
      <c r="B1371" s="3371" t="s">
        <v>3867</v>
      </c>
      <c r="C1371" s="3372" t="s">
        <v>4076</v>
      </c>
      <c r="D1371" s="3336" t="s">
        <v>4077</v>
      </c>
      <c r="E1371" s="3339">
        <v>139.19999999999999</v>
      </c>
      <c r="F1371" s="3339">
        <v>270</v>
      </c>
      <c r="G1371" s="3340">
        <v>41000</v>
      </c>
      <c r="H1371" s="3340">
        <v>41363</v>
      </c>
      <c r="I1371" s="3340">
        <v>41364</v>
      </c>
      <c r="J1371" s="3336"/>
    </row>
    <row r="1372" spans="1:12" s="3327" customFormat="1" ht="12.75" customHeight="1">
      <c r="A1372" s="3354"/>
      <c r="B1372" s="3368" t="s">
        <v>3867</v>
      </c>
      <c r="C1372" s="3324" t="s">
        <v>4076</v>
      </c>
      <c r="D1372" s="3344" t="s">
        <v>4078</v>
      </c>
      <c r="E1372" s="3325">
        <v>139.19999999999999</v>
      </c>
      <c r="F1372" s="3325">
        <v>160</v>
      </c>
      <c r="G1372" s="3326">
        <v>41730</v>
      </c>
      <c r="H1372" s="3326">
        <v>42093</v>
      </c>
      <c r="I1372" s="3326">
        <v>42094</v>
      </c>
      <c r="J1372" s="3324"/>
    </row>
    <row r="1373" spans="1:12" s="3327" customFormat="1" ht="12.75" customHeight="1">
      <c r="A1373" s="3354"/>
      <c r="B1373" s="3369" t="s">
        <v>3867</v>
      </c>
      <c r="C1373" s="3336" t="s">
        <v>4079</v>
      </c>
      <c r="D1373" s="3345" t="s">
        <v>4078</v>
      </c>
      <c r="E1373" s="3339">
        <v>127.1</v>
      </c>
      <c r="F1373" s="3339">
        <v>280</v>
      </c>
      <c r="G1373" s="3340">
        <v>42095</v>
      </c>
      <c r="H1373" s="3340">
        <v>42459</v>
      </c>
      <c r="I1373" s="3340">
        <v>42460</v>
      </c>
      <c r="J1373" s="3324"/>
    </row>
    <row r="1374" spans="1:12" s="3327" customFormat="1" ht="13.5" customHeight="1">
      <c r="A1374" s="3355"/>
      <c r="B1374" s="3371" t="s">
        <v>3867</v>
      </c>
      <c r="C1374" s="3372" t="s">
        <v>4080</v>
      </c>
      <c r="D1374" s="3336" t="s">
        <v>4081</v>
      </c>
      <c r="E1374" s="3339">
        <v>106.8</v>
      </c>
      <c r="F1374" s="3339">
        <v>270</v>
      </c>
      <c r="G1374" s="3340">
        <v>41000</v>
      </c>
      <c r="H1374" s="3340">
        <v>41363</v>
      </c>
      <c r="I1374" s="3340">
        <v>41364</v>
      </c>
      <c r="J1374" s="3336"/>
    </row>
    <row r="1375" spans="1:12" s="3327" customFormat="1" ht="13.5" customHeight="1">
      <c r="A1375" s="3354"/>
      <c r="B1375" s="3368" t="s">
        <v>3867</v>
      </c>
      <c r="C1375" s="3324" t="s">
        <v>4080</v>
      </c>
      <c r="D1375" s="3344" t="s">
        <v>4082</v>
      </c>
      <c r="E1375" s="3325">
        <v>106.8</v>
      </c>
      <c r="F1375" s="3325">
        <v>160</v>
      </c>
      <c r="G1375" s="3326">
        <v>41730</v>
      </c>
      <c r="H1375" s="3326">
        <v>42093</v>
      </c>
      <c r="I1375" s="3326">
        <v>42094</v>
      </c>
      <c r="J1375" s="3324"/>
    </row>
    <row r="1376" spans="1:12" s="3327" customFormat="1" ht="13.5" customHeight="1">
      <c r="A1376" s="3354"/>
      <c r="B1376" s="3369" t="s">
        <v>3867</v>
      </c>
      <c r="C1376" s="3336" t="s">
        <v>4028</v>
      </c>
      <c r="D1376" s="3345" t="s">
        <v>4082</v>
      </c>
      <c r="E1376" s="3339">
        <v>121.5</v>
      </c>
      <c r="F1376" s="3339">
        <v>280</v>
      </c>
      <c r="G1376" s="3340">
        <v>42095</v>
      </c>
      <c r="H1376" s="3340">
        <v>42459</v>
      </c>
      <c r="I1376" s="3340">
        <v>42460</v>
      </c>
      <c r="J1376" s="3324"/>
    </row>
    <row r="1377" spans="1:12" s="3327" customFormat="1" ht="13.5" customHeight="1">
      <c r="A1377" s="3354"/>
      <c r="B1377" s="3369" t="s">
        <v>3867</v>
      </c>
      <c r="C1377" s="3372" t="s">
        <v>4083</v>
      </c>
      <c r="D1377" s="3345" t="s">
        <v>4084</v>
      </c>
      <c r="E1377" s="3338">
        <v>256.2</v>
      </c>
      <c r="F1377" s="3339">
        <v>330</v>
      </c>
      <c r="G1377" s="3340">
        <v>42461</v>
      </c>
      <c r="H1377" s="3340">
        <v>42824</v>
      </c>
      <c r="I1377" s="3340">
        <v>42825</v>
      </c>
      <c r="J1377" s="3324"/>
    </row>
    <row r="1378" spans="1:12" s="3327" customFormat="1" ht="13.5" customHeight="1">
      <c r="A1378" s="3354"/>
      <c r="B1378" s="3370" t="s">
        <v>3867</v>
      </c>
      <c r="C1378" s="3378" t="s">
        <v>4085</v>
      </c>
      <c r="D1378" s="3346" t="s">
        <v>4082</v>
      </c>
      <c r="E1378" s="3332">
        <v>256.2</v>
      </c>
      <c r="F1378" s="3332">
        <v>330</v>
      </c>
      <c r="G1378" s="3333">
        <v>42826</v>
      </c>
      <c r="H1378" s="3333">
        <v>42885</v>
      </c>
      <c r="I1378" s="3333">
        <v>42886</v>
      </c>
      <c r="J1378" s="3324"/>
      <c r="K1378" s="3334">
        <f t="shared" ref="K1378:K1380" si="149">E1378</f>
        <v>256.2</v>
      </c>
      <c r="L1378" s="3334">
        <f t="shared" ref="L1378:L1380" si="150">F1378/30</f>
        <v>11</v>
      </c>
    </row>
    <row r="1379" spans="1:12" s="3327" customFormat="1" ht="13.5" customHeight="1">
      <c r="A1379" s="3354"/>
      <c r="B1379" s="3370" t="s">
        <v>3867</v>
      </c>
      <c r="C1379" s="3378" t="s">
        <v>4085</v>
      </c>
      <c r="D1379" s="3346" t="s">
        <v>4082</v>
      </c>
      <c r="E1379" s="3332">
        <v>256.2</v>
      </c>
      <c r="F1379" s="3332">
        <v>335</v>
      </c>
      <c r="G1379" s="3333">
        <v>42887</v>
      </c>
      <c r="H1379" s="3333">
        <v>43008</v>
      </c>
      <c r="I1379" s="3333">
        <v>43190</v>
      </c>
      <c r="J1379" s="3324"/>
      <c r="K1379" s="3334">
        <f t="shared" si="149"/>
        <v>256.2</v>
      </c>
      <c r="L1379" s="3334">
        <f t="shared" si="150"/>
        <v>11.166666666666666</v>
      </c>
    </row>
    <row r="1380" spans="1:12" s="3327" customFormat="1" ht="13.5" customHeight="1">
      <c r="A1380" s="3354" t="s">
        <v>3872</v>
      </c>
      <c r="B1380" s="3370" t="s">
        <v>3867</v>
      </c>
      <c r="C1380" s="3378" t="s">
        <v>4085</v>
      </c>
      <c r="D1380" s="3346" t="s">
        <v>4082</v>
      </c>
      <c r="E1380" s="3332">
        <v>256.2</v>
      </c>
      <c r="F1380" s="3332">
        <v>335</v>
      </c>
      <c r="G1380" s="3333">
        <v>43009</v>
      </c>
      <c r="H1380" s="3333">
        <v>43130</v>
      </c>
      <c r="I1380" s="3333">
        <v>43190</v>
      </c>
      <c r="J1380" s="3324"/>
      <c r="K1380" s="3334">
        <f t="shared" si="149"/>
        <v>256.2</v>
      </c>
      <c r="L1380" s="3334">
        <f t="shared" si="150"/>
        <v>11.166666666666666</v>
      </c>
    </row>
    <row r="1381" spans="1:12" s="3327" customFormat="1" ht="13.5" customHeight="1">
      <c r="A1381" s="3354"/>
      <c r="B1381" s="3375" t="s">
        <v>3867</v>
      </c>
      <c r="C1381" s="3379" t="s">
        <v>4086</v>
      </c>
      <c r="D1381" s="3324" t="s">
        <v>4087</v>
      </c>
      <c r="E1381" s="3325">
        <v>172.9</v>
      </c>
      <c r="F1381" s="3325">
        <v>270</v>
      </c>
      <c r="G1381" s="3326">
        <v>40634</v>
      </c>
      <c r="H1381" s="3326">
        <v>40846</v>
      </c>
      <c r="I1381" s="3326">
        <v>40999</v>
      </c>
      <c r="J1381" s="3324"/>
    </row>
    <row r="1382" spans="1:12" s="3327" customFormat="1" ht="13.5" customHeight="1">
      <c r="A1382" s="3354"/>
      <c r="B1382" s="3368" t="s">
        <v>3867</v>
      </c>
      <c r="C1382" s="3324" t="s">
        <v>4088</v>
      </c>
      <c r="D1382" s="3344" t="s">
        <v>4089</v>
      </c>
      <c r="E1382" s="3325">
        <v>123.3</v>
      </c>
      <c r="F1382" s="3325">
        <v>160</v>
      </c>
      <c r="G1382" s="3326">
        <v>41730</v>
      </c>
      <c r="H1382" s="3326">
        <v>42093</v>
      </c>
      <c r="I1382" s="3326">
        <v>42094</v>
      </c>
      <c r="J1382" s="3324"/>
    </row>
    <row r="1383" spans="1:12" s="3327" customFormat="1" ht="13.5" customHeight="1">
      <c r="A1383" s="3354"/>
      <c r="B1383" s="3369" t="s">
        <v>3867</v>
      </c>
      <c r="C1383" s="3336" t="s">
        <v>4090</v>
      </c>
      <c r="D1383" s="3345" t="s">
        <v>4089</v>
      </c>
      <c r="E1383" s="3339">
        <v>122</v>
      </c>
      <c r="F1383" s="3339">
        <v>300</v>
      </c>
      <c r="G1383" s="3340">
        <v>42095</v>
      </c>
      <c r="H1383" s="3340">
        <v>42459</v>
      </c>
      <c r="I1383" s="3340">
        <v>42460</v>
      </c>
      <c r="J1383" s="3324"/>
    </row>
    <row r="1384" spans="1:12" s="3327" customFormat="1" ht="13.5" customHeight="1">
      <c r="A1384" s="3354"/>
      <c r="B1384" s="3369" t="s">
        <v>3867</v>
      </c>
      <c r="C1384" s="3336" t="s">
        <v>4090</v>
      </c>
      <c r="D1384" s="3345" t="s">
        <v>4089</v>
      </c>
      <c r="E1384" s="3339">
        <v>122</v>
      </c>
      <c r="F1384" s="3339">
        <v>310</v>
      </c>
      <c r="G1384" s="3340">
        <v>42461</v>
      </c>
      <c r="H1384" s="3340">
        <v>42824</v>
      </c>
      <c r="I1384" s="3340">
        <v>42825</v>
      </c>
      <c r="J1384" s="3324"/>
    </row>
    <row r="1385" spans="1:12" s="3327" customFormat="1" ht="13.5" customHeight="1">
      <c r="A1385" s="3354"/>
      <c r="B1385" s="3370" t="s">
        <v>3867</v>
      </c>
      <c r="C1385" s="3331" t="s">
        <v>4090</v>
      </c>
      <c r="D1385" s="3346" t="s">
        <v>4089</v>
      </c>
      <c r="E1385" s="3332">
        <v>122</v>
      </c>
      <c r="F1385" s="3332">
        <v>320</v>
      </c>
      <c r="G1385" s="3333">
        <v>42826</v>
      </c>
      <c r="H1385" s="3333">
        <v>42885</v>
      </c>
      <c r="I1385" s="3333">
        <v>42886</v>
      </c>
      <c r="J1385" s="3324"/>
      <c r="K1385" s="3334">
        <f t="shared" ref="K1385:K1386" si="151">E1385</f>
        <v>122</v>
      </c>
      <c r="L1385" s="3334">
        <f t="shared" ref="L1385:L1386" si="152">F1385/30</f>
        <v>10.666666666666666</v>
      </c>
    </row>
    <row r="1386" spans="1:12" s="3327" customFormat="1" ht="13.5" customHeight="1">
      <c r="A1386" s="3354"/>
      <c r="B1386" s="3370" t="s">
        <v>3867</v>
      </c>
      <c r="C1386" s="3331" t="s">
        <v>4090</v>
      </c>
      <c r="D1386" s="3346" t="s">
        <v>4089</v>
      </c>
      <c r="E1386" s="3332">
        <v>122</v>
      </c>
      <c r="F1386" s="3332">
        <v>320</v>
      </c>
      <c r="G1386" s="3333">
        <v>42887</v>
      </c>
      <c r="H1386" s="3333">
        <v>42892</v>
      </c>
      <c r="I1386" s="3333">
        <v>43190</v>
      </c>
      <c r="J1386" s="3324"/>
      <c r="K1386" s="3334">
        <f t="shared" si="151"/>
        <v>122</v>
      </c>
      <c r="L1386" s="3334">
        <f t="shared" si="152"/>
        <v>10.666666666666666</v>
      </c>
    </row>
    <row r="1387" spans="1:12" s="3327" customFormat="1" ht="13.5" customHeight="1">
      <c r="A1387" s="3355"/>
      <c r="B1387" s="3371" t="s">
        <v>3867</v>
      </c>
      <c r="C1387" s="3372" t="s">
        <v>4091</v>
      </c>
      <c r="D1387" s="3336" t="s">
        <v>4092</v>
      </c>
      <c r="E1387" s="3339">
        <v>137.80000000000001</v>
      </c>
      <c r="F1387" s="3339">
        <v>280</v>
      </c>
      <c r="G1387" s="3340">
        <v>41000</v>
      </c>
      <c r="H1387" s="3340">
        <v>41363</v>
      </c>
      <c r="I1387" s="3340">
        <v>41364</v>
      </c>
      <c r="J1387" s="3336"/>
    </row>
    <row r="1388" spans="1:12" s="3327" customFormat="1" ht="13.5" customHeight="1">
      <c r="A1388" s="3354"/>
      <c r="B1388" s="3368" t="s">
        <v>3867</v>
      </c>
      <c r="C1388" s="3324" t="s">
        <v>4091</v>
      </c>
      <c r="D1388" s="3344" t="s">
        <v>4093</v>
      </c>
      <c r="E1388" s="3325">
        <v>137.80000000000001</v>
      </c>
      <c r="F1388" s="3325">
        <v>160</v>
      </c>
      <c r="G1388" s="3326">
        <v>41730</v>
      </c>
      <c r="H1388" s="3326">
        <v>42093</v>
      </c>
      <c r="I1388" s="3326">
        <v>42094</v>
      </c>
      <c r="J1388" s="3324"/>
    </row>
    <row r="1389" spans="1:12" s="3327" customFormat="1" ht="13.5" customHeight="1">
      <c r="A1389" s="3354"/>
      <c r="B1389" s="3369" t="s">
        <v>3867</v>
      </c>
      <c r="C1389" s="3336" t="s">
        <v>4094</v>
      </c>
      <c r="D1389" s="3345" t="s">
        <v>4093</v>
      </c>
      <c r="E1389" s="3339">
        <v>137.80000000000001</v>
      </c>
      <c r="F1389" s="3339">
        <v>330</v>
      </c>
      <c r="G1389" s="3340">
        <v>42095</v>
      </c>
      <c r="H1389" s="3340">
        <v>42459</v>
      </c>
      <c r="I1389" s="3340">
        <v>42460</v>
      </c>
      <c r="J1389" s="3324"/>
    </row>
    <row r="1390" spans="1:12" s="3327" customFormat="1" ht="13.5" customHeight="1">
      <c r="A1390" s="3354"/>
      <c r="B1390" s="3369" t="s">
        <v>3867</v>
      </c>
      <c r="C1390" s="3336" t="s">
        <v>4094</v>
      </c>
      <c r="D1390" s="3345" t="s">
        <v>4093</v>
      </c>
      <c r="E1390" s="3339">
        <v>137.80000000000001</v>
      </c>
      <c r="F1390" s="3339">
        <v>330</v>
      </c>
      <c r="G1390" s="3340">
        <v>42461</v>
      </c>
      <c r="H1390" s="3340">
        <v>42505</v>
      </c>
      <c r="I1390" s="3340">
        <v>42825</v>
      </c>
      <c r="J1390" s="3324"/>
    </row>
    <row r="1391" spans="1:12" s="3327" customFormat="1" ht="13.5" customHeight="1">
      <c r="A1391" s="3354"/>
      <c r="B1391" s="3369" t="s">
        <v>3867</v>
      </c>
      <c r="C1391" s="3372" t="s">
        <v>4095</v>
      </c>
      <c r="D1391" s="3345" t="s">
        <v>4093</v>
      </c>
      <c r="E1391" s="3339">
        <v>137.80000000000001</v>
      </c>
      <c r="F1391" s="3339">
        <v>350</v>
      </c>
      <c r="G1391" s="3340">
        <v>42506</v>
      </c>
      <c r="H1391" s="3340">
        <v>42824</v>
      </c>
      <c r="I1391" s="3340">
        <v>42825</v>
      </c>
      <c r="J1391" s="3324"/>
    </row>
    <row r="1392" spans="1:12" s="3327" customFormat="1" ht="13.5" customHeight="1">
      <c r="A1392" s="3354"/>
      <c r="B1392" s="3370" t="s">
        <v>3867</v>
      </c>
      <c r="C1392" s="3378" t="s">
        <v>4095</v>
      </c>
      <c r="D1392" s="3346" t="s">
        <v>4093</v>
      </c>
      <c r="E1392" s="3332">
        <v>137.80000000000001</v>
      </c>
      <c r="F1392" s="3332">
        <v>355</v>
      </c>
      <c r="G1392" s="3333">
        <v>42826</v>
      </c>
      <c r="H1392" s="3333">
        <v>42885</v>
      </c>
      <c r="I1392" s="3333">
        <v>42886</v>
      </c>
      <c r="J1392" s="3324"/>
      <c r="K1392" s="3334">
        <f t="shared" ref="K1392:K1394" si="153">E1392</f>
        <v>137.80000000000001</v>
      </c>
      <c r="L1392" s="3334">
        <f t="shared" ref="L1392:L1394" si="154">F1392/30</f>
        <v>11.833333333333334</v>
      </c>
    </row>
    <row r="1393" spans="1:12" s="3327" customFormat="1" ht="13.5" customHeight="1">
      <c r="A1393" s="3354"/>
      <c r="B1393" s="3370" t="s">
        <v>3867</v>
      </c>
      <c r="C1393" s="3378" t="s">
        <v>4095</v>
      </c>
      <c r="D1393" s="3346" t="s">
        <v>4093</v>
      </c>
      <c r="E1393" s="3332">
        <v>137.80000000000001</v>
      </c>
      <c r="F1393" s="3332">
        <v>355</v>
      </c>
      <c r="G1393" s="3333">
        <v>42887</v>
      </c>
      <c r="H1393" s="3333">
        <v>42892</v>
      </c>
      <c r="I1393" s="3333">
        <v>43190</v>
      </c>
      <c r="J1393" s="3324"/>
      <c r="K1393" s="3334">
        <f t="shared" si="153"/>
        <v>137.80000000000001</v>
      </c>
      <c r="L1393" s="3334">
        <f t="shared" si="154"/>
        <v>11.833333333333334</v>
      </c>
    </row>
    <row r="1394" spans="1:12" s="3327" customFormat="1" ht="13.5" customHeight="1">
      <c r="A1394" s="3354" t="s">
        <v>3872</v>
      </c>
      <c r="B1394" s="3370" t="s">
        <v>3867</v>
      </c>
      <c r="C1394" s="3378" t="s">
        <v>3540</v>
      </c>
      <c r="D1394" s="3346" t="s">
        <v>4093</v>
      </c>
      <c r="E1394" s="3332">
        <v>259.8</v>
      </c>
      <c r="F1394" s="3332">
        <v>330</v>
      </c>
      <c r="G1394" s="3333">
        <v>42893</v>
      </c>
      <c r="H1394" s="3333">
        <v>43130</v>
      </c>
      <c r="I1394" s="3333">
        <v>43190</v>
      </c>
      <c r="J1394" s="3324"/>
      <c r="K1394" s="3334">
        <f t="shared" si="153"/>
        <v>259.8</v>
      </c>
      <c r="L1394" s="3334">
        <f t="shared" si="154"/>
        <v>11</v>
      </c>
    </row>
    <row r="1395" spans="1:12" s="3327" customFormat="1" ht="13.5" customHeight="1">
      <c r="A1395" s="3355"/>
      <c r="B1395" s="3371" t="s">
        <v>3867</v>
      </c>
      <c r="C1395" s="3372" t="s">
        <v>4096</v>
      </c>
      <c r="D1395" s="3336" t="s">
        <v>4097</v>
      </c>
      <c r="E1395" s="3339">
        <v>108.9</v>
      </c>
      <c r="F1395" s="3339">
        <v>270</v>
      </c>
      <c r="G1395" s="3340">
        <v>41000</v>
      </c>
      <c r="H1395" s="3340">
        <v>41363</v>
      </c>
      <c r="I1395" s="3340">
        <v>41364</v>
      </c>
      <c r="J1395" s="3336"/>
    </row>
    <row r="1396" spans="1:12" s="3327" customFormat="1" ht="12.75" customHeight="1">
      <c r="A1396" s="3354"/>
      <c r="B1396" s="3368" t="s">
        <v>3867</v>
      </c>
      <c r="C1396" s="3324" t="s">
        <v>4098</v>
      </c>
      <c r="D1396" s="3344" t="s">
        <v>4099</v>
      </c>
      <c r="E1396" s="3325">
        <v>108.9</v>
      </c>
      <c r="F1396" s="3325">
        <v>300</v>
      </c>
      <c r="G1396" s="3326">
        <v>41699</v>
      </c>
      <c r="H1396" s="3326">
        <v>42003</v>
      </c>
      <c r="I1396" s="3326">
        <v>42094</v>
      </c>
      <c r="J1396" s="3324"/>
    </row>
    <row r="1397" spans="1:12" s="3327" customFormat="1" ht="12.75" customHeight="1">
      <c r="A1397" s="3354"/>
      <c r="B1397" s="3368" t="s">
        <v>3867</v>
      </c>
      <c r="C1397" s="3324" t="s">
        <v>4098</v>
      </c>
      <c r="D1397" s="3344" t="s">
        <v>4099</v>
      </c>
      <c r="E1397" s="3325">
        <v>108.9</v>
      </c>
      <c r="F1397" s="3325">
        <v>310</v>
      </c>
      <c r="G1397" s="3326">
        <v>42005</v>
      </c>
      <c r="H1397" s="3326">
        <v>42093</v>
      </c>
      <c r="I1397" s="3326">
        <v>42094</v>
      </c>
      <c r="J1397" s="3324"/>
    </row>
    <row r="1398" spans="1:12" s="3327" customFormat="1" ht="12.75" customHeight="1">
      <c r="A1398" s="3354"/>
      <c r="B1398" s="3369" t="s">
        <v>3867</v>
      </c>
      <c r="C1398" s="3336" t="s">
        <v>4098</v>
      </c>
      <c r="D1398" s="3345" t="s">
        <v>4099</v>
      </c>
      <c r="E1398" s="3339">
        <v>108.9</v>
      </c>
      <c r="F1398" s="3339">
        <v>310</v>
      </c>
      <c r="G1398" s="3340">
        <v>42095</v>
      </c>
      <c r="H1398" s="3340">
        <v>42459</v>
      </c>
      <c r="I1398" s="3340">
        <v>42460</v>
      </c>
      <c r="J1398" s="3324"/>
    </row>
    <row r="1399" spans="1:12" s="3327" customFormat="1" ht="12.75" customHeight="1">
      <c r="A1399" s="3354"/>
      <c r="B1399" s="3369" t="s">
        <v>3867</v>
      </c>
      <c r="C1399" s="3336" t="s">
        <v>4098</v>
      </c>
      <c r="D1399" s="3345" t="s">
        <v>4099</v>
      </c>
      <c r="E1399" s="3338">
        <v>108.91</v>
      </c>
      <c r="F1399" s="3339">
        <v>330</v>
      </c>
      <c r="G1399" s="3340">
        <v>42461</v>
      </c>
      <c r="H1399" s="3340">
        <v>42824</v>
      </c>
      <c r="I1399" s="3340">
        <v>42825</v>
      </c>
      <c r="J1399" s="3324"/>
    </row>
    <row r="1400" spans="1:12" s="3327" customFormat="1" ht="12.75" customHeight="1">
      <c r="A1400" s="3354"/>
      <c r="B1400" s="3370" t="s">
        <v>3867</v>
      </c>
      <c r="C1400" s="3331" t="s">
        <v>4098</v>
      </c>
      <c r="D1400" s="3346" t="s">
        <v>4100</v>
      </c>
      <c r="E1400" s="3347">
        <v>108.91</v>
      </c>
      <c r="F1400" s="3332">
        <v>335</v>
      </c>
      <c r="G1400" s="3333">
        <v>42826</v>
      </c>
      <c r="H1400" s="3333">
        <v>42885</v>
      </c>
      <c r="I1400" s="3333">
        <v>42886</v>
      </c>
      <c r="J1400" s="3324"/>
      <c r="K1400" s="3334">
        <f t="shared" ref="K1400:K1403" si="155">E1400</f>
        <v>108.91</v>
      </c>
      <c r="L1400" s="3334">
        <f t="shared" ref="L1400:L1403" si="156">F1400/30</f>
        <v>11.166666666666666</v>
      </c>
    </row>
    <row r="1401" spans="1:12" s="3327" customFormat="1" ht="12.75" customHeight="1">
      <c r="A1401" s="3354"/>
      <c r="B1401" s="3370" t="s">
        <v>3867</v>
      </c>
      <c r="C1401" s="3331" t="s">
        <v>4098</v>
      </c>
      <c r="D1401" s="3346" t="s">
        <v>4100</v>
      </c>
      <c r="E1401" s="3347">
        <v>108.91</v>
      </c>
      <c r="F1401" s="3332">
        <v>335</v>
      </c>
      <c r="G1401" s="3333">
        <v>42887</v>
      </c>
      <c r="H1401" s="3333">
        <v>42916</v>
      </c>
      <c r="I1401" s="3333">
        <v>43190</v>
      </c>
      <c r="J1401" s="3324"/>
      <c r="K1401" s="3334">
        <f t="shared" si="155"/>
        <v>108.91</v>
      </c>
      <c r="L1401" s="3334">
        <f t="shared" si="156"/>
        <v>11.166666666666666</v>
      </c>
    </row>
    <row r="1402" spans="1:12" s="3327" customFormat="1" ht="12.75" customHeight="1">
      <c r="A1402" s="3354" t="s">
        <v>3872</v>
      </c>
      <c r="B1402" s="3370" t="s">
        <v>3867</v>
      </c>
      <c r="C1402" s="3331" t="s">
        <v>4101</v>
      </c>
      <c r="D1402" s="3346" t="s">
        <v>4102</v>
      </c>
      <c r="E1402" s="3332">
        <v>72.709999999999994</v>
      </c>
      <c r="F1402" s="3332">
        <v>360</v>
      </c>
      <c r="G1402" s="3333">
        <v>42917</v>
      </c>
      <c r="H1402" s="3333">
        <v>43130</v>
      </c>
      <c r="I1402" s="3333">
        <v>43190</v>
      </c>
      <c r="J1402" s="3324"/>
      <c r="K1402" s="3334">
        <f t="shared" si="155"/>
        <v>72.709999999999994</v>
      </c>
      <c r="L1402" s="3334">
        <f t="shared" si="156"/>
        <v>12</v>
      </c>
    </row>
    <row r="1403" spans="1:12" s="3327" customFormat="1" ht="12.75" customHeight="1">
      <c r="A1403" s="3354" t="s">
        <v>3872</v>
      </c>
      <c r="B1403" s="3370" t="s">
        <v>3867</v>
      </c>
      <c r="C1403" s="3331" t="s">
        <v>4103</v>
      </c>
      <c r="D1403" s="3346" t="s">
        <v>4100</v>
      </c>
      <c r="E1403" s="3332">
        <v>36.200000000000003</v>
      </c>
      <c r="F1403" s="3332">
        <v>360</v>
      </c>
      <c r="G1403" s="3333">
        <v>42917</v>
      </c>
      <c r="H1403" s="3333">
        <v>43130</v>
      </c>
      <c r="I1403" s="3333">
        <v>43190</v>
      </c>
      <c r="J1403" s="3324"/>
      <c r="K1403" s="3334">
        <f t="shared" si="155"/>
        <v>36.200000000000003</v>
      </c>
      <c r="L1403" s="3334">
        <f t="shared" si="156"/>
        <v>12</v>
      </c>
    </row>
    <row r="1404" spans="1:12" s="3327" customFormat="1" ht="12.75" customHeight="1">
      <c r="A1404" s="3355"/>
      <c r="B1404" s="3371" t="s">
        <v>3867</v>
      </c>
      <c r="C1404" s="3372" t="s">
        <v>4104</v>
      </c>
      <c r="D1404" s="3336" t="s">
        <v>4105</v>
      </c>
      <c r="E1404" s="3339">
        <v>59.7</v>
      </c>
      <c r="F1404" s="3339">
        <v>280</v>
      </c>
      <c r="G1404" s="3340">
        <v>41000</v>
      </c>
      <c r="H1404" s="3340">
        <v>41363</v>
      </c>
      <c r="I1404" s="3340">
        <v>41364</v>
      </c>
      <c r="J1404" s="3336"/>
    </row>
    <row r="1405" spans="1:12" s="3327" customFormat="1" ht="12.75" customHeight="1">
      <c r="A1405" s="3354"/>
      <c r="B1405" s="3368" t="s">
        <v>3867</v>
      </c>
      <c r="C1405" s="3324" t="s">
        <v>4106</v>
      </c>
      <c r="D1405" s="3344" t="s">
        <v>4107</v>
      </c>
      <c r="E1405" s="3325">
        <v>81</v>
      </c>
      <c r="F1405" s="3325">
        <v>300</v>
      </c>
      <c r="G1405" s="3326">
        <v>41699</v>
      </c>
      <c r="H1405" s="3326">
        <v>42003</v>
      </c>
      <c r="I1405" s="3326">
        <v>42094</v>
      </c>
      <c r="J1405" s="3324"/>
    </row>
    <row r="1406" spans="1:12" s="3327" customFormat="1" ht="13.5" customHeight="1">
      <c r="A1406" s="3354"/>
      <c r="B1406" s="3368" t="s">
        <v>3867</v>
      </c>
      <c r="C1406" s="3324" t="s">
        <v>4106</v>
      </c>
      <c r="D1406" s="3344" t="s">
        <v>4107</v>
      </c>
      <c r="E1406" s="3325">
        <v>81</v>
      </c>
      <c r="F1406" s="3325">
        <v>310</v>
      </c>
      <c r="G1406" s="3326">
        <v>42005</v>
      </c>
      <c r="H1406" s="3326">
        <v>42093</v>
      </c>
      <c r="I1406" s="3326">
        <v>42094</v>
      </c>
      <c r="J1406" s="3324"/>
    </row>
    <row r="1407" spans="1:12" s="3327" customFormat="1" ht="12" customHeight="1">
      <c r="A1407" s="3354"/>
      <c r="B1407" s="3369" t="s">
        <v>3867</v>
      </c>
      <c r="C1407" s="3336" t="s">
        <v>4106</v>
      </c>
      <c r="D1407" s="3345" t="s">
        <v>4107</v>
      </c>
      <c r="E1407" s="3339">
        <v>81</v>
      </c>
      <c r="F1407" s="3339">
        <v>310</v>
      </c>
      <c r="G1407" s="3340">
        <v>42095</v>
      </c>
      <c r="H1407" s="3340">
        <v>42459</v>
      </c>
      <c r="I1407" s="3340">
        <v>42460</v>
      </c>
      <c r="J1407" s="3324"/>
    </row>
    <row r="1408" spans="1:12" s="3327" customFormat="1" ht="12" customHeight="1">
      <c r="A1408" s="3354"/>
      <c r="B1408" s="3369" t="s">
        <v>3867</v>
      </c>
      <c r="C1408" s="3336" t="s">
        <v>4106</v>
      </c>
      <c r="D1408" s="3345" t="s">
        <v>4107</v>
      </c>
      <c r="E1408" s="3339">
        <v>81</v>
      </c>
      <c r="F1408" s="3339">
        <v>320</v>
      </c>
      <c r="G1408" s="3340">
        <v>42461</v>
      </c>
      <c r="H1408" s="3340">
        <v>42824</v>
      </c>
      <c r="I1408" s="3340">
        <v>42825</v>
      </c>
      <c r="J1408" s="3324"/>
    </row>
    <row r="1409" spans="1:12" s="3327" customFormat="1" ht="12" customHeight="1">
      <c r="A1409" s="3354"/>
      <c r="B1409" s="3370" t="s">
        <v>3867</v>
      </c>
      <c r="C1409" s="3331" t="s">
        <v>4108</v>
      </c>
      <c r="D1409" s="3346" t="s">
        <v>4109</v>
      </c>
      <c r="E1409" s="3332">
        <v>81</v>
      </c>
      <c r="F1409" s="3332">
        <v>325</v>
      </c>
      <c r="G1409" s="3333">
        <v>42826</v>
      </c>
      <c r="H1409" s="3333">
        <v>42885</v>
      </c>
      <c r="I1409" s="3333">
        <v>42886</v>
      </c>
      <c r="J1409" s="3324"/>
      <c r="K1409" s="3334">
        <f t="shared" ref="K1409:K1411" si="157">E1409</f>
        <v>81</v>
      </c>
      <c r="L1409" s="3334">
        <f t="shared" ref="L1409:L1411" si="158">F1409/30</f>
        <v>10.833333333333334</v>
      </c>
    </row>
    <row r="1410" spans="1:12" s="3327" customFormat="1" ht="12" customHeight="1">
      <c r="A1410" s="3354"/>
      <c r="B1410" s="3370" t="s">
        <v>3867</v>
      </c>
      <c r="C1410" s="3331" t="s">
        <v>4108</v>
      </c>
      <c r="D1410" s="3346" t="s">
        <v>4109</v>
      </c>
      <c r="E1410" s="3332">
        <v>81</v>
      </c>
      <c r="F1410" s="3332">
        <v>325</v>
      </c>
      <c r="G1410" s="3333">
        <v>42887</v>
      </c>
      <c r="H1410" s="3333">
        <v>42916</v>
      </c>
      <c r="I1410" s="3333">
        <v>43190</v>
      </c>
      <c r="J1410" s="3324"/>
      <c r="K1410" s="3334">
        <f t="shared" si="157"/>
        <v>81</v>
      </c>
      <c r="L1410" s="3334">
        <f t="shared" si="158"/>
        <v>10.833333333333334</v>
      </c>
    </row>
    <row r="1411" spans="1:12" s="3327" customFormat="1" ht="12" customHeight="1">
      <c r="A1411" s="3354" t="s">
        <v>3872</v>
      </c>
      <c r="B1411" s="3370" t="s">
        <v>3867</v>
      </c>
      <c r="C1411" s="3331" t="s">
        <v>3910</v>
      </c>
      <c r="D1411" s="3346" t="s">
        <v>4109</v>
      </c>
      <c r="E1411" s="3332">
        <v>81</v>
      </c>
      <c r="F1411" s="3332">
        <v>350</v>
      </c>
      <c r="G1411" s="3333">
        <v>42917</v>
      </c>
      <c r="H1411" s="3333">
        <v>43130</v>
      </c>
      <c r="I1411" s="3333">
        <v>43190</v>
      </c>
      <c r="J1411" s="3324"/>
      <c r="K1411" s="3334">
        <f t="shared" si="157"/>
        <v>81</v>
      </c>
      <c r="L1411" s="3334">
        <f t="shared" si="158"/>
        <v>11.666666666666666</v>
      </c>
    </row>
    <row r="1412" spans="1:12" s="3327" customFormat="1" ht="12.75" customHeight="1">
      <c r="A1412" s="3355"/>
      <c r="B1412" s="3371" t="s">
        <v>3867</v>
      </c>
      <c r="C1412" s="3372" t="s">
        <v>4110</v>
      </c>
      <c r="D1412" s="3336" t="s">
        <v>4111</v>
      </c>
      <c r="E1412" s="3339">
        <v>129</v>
      </c>
      <c r="F1412" s="3339">
        <v>275</v>
      </c>
      <c r="G1412" s="3340">
        <v>41000</v>
      </c>
      <c r="H1412" s="3340">
        <v>41363</v>
      </c>
      <c r="I1412" s="3340">
        <v>41364</v>
      </c>
      <c r="J1412" s="3336"/>
    </row>
    <row r="1413" spans="1:12" s="3327" customFormat="1" ht="12.75" customHeight="1">
      <c r="A1413" s="3354"/>
      <c r="B1413" s="3368" t="s">
        <v>3867</v>
      </c>
      <c r="C1413" s="3324" t="s">
        <v>4112</v>
      </c>
      <c r="D1413" s="3344" t="s">
        <v>3948</v>
      </c>
      <c r="E1413" s="3325">
        <v>108.5</v>
      </c>
      <c r="F1413" s="3325">
        <v>300</v>
      </c>
      <c r="G1413" s="3326">
        <v>41699</v>
      </c>
      <c r="H1413" s="3326">
        <v>42093</v>
      </c>
      <c r="I1413" s="3326">
        <v>42094</v>
      </c>
      <c r="J1413" s="3324"/>
    </row>
    <row r="1414" spans="1:12" s="3327" customFormat="1" ht="12.75" customHeight="1">
      <c r="A1414" s="3354"/>
      <c r="B1414" s="3369" t="s">
        <v>3867</v>
      </c>
      <c r="C1414" s="3336" t="s">
        <v>4112</v>
      </c>
      <c r="D1414" s="3345" t="s">
        <v>3948</v>
      </c>
      <c r="E1414" s="3339">
        <v>108.5</v>
      </c>
      <c r="F1414" s="3339">
        <v>300</v>
      </c>
      <c r="G1414" s="3340">
        <v>42095</v>
      </c>
      <c r="H1414" s="3340">
        <v>42459</v>
      </c>
      <c r="I1414" s="3340">
        <v>42460</v>
      </c>
      <c r="J1414" s="3324"/>
    </row>
    <row r="1415" spans="1:12" s="3327" customFormat="1" ht="12.75" customHeight="1">
      <c r="A1415" s="3354"/>
      <c r="B1415" s="3369" t="s">
        <v>3867</v>
      </c>
      <c r="C1415" s="3336" t="s">
        <v>4112</v>
      </c>
      <c r="D1415" s="3345" t="s">
        <v>3948</v>
      </c>
      <c r="E1415" s="3339">
        <v>108.5</v>
      </c>
      <c r="F1415" s="3339">
        <v>300</v>
      </c>
      <c r="G1415" s="3340">
        <v>42461</v>
      </c>
      <c r="H1415" s="3340">
        <v>42824</v>
      </c>
      <c r="I1415" s="3340">
        <v>42825</v>
      </c>
      <c r="J1415" s="3324"/>
    </row>
    <row r="1416" spans="1:12" s="3327" customFormat="1" ht="12.75" customHeight="1">
      <c r="A1416" s="3354"/>
      <c r="B1416" s="3370" t="s">
        <v>3867</v>
      </c>
      <c r="C1416" s="3331" t="s">
        <v>4112</v>
      </c>
      <c r="D1416" s="3346" t="s">
        <v>4113</v>
      </c>
      <c r="E1416" s="3332">
        <v>108.5</v>
      </c>
      <c r="F1416" s="3332">
        <v>305</v>
      </c>
      <c r="G1416" s="3333">
        <v>42827</v>
      </c>
      <c r="H1416" s="3333">
        <v>42885</v>
      </c>
      <c r="I1416" s="3333">
        <v>42886</v>
      </c>
      <c r="J1416" s="3324"/>
      <c r="K1416" s="3334">
        <f t="shared" ref="K1416:K1417" si="159">E1416</f>
        <v>108.5</v>
      </c>
      <c r="L1416" s="3334">
        <f t="shared" ref="L1416:L1417" si="160">F1416/30</f>
        <v>10.166666666666666</v>
      </c>
    </row>
    <row r="1417" spans="1:12" s="3327" customFormat="1" ht="12.75" customHeight="1">
      <c r="A1417" s="3354" t="s">
        <v>3872</v>
      </c>
      <c r="B1417" s="3370" t="s">
        <v>3867</v>
      </c>
      <c r="C1417" s="3331" t="s">
        <v>3915</v>
      </c>
      <c r="D1417" s="3346" t="s">
        <v>4113</v>
      </c>
      <c r="E1417" s="3332">
        <v>108.5</v>
      </c>
      <c r="F1417" s="3332">
        <v>335</v>
      </c>
      <c r="G1417" s="3333">
        <v>42887</v>
      </c>
      <c r="H1417" s="3333">
        <v>43130</v>
      </c>
      <c r="I1417" s="3333">
        <v>43190</v>
      </c>
      <c r="J1417" s="3324"/>
      <c r="K1417" s="3334">
        <f t="shared" si="159"/>
        <v>108.5</v>
      </c>
      <c r="L1417" s="3334">
        <f t="shared" si="160"/>
        <v>11.166666666666666</v>
      </c>
    </row>
    <row r="1418" spans="1:12" s="3327" customFormat="1" ht="12.75" customHeight="1">
      <c r="A1418" s="3354"/>
      <c r="B1418" s="3368" t="s">
        <v>3867</v>
      </c>
      <c r="C1418" s="3324" t="s">
        <v>3753</v>
      </c>
      <c r="D1418" s="3344" t="s">
        <v>4114</v>
      </c>
      <c r="E1418" s="3325">
        <v>18.7</v>
      </c>
      <c r="F1418" s="3325">
        <v>310</v>
      </c>
      <c r="G1418" s="3326">
        <v>41699</v>
      </c>
      <c r="H1418" s="3326">
        <v>42003</v>
      </c>
      <c r="I1418" s="3326">
        <v>42094</v>
      </c>
      <c r="J1418" s="3324"/>
    </row>
    <row r="1419" spans="1:12" s="3327" customFormat="1" ht="12.75" customHeight="1">
      <c r="A1419" s="3354"/>
      <c r="B1419" s="3368" t="s">
        <v>3867</v>
      </c>
      <c r="C1419" s="3324" t="s">
        <v>3753</v>
      </c>
      <c r="D1419" s="3344" t="s">
        <v>4114</v>
      </c>
      <c r="E1419" s="3325">
        <v>18.7</v>
      </c>
      <c r="F1419" s="3325">
        <v>320</v>
      </c>
      <c r="G1419" s="3326">
        <v>42005</v>
      </c>
      <c r="H1419" s="3326">
        <v>42093</v>
      </c>
      <c r="I1419" s="3326">
        <v>42094</v>
      </c>
      <c r="J1419" s="3324"/>
    </row>
    <row r="1420" spans="1:12" s="3327" customFormat="1" ht="12.75" customHeight="1">
      <c r="A1420" s="3354"/>
      <c r="B1420" s="3369" t="s">
        <v>3867</v>
      </c>
      <c r="C1420" s="3336" t="s">
        <v>3753</v>
      </c>
      <c r="D1420" s="3345" t="s">
        <v>4114</v>
      </c>
      <c r="E1420" s="3339">
        <v>18.7</v>
      </c>
      <c r="F1420" s="3339">
        <v>320</v>
      </c>
      <c r="G1420" s="3340">
        <v>42095</v>
      </c>
      <c r="H1420" s="3340">
        <v>42459</v>
      </c>
      <c r="I1420" s="3340">
        <v>42460</v>
      </c>
      <c r="J1420" s="3324"/>
    </row>
    <row r="1421" spans="1:12" s="3327" customFormat="1" ht="12.75" customHeight="1">
      <c r="A1421" s="3355"/>
      <c r="B1421" s="3371" t="s">
        <v>3867</v>
      </c>
      <c r="C1421" s="3372" t="s">
        <v>4115</v>
      </c>
      <c r="D1421" s="3336" t="s">
        <v>4116</v>
      </c>
      <c r="E1421" s="3339">
        <v>178.5</v>
      </c>
      <c r="F1421" s="3339">
        <v>190</v>
      </c>
      <c r="G1421" s="3340">
        <v>41099</v>
      </c>
      <c r="H1421" s="3340">
        <v>41363</v>
      </c>
      <c r="I1421" s="3340">
        <v>41364</v>
      </c>
      <c r="J1421" s="3336"/>
    </row>
    <row r="1422" spans="1:12" s="3327" customFormat="1" ht="12.75" customHeight="1">
      <c r="A1422" s="3354"/>
      <c r="B1422" s="3368" t="s">
        <v>3867</v>
      </c>
      <c r="C1422" s="3324" t="s">
        <v>3762</v>
      </c>
      <c r="D1422" s="3385" t="s">
        <v>3955</v>
      </c>
      <c r="E1422" s="3324">
        <v>17.899999999999999</v>
      </c>
      <c r="F1422" s="3325">
        <v>280</v>
      </c>
      <c r="G1422" s="3326">
        <v>41699</v>
      </c>
      <c r="H1422" s="3326">
        <v>42003</v>
      </c>
      <c r="I1422" s="3326">
        <v>42094</v>
      </c>
      <c r="J1422" s="3324"/>
    </row>
    <row r="1423" spans="1:12" s="3327" customFormat="1" ht="12.75" customHeight="1">
      <c r="A1423" s="3354"/>
      <c r="B1423" s="3368" t="s">
        <v>3867</v>
      </c>
      <c r="C1423" s="3324" t="s">
        <v>3762</v>
      </c>
      <c r="D1423" s="3385" t="s">
        <v>3955</v>
      </c>
      <c r="E1423" s="3324">
        <v>17.899999999999999</v>
      </c>
      <c r="F1423" s="3325">
        <v>290</v>
      </c>
      <c r="G1423" s="3326">
        <v>42005</v>
      </c>
      <c r="H1423" s="3326">
        <v>42093</v>
      </c>
      <c r="I1423" s="3326">
        <v>42094</v>
      </c>
      <c r="J1423" s="3324"/>
    </row>
    <row r="1424" spans="1:12" s="3327" customFormat="1" ht="12.75" customHeight="1">
      <c r="A1424" s="3354"/>
      <c r="B1424" s="3369" t="s">
        <v>3867</v>
      </c>
      <c r="C1424" s="3336" t="s">
        <v>3762</v>
      </c>
      <c r="D1424" s="3386" t="s">
        <v>3955</v>
      </c>
      <c r="E1424" s="3336">
        <v>17.899999999999999</v>
      </c>
      <c r="F1424" s="3339">
        <v>290</v>
      </c>
      <c r="G1424" s="3340">
        <v>42095</v>
      </c>
      <c r="H1424" s="3340">
        <v>42459</v>
      </c>
      <c r="I1424" s="3340">
        <v>42460</v>
      </c>
      <c r="J1424" s="3324"/>
    </row>
    <row r="1425" spans="1:10" s="3327" customFormat="1" ht="12.75" customHeight="1">
      <c r="A1425" s="3354"/>
      <c r="B1425" s="3368" t="s">
        <v>3867</v>
      </c>
      <c r="C1425" s="3324" t="s">
        <v>3759</v>
      </c>
      <c r="D1425" s="3385" t="s">
        <v>4117</v>
      </c>
      <c r="E1425" s="3324">
        <v>33.1</v>
      </c>
      <c r="F1425" s="3325">
        <v>190</v>
      </c>
      <c r="G1425" s="3326">
        <v>41699</v>
      </c>
      <c r="H1425" s="3326">
        <v>42003</v>
      </c>
      <c r="I1425" s="3326">
        <v>42094</v>
      </c>
      <c r="J1425" s="3324"/>
    </row>
    <row r="1426" spans="1:10" s="3327" customFormat="1" ht="12.75" customHeight="1">
      <c r="A1426" s="3354"/>
      <c r="B1426" s="3368" t="s">
        <v>3867</v>
      </c>
      <c r="C1426" s="3324" t="s">
        <v>3759</v>
      </c>
      <c r="D1426" s="3385" t="s">
        <v>4117</v>
      </c>
      <c r="E1426" s="3324">
        <v>33.1</v>
      </c>
      <c r="F1426" s="3325">
        <v>200</v>
      </c>
      <c r="G1426" s="3326">
        <v>42005</v>
      </c>
      <c r="H1426" s="3326">
        <v>42093</v>
      </c>
      <c r="I1426" s="3326">
        <v>42094</v>
      </c>
      <c r="J1426" s="3324"/>
    </row>
    <row r="1427" spans="1:10" s="3327" customFormat="1" ht="12.75" customHeight="1">
      <c r="A1427" s="3354"/>
      <c r="B1427" s="3369" t="s">
        <v>3867</v>
      </c>
      <c r="C1427" s="3336" t="s">
        <v>3759</v>
      </c>
      <c r="D1427" s="3386" t="s">
        <v>4117</v>
      </c>
      <c r="E1427" s="3336">
        <v>33.1</v>
      </c>
      <c r="F1427" s="3339">
        <v>200</v>
      </c>
      <c r="G1427" s="3340">
        <v>42095</v>
      </c>
      <c r="H1427" s="3340">
        <v>42459</v>
      </c>
      <c r="I1427" s="3340">
        <v>42460</v>
      </c>
      <c r="J1427" s="3324"/>
    </row>
    <row r="1428" spans="1:10" s="3327" customFormat="1" ht="12.75" customHeight="1">
      <c r="A1428" s="3354"/>
      <c r="B1428" s="3368" t="s">
        <v>3867</v>
      </c>
      <c r="C1428" s="3324" t="s">
        <v>3361</v>
      </c>
      <c r="D1428" s="3385" t="s">
        <v>4118</v>
      </c>
      <c r="E1428" s="3324">
        <v>32.799999999999997</v>
      </c>
      <c r="F1428" s="3325">
        <v>190</v>
      </c>
      <c r="G1428" s="3326">
        <v>41699</v>
      </c>
      <c r="H1428" s="3326">
        <v>42003</v>
      </c>
      <c r="I1428" s="3326">
        <v>42094</v>
      </c>
      <c r="J1428" s="3324"/>
    </row>
    <row r="1429" spans="1:10" s="3327" customFormat="1" ht="12.75" customHeight="1">
      <c r="A1429" s="3354"/>
      <c r="B1429" s="3368" t="s">
        <v>3867</v>
      </c>
      <c r="C1429" s="3324" t="s">
        <v>3361</v>
      </c>
      <c r="D1429" s="3385" t="s">
        <v>4118</v>
      </c>
      <c r="E1429" s="3325">
        <v>32.799999999999997</v>
      </c>
      <c r="F1429" s="3325">
        <v>200</v>
      </c>
      <c r="G1429" s="3326">
        <v>42005</v>
      </c>
      <c r="H1429" s="3326">
        <v>42093</v>
      </c>
      <c r="I1429" s="3326">
        <v>42094</v>
      </c>
      <c r="J1429" s="3324"/>
    </row>
    <row r="1430" spans="1:10" s="3327" customFormat="1" ht="12.75" customHeight="1">
      <c r="A1430" s="3354"/>
      <c r="B1430" s="3369" t="s">
        <v>3867</v>
      </c>
      <c r="C1430" s="3336" t="s">
        <v>3361</v>
      </c>
      <c r="D1430" s="3386" t="s">
        <v>4118</v>
      </c>
      <c r="E1430" s="3339">
        <v>32.799999999999997</v>
      </c>
      <c r="F1430" s="3339">
        <v>200</v>
      </c>
      <c r="G1430" s="3340">
        <v>42095</v>
      </c>
      <c r="H1430" s="3340">
        <v>42459</v>
      </c>
      <c r="I1430" s="3340">
        <v>42460</v>
      </c>
      <c r="J1430" s="3324"/>
    </row>
    <row r="1431" spans="1:10" s="3327" customFormat="1" ht="12.75" customHeight="1">
      <c r="A1431" s="3354"/>
      <c r="B1431" s="3368" t="s">
        <v>3867</v>
      </c>
      <c r="C1431" s="3324" t="s">
        <v>4119</v>
      </c>
      <c r="D1431" s="3387" t="s">
        <v>4120</v>
      </c>
      <c r="E1431" s="3324">
        <v>33.6</v>
      </c>
      <c r="F1431" s="3325">
        <v>185</v>
      </c>
      <c r="G1431" s="3326">
        <v>41730</v>
      </c>
      <c r="H1431" s="3326">
        <v>41850</v>
      </c>
      <c r="I1431" s="3326">
        <v>41759</v>
      </c>
      <c r="J1431" s="3324"/>
    </row>
    <row r="1432" spans="1:10" s="3327" customFormat="1" ht="12.75" customHeight="1">
      <c r="A1432" s="3354"/>
      <c r="B1432" s="3368" t="s">
        <v>3867</v>
      </c>
      <c r="C1432" s="3324" t="s">
        <v>3760</v>
      </c>
      <c r="D1432" s="3385" t="s">
        <v>4120</v>
      </c>
      <c r="E1432" s="3324">
        <v>33.6</v>
      </c>
      <c r="F1432" s="3325">
        <v>185</v>
      </c>
      <c r="G1432" s="3326">
        <v>41852</v>
      </c>
      <c r="H1432" s="3326">
        <v>42003</v>
      </c>
      <c r="I1432" s="3326">
        <v>42094</v>
      </c>
      <c r="J1432" s="3324"/>
    </row>
    <row r="1433" spans="1:10" s="3327" customFormat="1" ht="12.75" customHeight="1">
      <c r="A1433" s="3354"/>
      <c r="B1433" s="3368" t="s">
        <v>3867</v>
      </c>
      <c r="C1433" s="3324" t="s">
        <v>3760</v>
      </c>
      <c r="D1433" s="3385" t="s">
        <v>4120</v>
      </c>
      <c r="E1433" s="3324">
        <v>33.6</v>
      </c>
      <c r="F1433" s="3325">
        <v>195</v>
      </c>
      <c r="G1433" s="3326">
        <v>42005</v>
      </c>
      <c r="H1433" s="3326">
        <v>42093</v>
      </c>
      <c r="I1433" s="3326">
        <v>42094</v>
      </c>
      <c r="J1433" s="3324"/>
    </row>
    <row r="1434" spans="1:10" s="3327" customFormat="1" ht="12.75" customHeight="1">
      <c r="A1434" s="3354"/>
      <c r="B1434" s="3369" t="s">
        <v>3867</v>
      </c>
      <c r="C1434" s="3336" t="s">
        <v>3760</v>
      </c>
      <c r="D1434" s="3386" t="s">
        <v>4120</v>
      </c>
      <c r="E1434" s="3336">
        <v>33.6</v>
      </c>
      <c r="F1434" s="3339">
        <v>195</v>
      </c>
      <c r="G1434" s="3340">
        <v>42095</v>
      </c>
      <c r="H1434" s="3340">
        <v>42459</v>
      </c>
      <c r="I1434" s="3340">
        <v>42460</v>
      </c>
      <c r="J1434" s="3324"/>
    </row>
    <row r="1435" spans="1:10" s="3327" customFormat="1" ht="13.5" customHeight="1">
      <c r="A1435" s="3354"/>
      <c r="B1435" s="3368" t="s">
        <v>3867</v>
      </c>
      <c r="C1435" s="3324" t="s">
        <v>3757</v>
      </c>
      <c r="D1435" s="3385" t="s">
        <v>4121</v>
      </c>
      <c r="E1435" s="3324">
        <v>30.4</v>
      </c>
      <c r="F1435" s="3325">
        <v>155</v>
      </c>
      <c r="G1435" s="3326">
        <v>41699</v>
      </c>
      <c r="H1435" s="3326">
        <v>42003</v>
      </c>
      <c r="I1435" s="3326">
        <v>42094</v>
      </c>
      <c r="J1435" s="3324"/>
    </row>
    <row r="1436" spans="1:10" s="3327" customFormat="1" ht="13.5" customHeight="1">
      <c r="A1436" s="3354"/>
      <c r="B1436" s="3368" t="s">
        <v>3867</v>
      </c>
      <c r="C1436" s="3324" t="s">
        <v>3757</v>
      </c>
      <c r="D1436" s="3385" t="s">
        <v>4121</v>
      </c>
      <c r="E1436" s="3324">
        <v>30.4</v>
      </c>
      <c r="F1436" s="3325">
        <v>165</v>
      </c>
      <c r="G1436" s="3326">
        <v>42005</v>
      </c>
      <c r="H1436" s="3326">
        <v>42093</v>
      </c>
      <c r="I1436" s="3326">
        <v>42094</v>
      </c>
      <c r="J1436" s="3324"/>
    </row>
    <row r="1437" spans="1:10" s="3327" customFormat="1" ht="13.5" customHeight="1">
      <c r="A1437" s="3354"/>
      <c r="B1437" s="3369" t="s">
        <v>3867</v>
      </c>
      <c r="C1437" s="3336" t="s">
        <v>3757</v>
      </c>
      <c r="D1437" s="3386" t="s">
        <v>4121</v>
      </c>
      <c r="E1437" s="3339">
        <v>30.4</v>
      </c>
      <c r="F1437" s="3339">
        <v>165</v>
      </c>
      <c r="G1437" s="3340">
        <v>42095</v>
      </c>
      <c r="H1437" s="3340">
        <v>42459</v>
      </c>
      <c r="I1437" s="3340">
        <v>42460</v>
      </c>
      <c r="J1437" s="3324"/>
    </row>
    <row r="1438" spans="1:10" s="3327" customFormat="1" ht="12.75" customHeight="1">
      <c r="A1438" s="3354"/>
      <c r="B1438" s="3368" t="s">
        <v>3867</v>
      </c>
      <c r="C1438" s="3324" t="s">
        <v>3758</v>
      </c>
      <c r="D1438" s="3385" t="s">
        <v>4122</v>
      </c>
      <c r="E1438" s="3324">
        <v>30.8</v>
      </c>
      <c r="F1438" s="3325">
        <v>155</v>
      </c>
      <c r="G1438" s="3326">
        <v>41699</v>
      </c>
      <c r="H1438" s="3326">
        <v>42003</v>
      </c>
      <c r="I1438" s="3326">
        <v>42094</v>
      </c>
      <c r="J1438" s="3324"/>
    </row>
    <row r="1439" spans="1:10" s="3327" customFormat="1" ht="12.75" customHeight="1">
      <c r="A1439" s="3354"/>
      <c r="B1439" s="3368" t="s">
        <v>3867</v>
      </c>
      <c r="C1439" s="3324" t="s">
        <v>3758</v>
      </c>
      <c r="D1439" s="3385" t="s">
        <v>4122</v>
      </c>
      <c r="E1439" s="3324">
        <v>30.8</v>
      </c>
      <c r="F1439" s="3325">
        <v>165</v>
      </c>
      <c r="G1439" s="3326">
        <v>42005</v>
      </c>
      <c r="H1439" s="3326">
        <v>42093</v>
      </c>
      <c r="I1439" s="3326">
        <v>42094</v>
      </c>
      <c r="J1439" s="3324"/>
    </row>
    <row r="1440" spans="1:10" s="3327" customFormat="1" ht="12.75" customHeight="1">
      <c r="A1440" s="3354"/>
      <c r="B1440" s="3369" t="s">
        <v>3867</v>
      </c>
      <c r="C1440" s="3336" t="s">
        <v>3758</v>
      </c>
      <c r="D1440" s="3386" t="s">
        <v>4122</v>
      </c>
      <c r="E1440" s="3339">
        <v>30.8</v>
      </c>
      <c r="F1440" s="3339">
        <v>165</v>
      </c>
      <c r="G1440" s="3340">
        <v>42095</v>
      </c>
      <c r="H1440" s="3340">
        <v>42459</v>
      </c>
      <c r="I1440" s="3340">
        <v>42460</v>
      </c>
      <c r="J1440" s="3324"/>
    </row>
    <row r="1441" spans="1:12" s="3327" customFormat="1" ht="12.75" customHeight="1">
      <c r="A1441" s="3354"/>
      <c r="B1441" s="3369" t="s">
        <v>3867</v>
      </c>
      <c r="C1441" s="3372" t="s">
        <v>4094</v>
      </c>
      <c r="D1441" s="3386" t="s">
        <v>4123</v>
      </c>
      <c r="E1441" s="3338">
        <v>231.49</v>
      </c>
      <c r="F1441" s="3339">
        <v>320</v>
      </c>
      <c r="G1441" s="3340">
        <v>42461</v>
      </c>
      <c r="H1441" s="3340">
        <v>42824</v>
      </c>
      <c r="I1441" s="3340">
        <v>42825</v>
      </c>
      <c r="J1441" s="3324"/>
    </row>
    <row r="1442" spans="1:12" s="3327" customFormat="1" ht="12.75" customHeight="1">
      <c r="A1442" s="3354"/>
      <c r="B1442" s="3370" t="s">
        <v>3867</v>
      </c>
      <c r="C1442" s="3378" t="s">
        <v>4094</v>
      </c>
      <c r="D1442" s="3388" t="s">
        <v>4124</v>
      </c>
      <c r="E1442" s="3332">
        <v>231.49</v>
      </c>
      <c r="F1442" s="3332">
        <v>315</v>
      </c>
      <c r="G1442" s="3333">
        <v>42826</v>
      </c>
      <c r="H1442" s="3333">
        <v>42885</v>
      </c>
      <c r="I1442" s="3333">
        <v>42886</v>
      </c>
      <c r="J1442" s="3324"/>
      <c r="K1442" s="3334">
        <f t="shared" ref="K1442:K1445" si="161">E1442</f>
        <v>231.49</v>
      </c>
      <c r="L1442" s="3334">
        <f t="shared" ref="L1442:L1445" si="162">F1442/30</f>
        <v>10.5</v>
      </c>
    </row>
    <row r="1443" spans="1:12" s="3327" customFormat="1" ht="12.75" customHeight="1">
      <c r="A1443" s="3354"/>
      <c r="B1443" s="3370" t="s">
        <v>3867</v>
      </c>
      <c r="C1443" s="3378" t="s">
        <v>4094</v>
      </c>
      <c r="D1443" s="3388" t="s">
        <v>4124</v>
      </c>
      <c r="E1443" s="3332">
        <v>231.49</v>
      </c>
      <c r="F1443" s="3332">
        <v>315</v>
      </c>
      <c r="G1443" s="3333">
        <v>42887</v>
      </c>
      <c r="H1443" s="3333">
        <v>42916</v>
      </c>
      <c r="I1443" s="3333">
        <v>43190</v>
      </c>
      <c r="J1443" s="3324"/>
      <c r="K1443" s="3334">
        <f t="shared" si="161"/>
        <v>231.49</v>
      </c>
      <c r="L1443" s="3334">
        <f t="shared" si="162"/>
        <v>10.5</v>
      </c>
    </row>
    <row r="1444" spans="1:12" s="3327" customFormat="1" ht="12.75" customHeight="1">
      <c r="A1444" s="3354"/>
      <c r="B1444" s="3370" t="s">
        <v>3867</v>
      </c>
      <c r="C1444" s="3378" t="s">
        <v>4125</v>
      </c>
      <c r="D1444" s="3388" t="s">
        <v>4126</v>
      </c>
      <c r="E1444" s="3332">
        <v>39.450000000000003</v>
      </c>
      <c r="F1444" s="3332">
        <v>370</v>
      </c>
      <c r="G1444" s="3333">
        <v>42917</v>
      </c>
      <c r="H1444" s="3333">
        <v>43069</v>
      </c>
      <c r="I1444" s="3333">
        <v>43190</v>
      </c>
      <c r="J1444" s="3324"/>
      <c r="K1444" s="3334">
        <f t="shared" si="161"/>
        <v>39.450000000000003</v>
      </c>
      <c r="L1444" s="3334">
        <f t="shared" si="162"/>
        <v>12.333333333333334</v>
      </c>
    </row>
    <row r="1445" spans="1:12" s="3327" customFormat="1" ht="12.75" customHeight="1">
      <c r="A1445" s="3354" t="s">
        <v>3872</v>
      </c>
      <c r="B1445" s="3370" t="s">
        <v>3867</v>
      </c>
      <c r="C1445" s="3378" t="s">
        <v>3302</v>
      </c>
      <c r="D1445" s="3388" t="s">
        <v>4124</v>
      </c>
      <c r="E1445" s="3332">
        <v>192.06</v>
      </c>
      <c r="F1445" s="3332">
        <v>350</v>
      </c>
      <c r="G1445" s="3333">
        <v>42917</v>
      </c>
      <c r="H1445" s="3333">
        <v>43130</v>
      </c>
      <c r="I1445" s="3333">
        <v>43190</v>
      </c>
      <c r="J1445" s="3324"/>
      <c r="K1445" s="3334">
        <f t="shared" si="161"/>
        <v>192.06</v>
      </c>
      <c r="L1445" s="3334">
        <f t="shared" si="162"/>
        <v>11.666666666666666</v>
      </c>
    </row>
    <row r="1446" spans="1:12" s="3327" customFormat="1" ht="12.75" customHeight="1">
      <c r="A1446" s="3355"/>
      <c r="B1446" s="3371" t="s">
        <v>3867</v>
      </c>
      <c r="C1446" s="3372" t="s">
        <v>4127</v>
      </c>
      <c r="D1446" s="3336" t="s">
        <v>4128</v>
      </c>
      <c r="E1446" s="3339">
        <v>119.6</v>
      </c>
      <c r="F1446" s="3339">
        <v>270</v>
      </c>
      <c r="G1446" s="3340">
        <v>41030</v>
      </c>
      <c r="H1446" s="3340">
        <v>41363</v>
      </c>
      <c r="I1446" s="3340">
        <v>41364</v>
      </c>
      <c r="J1446" s="3336"/>
    </row>
    <row r="1447" spans="1:12" s="3327" customFormat="1" ht="12.75" customHeight="1">
      <c r="A1447" s="3354"/>
      <c r="B1447" s="3368" t="s">
        <v>3867</v>
      </c>
      <c r="C1447" s="3324" t="s">
        <v>4129</v>
      </c>
      <c r="D1447" s="3344" t="s">
        <v>3933</v>
      </c>
      <c r="E1447" s="3325">
        <v>96.6</v>
      </c>
      <c r="F1447" s="3325">
        <v>330</v>
      </c>
      <c r="G1447" s="3326">
        <v>41699</v>
      </c>
      <c r="H1447" s="3326">
        <v>42093</v>
      </c>
      <c r="I1447" s="3326">
        <v>42094</v>
      </c>
      <c r="J1447" s="3324"/>
    </row>
    <row r="1448" spans="1:12" s="3327" customFormat="1" ht="12.75" customHeight="1">
      <c r="A1448" s="3354"/>
      <c r="B1448" s="3369" t="s">
        <v>3867</v>
      </c>
      <c r="C1448" s="3336" t="s">
        <v>4129</v>
      </c>
      <c r="D1448" s="3345" t="s">
        <v>3933</v>
      </c>
      <c r="E1448" s="3339">
        <v>96.6</v>
      </c>
      <c r="F1448" s="3339">
        <v>350</v>
      </c>
      <c r="G1448" s="3340">
        <v>42095</v>
      </c>
      <c r="H1448" s="3340">
        <v>42185</v>
      </c>
      <c r="I1448" s="3340">
        <v>42185</v>
      </c>
      <c r="J1448" s="3324"/>
    </row>
    <row r="1449" spans="1:12" s="3327" customFormat="1" ht="12.75" customHeight="1">
      <c r="A1449" s="3354"/>
      <c r="B1449" s="3369" t="s">
        <v>3867</v>
      </c>
      <c r="C1449" s="3336" t="s">
        <v>4129</v>
      </c>
      <c r="D1449" s="3345" t="s">
        <v>3933</v>
      </c>
      <c r="E1449" s="3339">
        <v>96.6</v>
      </c>
      <c r="F1449" s="3339">
        <v>350</v>
      </c>
      <c r="G1449" s="3340">
        <v>42186</v>
      </c>
      <c r="H1449" s="3340">
        <v>42459</v>
      </c>
      <c r="I1449" s="3340">
        <v>42460</v>
      </c>
      <c r="J1449" s="3324"/>
    </row>
    <row r="1450" spans="1:12" s="3327" customFormat="1" ht="12.75" customHeight="1">
      <c r="A1450" s="3354"/>
      <c r="B1450" s="3369" t="s">
        <v>3867</v>
      </c>
      <c r="C1450" s="3336" t="s">
        <v>4129</v>
      </c>
      <c r="D1450" s="3345" t="s">
        <v>3933</v>
      </c>
      <c r="E1450" s="3339">
        <v>96.6</v>
      </c>
      <c r="F1450" s="3339">
        <v>360</v>
      </c>
      <c r="G1450" s="3340">
        <v>42461</v>
      </c>
      <c r="H1450" s="3340">
        <v>42824</v>
      </c>
      <c r="I1450" s="3340">
        <v>42825</v>
      </c>
      <c r="J1450" s="3324"/>
    </row>
    <row r="1451" spans="1:12" s="3327" customFormat="1" ht="12.75" customHeight="1">
      <c r="A1451" s="3354"/>
      <c r="B1451" s="3370" t="s">
        <v>3867</v>
      </c>
      <c r="C1451" s="3331" t="s">
        <v>4129</v>
      </c>
      <c r="D1451" s="3346" t="s">
        <v>4130</v>
      </c>
      <c r="E1451" s="3332">
        <v>96.6</v>
      </c>
      <c r="F1451" s="3332">
        <v>360</v>
      </c>
      <c r="G1451" s="3333">
        <v>42826</v>
      </c>
      <c r="H1451" s="3333">
        <v>42885</v>
      </c>
      <c r="I1451" s="3333">
        <v>42886</v>
      </c>
      <c r="J1451" s="3324"/>
      <c r="K1451" s="3334">
        <f t="shared" ref="K1451:K1455" si="163">E1451</f>
        <v>96.6</v>
      </c>
      <c r="L1451" s="3334">
        <f t="shared" ref="L1451:L1455" si="164">F1451/30</f>
        <v>12</v>
      </c>
    </row>
    <row r="1452" spans="1:12" s="3327" customFormat="1" ht="12.75" customHeight="1">
      <c r="A1452" s="3354"/>
      <c r="B1452" s="3370" t="s">
        <v>3867</v>
      </c>
      <c r="C1452" s="3331" t="s">
        <v>4129</v>
      </c>
      <c r="D1452" s="3346" t="s">
        <v>4130</v>
      </c>
      <c r="E1452" s="3332">
        <v>96.6</v>
      </c>
      <c r="F1452" s="3332">
        <v>360</v>
      </c>
      <c r="G1452" s="3333">
        <v>42887</v>
      </c>
      <c r="H1452" s="3333">
        <v>42916</v>
      </c>
      <c r="I1452" s="3333">
        <v>43190</v>
      </c>
      <c r="J1452" s="3324"/>
      <c r="K1452" s="3334">
        <f t="shared" si="163"/>
        <v>96.6</v>
      </c>
      <c r="L1452" s="3334">
        <f t="shared" si="164"/>
        <v>12</v>
      </c>
    </row>
    <row r="1453" spans="1:12" s="3327" customFormat="1" ht="12.75" customHeight="1">
      <c r="A1453" s="3354" t="s">
        <v>3872</v>
      </c>
      <c r="B1453" s="3370" t="s">
        <v>3867</v>
      </c>
      <c r="C1453" s="3331" t="s">
        <v>4131</v>
      </c>
      <c r="D1453" s="3346" t="s">
        <v>4130</v>
      </c>
      <c r="E1453" s="3332">
        <v>61.81</v>
      </c>
      <c r="F1453" s="3332">
        <v>370</v>
      </c>
      <c r="G1453" s="3333">
        <v>42917</v>
      </c>
      <c r="H1453" s="3333">
        <v>43130</v>
      </c>
      <c r="I1453" s="3333">
        <v>43190</v>
      </c>
      <c r="J1453" s="3324"/>
      <c r="K1453" s="3334">
        <f t="shared" si="163"/>
        <v>61.81</v>
      </c>
      <c r="L1453" s="3334">
        <f t="shared" si="164"/>
        <v>12.333333333333334</v>
      </c>
    </row>
    <row r="1454" spans="1:12" s="3327" customFormat="1" ht="12.75" customHeight="1">
      <c r="A1454" s="3354"/>
      <c r="B1454" s="3370" t="s">
        <v>3867</v>
      </c>
      <c r="C1454" s="3331" t="s">
        <v>4132</v>
      </c>
      <c r="D1454" s="3346" t="s">
        <v>4133</v>
      </c>
      <c r="E1454" s="3332">
        <v>34.79</v>
      </c>
      <c r="F1454" s="3332">
        <v>360</v>
      </c>
      <c r="G1454" s="3333">
        <v>42917</v>
      </c>
      <c r="H1454" s="3333">
        <v>43069</v>
      </c>
      <c r="I1454" s="3333">
        <v>43190</v>
      </c>
      <c r="J1454" s="3324"/>
      <c r="K1454" s="3334">
        <f t="shared" si="163"/>
        <v>34.79</v>
      </c>
      <c r="L1454" s="3334">
        <f t="shared" si="164"/>
        <v>12</v>
      </c>
    </row>
    <row r="1455" spans="1:12" s="3327" customFormat="1" ht="12.75" customHeight="1">
      <c r="A1455" s="3354" t="s">
        <v>4134</v>
      </c>
      <c r="B1455" s="3370" t="s">
        <v>3867</v>
      </c>
      <c r="C1455" s="3331" t="s">
        <v>4132</v>
      </c>
      <c r="D1455" s="3346" t="s">
        <v>4133</v>
      </c>
      <c r="E1455" s="3332">
        <v>58.47</v>
      </c>
      <c r="F1455" s="3332">
        <v>360</v>
      </c>
      <c r="G1455" s="3333">
        <v>43070</v>
      </c>
      <c r="H1455" s="3333">
        <v>43130</v>
      </c>
      <c r="I1455" s="3333">
        <v>43190</v>
      </c>
      <c r="J1455" s="3324"/>
      <c r="K1455" s="3334">
        <f t="shared" si="163"/>
        <v>58.47</v>
      </c>
      <c r="L1455" s="3334">
        <f t="shared" si="164"/>
        <v>12</v>
      </c>
    </row>
    <row r="1456" spans="1:12" s="3327" customFormat="1" ht="13.5" customHeight="1">
      <c r="A1456" s="3355"/>
      <c r="B1456" s="3371" t="s">
        <v>3867</v>
      </c>
      <c r="C1456" s="3372" t="s">
        <v>4135</v>
      </c>
      <c r="D1456" s="3336" t="s">
        <v>4136</v>
      </c>
      <c r="E1456" s="3339">
        <v>153.80000000000001</v>
      </c>
      <c r="F1456" s="3339">
        <v>270</v>
      </c>
      <c r="G1456" s="3340">
        <v>40634</v>
      </c>
      <c r="H1456" s="3340">
        <v>40799</v>
      </c>
      <c r="I1456" s="3340">
        <v>40999</v>
      </c>
      <c r="J1456" s="3336"/>
    </row>
    <row r="1457" spans="1:12" s="3327" customFormat="1" ht="13.5" customHeight="1">
      <c r="A1457" s="3355"/>
      <c r="B1457" s="3369" t="s">
        <v>3867</v>
      </c>
      <c r="C1457" s="3336" t="s">
        <v>4137</v>
      </c>
      <c r="D1457" s="3336" t="s">
        <v>4136</v>
      </c>
      <c r="E1457" s="3339">
        <v>153.80000000000001</v>
      </c>
      <c r="F1457" s="3339">
        <v>270</v>
      </c>
      <c r="G1457" s="3340">
        <v>41002</v>
      </c>
      <c r="H1457" s="3340">
        <v>41363</v>
      </c>
      <c r="I1457" s="3340">
        <v>41364</v>
      </c>
      <c r="J1457" s="3336"/>
    </row>
    <row r="1458" spans="1:12" s="3327" customFormat="1" ht="13.5" customHeight="1">
      <c r="A1458" s="3355"/>
      <c r="B1458" s="3369" t="s">
        <v>3867</v>
      </c>
      <c r="C1458" s="3336" t="s">
        <v>4138</v>
      </c>
      <c r="D1458" s="3336" t="s">
        <v>4139</v>
      </c>
      <c r="E1458" s="3339">
        <v>110</v>
      </c>
      <c r="F1458" s="3339">
        <v>270</v>
      </c>
      <c r="G1458" s="3340">
        <v>41000</v>
      </c>
      <c r="H1458" s="3340">
        <v>41363</v>
      </c>
      <c r="I1458" s="3340">
        <v>41364</v>
      </c>
      <c r="J1458" s="3336"/>
    </row>
    <row r="1459" spans="1:12" s="3327" customFormat="1" ht="13.5" customHeight="1">
      <c r="A1459" s="3355"/>
      <c r="B1459" s="3369" t="s">
        <v>3867</v>
      </c>
      <c r="C1459" s="3336" t="s">
        <v>4140</v>
      </c>
      <c r="D1459" s="3336" t="s">
        <v>4141</v>
      </c>
      <c r="E1459" s="3339">
        <v>123.4</v>
      </c>
      <c r="F1459" s="3339">
        <v>270</v>
      </c>
      <c r="G1459" s="3340">
        <v>41000</v>
      </c>
      <c r="H1459" s="3340">
        <v>41363</v>
      </c>
      <c r="I1459" s="3340">
        <v>41364</v>
      </c>
      <c r="J1459" s="3336"/>
    </row>
    <row r="1460" spans="1:12" s="3327" customFormat="1" ht="13.5" customHeight="1">
      <c r="A1460" s="3354"/>
      <c r="B1460" s="3368" t="s">
        <v>3867</v>
      </c>
      <c r="C1460" s="3324" t="s">
        <v>4142</v>
      </c>
      <c r="D1460" s="3344" t="s">
        <v>4089</v>
      </c>
      <c r="E1460" s="3325">
        <v>118.9</v>
      </c>
      <c r="F1460" s="3325">
        <v>330</v>
      </c>
      <c r="G1460" s="3326">
        <v>41699</v>
      </c>
      <c r="H1460" s="3326">
        <v>42003</v>
      </c>
      <c r="I1460" s="3326">
        <v>42094</v>
      </c>
      <c r="J1460" s="3324"/>
    </row>
    <row r="1461" spans="1:12" s="3327" customFormat="1" ht="13.5" customHeight="1">
      <c r="A1461" s="3354"/>
      <c r="B1461" s="3368" t="s">
        <v>3867</v>
      </c>
      <c r="C1461" s="3324" t="s">
        <v>4142</v>
      </c>
      <c r="D1461" s="3344" t="s">
        <v>4089</v>
      </c>
      <c r="E1461" s="3325">
        <v>118.9</v>
      </c>
      <c r="F1461" s="3325">
        <v>350</v>
      </c>
      <c r="G1461" s="3326">
        <v>42005</v>
      </c>
      <c r="H1461" s="3326">
        <v>42093</v>
      </c>
      <c r="I1461" s="3326">
        <v>42094</v>
      </c>
      <c r="J1461" s="3324"/>
    </row>
    <row r="1462" spans="1:12" s="3327" customFormat="1" ht="13.5" customHeight="1">
      <c r="A1462" s="3354"/>
      <c r="B1462" s="3369" t="s">
        <v>3867</v>
      </c>
      <c r="C1462" s="3336" t="s">
        <v>4142</v>
      </c>
      <c r="D1462" s="3345" t="s">
        <v>4089</v>
      </c>
      <c r="E1462" s="3339">
        <v>118.9</v>
      </c>
      <c r="F1462" s="3339">
        <v>350</v>
      </c>
      <c r="G1462" s="3340">
        <v>42095</v>
      </c>
      <c r="H1462" s="3340">
        <v>42459</v>
      </c>
      <c r="I1462" s="3340">
        <v>42460</v>
      </c>
      <c r="J1462" s="3324"/>
    </row>
    <row r="1463" spans="1:12" s="3327" customFormat="1" ht="13.5" customHeight="1">
      <c r="A1463" s="3354"/>
      <c r="B1463" s="3369" t="s">
        <v>3867</v>
      </c>
      <c r="C1463" s="3336" t="s">
        <v>4142</v>
      </c>
      <c r="D1463" s="3345" t="s">
        <v>4089</v>
      </c>
      <c r="E1463" s="3339">
        <v>118.9</v>
      </c>
      <c r="F1463" s="3339">
        <v>360</v>
      </c>
      <c r="G1463" s="3340">
        <v>42461</v>
      </c>
      <c r="H1463" s="3340">
        <v>42824</v>
      </c>
      <c r="I1463" s="3340">
        <v>42825</v>
      </c>
      <c r="J1463" s="3324"/>
    </row>
    <row r="1464" spans="1:12" s="3327" customFormat="1" ht="13.5" customHeight="1">
      <c r="A1464" s="3354"/>
      <c r="B1464" s="3370" t="s">
        <v>3867</v>
      </c>
      <c r="C1464" s="3331" t="s">
        <v>4142</v>
      </c>
      <c r="D1464" s="3346" t="s">
        <v>4143</v>
      </c>
      <c r="E1464" s="3332">
        <v>118.9</v>
      </c>
      <c r="F1464" s="3332">
        <v>360</v>
      </c>
      <c r="G1464" s="3333">
        <v>42826</v>
      </c>
      <c r="H1464" s="3333">
        <v>42885</v>
      </c>
      <c r="I1464" s="3333">
        <v>42886</v>
      </c>
      <c r="J1464" s="3324"/>
      <c r="K1464" s="3334">
        <f t="shared" ref="K1464:K1468" si="165">E1464</f>
        <v>118.9</v>
      </c>
      <c r="L1464" s="3334">
        <f t="shared" ref="L1464:L1468" si="166">F1464/30</f>
        <v>12</v>
      </c>
    </row>
    <row r="1465" spans="1:12" s="3327" customFormat="1" ht="13.5" customHeight="1">
      <c r="A1465" s="3354"/>
      <c r="B1465" s="3370" t="s">
        <v>3867</v>
      </c>
      <c r="C1465" s="3331" t="s">
        <v>4142</v>
      </c>
      <c r="D1465" s="3346" t="s">
        <v>4143</v>
      </c>
      <c r="E1465" s="3332">
        <v>118.9</v>
      </c>
      <c r="F1465" s="3332">
        <v>360</v>
      </c>
      <c r="G1465" s="3333">
        <v>42887</v>
      </c>
      <c r="H1465" s="3333">
        <v>42916</v>
      </c>
      <c r="I1465" s="3333">
        <v>43190</v>
      </c>
      <c r="J1465" s="3324"/>
      <c r="K1465" s="3334">
        <f t="shared" si="165"/>
        <v>118.9</v>
      </c>
      <c r="L1465" s="3334">
        <f t="shared" si="166"/>
        <v>12</v>
      </c>
    </row>
    <row r="1466" spans="1:12" s="3327" customFormat="1" ht="13.5" customHeight="1">
      <c r="A1466" s="3354"/>
      <c r="B1466" s="3370" t="s">
        <v>3867</v>
      </c>
      <c r="C1466" s="3331" t="s">
        <v>4144</v>
      </c>
      <c r="D1466" s="3346" t="s">
        <v>4143</v>
      </c>
      <c r="E1466" s="3332">
        <v>28.17</v>
      </c>
      <c r="F1466" s="3332">
        <v>370</v>
      </c>
      <c r="G1466" s="3333">
        <v>42917</v>
      </c>
      <c r="H1466" s="3333">
        <v>43069</v>
      </c>
      <c r="I1466" s="3333">
        <v>43190</v>
      </c>
      <c r="J1466" s="3324"/>
      <c r="K1466" s="3334">
        <f t="shared" si="165"/>
        <v>28.17</v>
      </c>
      <c r="L1466" s="3334">
        <f t="shared" si="166"/>
        <v>12.333333333333334</v>
      </c>
    </row>
    <row r="1467" spans="1:12" s="3327" customFormat="1" ht="13.5" customHeight="1">
      <c r="A1467" s="3354" t="s">
        <v>3872</v>
      </c>
      <c r="B1467" s="3370" t="s">
        <v>3867</v>
      </c>
      <c r="C1467" s="3331" t="s">
        <v>4145</v>
      </c>
      <c r="D1467" s="3346" t="s">
        <v>4146</v>
      </c>
      <c r="E1467" s="3332">
        <v>68.12</v>
      </c>
      <c r="F1467" s="3332">
        <v>390</v>
      </c>
      <c r="G1467" s="3333">
        <v>42917</v>
      </c>
      <c r="H1467" s="3333">
        <v>43130</v>
      </c>
      <c r="I1467" s="3333">
        <v>43190</v>
      </c>
      <c r="J1467" s="3324"/>
      <c r="K1467" s="3334">
        <f t="shared" si="165"/>
        <v>68.12</v>
      </c>
      <c r="L1467" s="3334">
        <f t="shared" si="166"/>
        <v>13</v>
      </c>
    </row>
    <row r="1468" spans="1:12" s="3327" customFormat="1" ht="13.5" customHeight="1">
      <c r="A1468" s="3354"/>
      <c r="B1468" s="3370" t="s">
        <v>3867</v>
      </c>
      <c r="C1468" s="3331" t="s">
        <v>4147</v>
      </c>
      <c r="D1468" s="3346" t="s">
        <v>4148</v>
      </c>
      <c r="E1468" s="3332">
        <v>22.61</v>
      </c>
      <c r="F1468" s="3332">
        <v>390</v>
      </c>
      <c r="G1468" s="3333">
        <v>42917</v>
      </c>
      <c r="H1468" s="3333">
        <v>43069</v>
      </c>
      <c r="I1468" s="3333">
        <v>43190</v>
      </c>
      <c r="J1468" s="3324"/>
      <c r="K1468" s="3334">
        <f t="shared" si="165"/>
        <v>22.61</v>
      </c>
      <c r="L1468" s="3334">
        <f t="shared" si="166"/>
        <v>13</v>
      </c>
    </row>
    <row r="1469" spans="1:12" s="3327" customFormat="1" ht="13.5" customHeight="1">
      <c r="A1469" s="3354"/>
      <c r="B1469" s="3368" t="s">
        <v>3867</v>
      </c>
      <c r="C1469" s="3324" t="s">
        <v>4149</v>
      </c>
      <c r="D1469" s="3344" t="s">
        <v>3881</v>
      </c>
      <c r="E1469" s="3325">
        <v>118.6</v>
      </c>
      <c r="F1469" s="3325">
        <v>300</v>
      </c>
      <c r="G1469" s="3326">
        <v>41699</v>
      </c>
      <c r="H1469" s="3326">
        <v>42003</v>
      </c>
      <c r="I1469" s="3326">
        <v>42094</v>
      </c>
      <c r="J1469" s="3324"/>
    </row>
    <row r="1470" spans="1:12" s="3327" customFormat="1" ht="13.5" customHeight="1">
      <c r="A1470" s="3354"/>
      <c r="B1470" s="3368" t="s">
        <v>3867</v>
      </c>
      <c r="C1470" s="3324" t="s">
        <v>4149</v>
      </c>
      <c r="D1470" s="3344" t="s">
        <v>3881</v>
      </c>
      <c r="E1470" s="3325">
        <v>118.6</v>
      </c>
      <c r="F1470" s="3325">
        <v>320</v>
      </c>
      <c r="G1470" s="3326">
        <v>42005</v>
      </c>
      <c r="H1470" s="3326">
        <v>42093</v>
      </c>
      <c r="I1470" s="3326">
        <v>42094</v>
      </c>
      <c r="J1470" s="3324"/>
    </row>
    <row r="1471" spans="1:12" s="3327" customFormat="1" ht="13.5" customHeight="1">
      <c r="A1471" s="3354"/>
      <c r="B1471" s="3369" t="s">
        <v>3867</v>
      </c>
      <c r="C1471" s="3336" t="s">
        <v>4149</v>
      </c>
      <c r="D1471" s="3345" t="s">
        <v>3881</v>
      </c>
      <c r="E1471" s="3339">
        <v>118.6</v>
      </c>
      <c r="F1471" s="3339">
        <v>320</v>
      </c>
      <c r="G1471" s="3340">
        <v>42095</v>
      </c>
      <c r="H1471" s="3340">
        <v>42459</v>
      </c>
      <c r="I1471" s="3340">
        <v>42460</v>
      </c>
      <c r="J1471" s="3324"/>
    </row>
    <row r="1472" spans="1:12" s="3327" customFormat="1" ht="13.5" customHeight="1">
      <c r="A1472" s="3354"/>
      <c r="B1472" s="3369" t="s">
        <v>3867</v>
      </c>
      <c r="C1472" s="3336" t="s">
        <v>4149</v>
      </c>
      <c r="D1472" s="3345" t="s">
        <v>3881</v>
      </c>
      <c r="E1472" s="3339">
        <v>118.6</v>
      </c>
      <c r="F1472" s="3339">
        <v>330</v>
      </c>
      <c r="G1472" s="3340">
        <v>42461</v>
      </c>
      <c r="H1472" s="3340">
        <v>42824</v>
      </c>
      <c r="I1472" s="3340">
        <v>42825</v>
      </c>
      <c r="J1472" s="3324"/>
    </row>
    <row r="1473" spans="1:12" s="3327" customFormat="1" ht="13.5" customHeight="1">
      <c r="A1473" s="3354"/>
      <c r="B1473" s="3370" t="s">
        <v>3867</v>
      </c>
      <c r="C1473" s="3331" t="s">
        <v>4149</v>
      </c>
      <c r="D1473" s="3346" t="s">
        <v>4150</v>
      </c>
      <c r="E1473" s="3332">
        <v>118.6</v>
      </c>
      <c r="F1473" s="3332">
        <v>360</v>
      </c>
      <c r="G1473" s="3333">
        <v>42826</v>
      </c>
      <c r="H1473" s="3333">
        <v>42885</v>
      </c>
      <c r="I1473" s="3333">
        <v>42886</v>
      </c>
      <c r="J1473" s="3324"/>
      <c r="K1473" s="3334">
        <f t="shared" ref="K1473:K1480" si="167">E1473</f>
        <v>118.6</v>
      </c>
      <c r="L1473" s="3334">
        <f t="shared" ref="L1473:L1480" si="168">F1473/30</f>
        <v>12</v>
      </c>
    </row>
    <row r="1474" spans="1:12" s="3327" customFormat="1" ht="13.5" customHeight="1">
      <c r="A1474" s="3354"/>
      <c r="B1474" s="3370" t="s">
        <v>3867</v>
      </c>
      <c r="C1474" s="3331" t="s">
        <v>4149</v>
      </c>
      <c r="D1474" s="3346" t="s">
        <v>4150</v>
      </c>
      <c r="E1474" s="3332">
        <v>118.6</v>
      </c>
      <c r="F1474" s="3332">
        <v>340</v>
      </c>
      <c r="G1474" s="3333">
        <v>42887</v>
      </c>
      <c r="H1474" s="3333">
        <v>42916</v>
      </c>
      <c r="I1474" s="3333">
        <v>43190</v>
      </c>
      <c r="J1474" s="3324"/>
      <c r="K1474" s="3334">
        <f t="shared" si="167"/>
        <v>118.6</v>
      </c>
      <c r="L1474" s="3334">
        <f t="shared" si="168"/>
        <v>11.333333333333334</v>
      </c>
    </row>
    <row r="1475" spans="1:12" s="3327" customFormat="1" ht="13.5" customHeight="1">
      <c r="A1475" s="3354"/>
      <c r="B1475" s="3370" t="s">
        <v>3867</v>
      </c>
      <c r="C1475" s="3331" t="s">
        <v>4144</v>
      </c>
      <c r="D1475" s="3346" t="s">
        <v>4150</v>
      </c>
      <c r="E1475" s="3332">
        <v>43.26</v>
      </c>
      <c r="F1475" s="3332">
        <v>370</v>
      </c>
      <c r="G1475" s="3333">
        <v>42917</v>
      </c>
      <c r="H1475" s="3333">
        <v>43069</v>
      </c>
      <c r="I1475" s="3333">
        <v>43190</v>
      </c>
      <c r="J1475" s="3324"/>
      <c r="K1475" s="3334">
        <f t="shared" si="167"/>
        <v>43.26</v>
      </c>
      <c r="L1475" s="3334">
        <f t="shared" si="168"/>
        <v>12.333333333333334</v>
      </c>
    </row>
    <row r="1476" spans="1:12" s="3327" customFormat="1" ht="13.5" customHeight="1">
      <c r="A1476" s="3354" t="s">
        <v>4134</v>
      </c>
      <c r="B1476" s="3370" t="s">
        <v>3867</v>
      </c>
      <c r="C1476" s="3331" t="s">
        <v>4144</v>
      </c>
      <c r="D1476" s="3346" t="s">
        <v>4150</v>
      </c>
      <c r="E1476" s="3332">
        <v>71.42</v>
      </c>
      <c r="F1476" s="3332">
        <v>370</v>
      </c>
      <c r="G1476" s="3333">
        <v>43070</v>
      </c>
      <c r="H1476" s="3333">
        <v>43130</v>
      </c>
      <c r="I1476" s="3333">
        <v>43190</v>
      </c>
      <c r="J1476" s="3324"/>
      <c r="K1476" s="3334">
        <f t="shared" si="167"/>
        <v>71.42</v>
      </c>
      <c r="L1476" s="3334">
        <f t="shared" si="168"/>
        <v>12.333333333333334</v>
      </c>
    </row>
    <row r="1477" spans="1:12" s="3327" customFormat="1" ht="13.5" customHeight="1">
      <c r="A1477" s="3354"/>
      <c r="B1477" s="3370" t="s">
        <v>3867</v>
      </c>
      <c r="C1477" s="3331" t="s">
        <v>3286</v>
      </c>
      <c r="D1477" s="3346" t="s">
        <v>4151</v>
      </c>
      <c r="E1477" s="3332">
        <v>32.270000000000003</v>
      </c>
      <c r="F1477" s="3332">
        <v>340</v>
      </c>
      <c r="G1477" s="3333">
        <v>42917</v>
      </c>
      <c r="H1477" s="3333">
        <v>43053</v>
      </c>
      <c r="I1477" s="3333">
        <v>43190</v>
      </c>
      <c r="J1477" s="3324"/>
      <c r="K1477" s="3334">
        <f t="shared" si="167"/>
        <v>32.270000000000003</v>
      </c>
      <c r="L1477" s="3334">
        <f t="shared" si="168"/>
        <v>11.333333333333334</v>
      </c>
    </row>
    <row r="1478" spans="1:12" s="3327" customFormat="1" ht="13.5" customHeight="1">
      <c r="A1478" s="3354" t="s">
        <v>3872</v>
      </c>
      <c r="B1478" s="3370" t="s">
        <v>3867</v>
      </c>
      <c r="C1478" s="3331" t="s">
        <v>4152</v>
      </c>
      <c r="D1478" s="3346" t="s">
        <v>4151</v>
      </c>
      <c r="E1478" s="3332">
        <v>32.270000000000003</v>
      </c>
      <c r="F1478" s="3332">
        <v>340</v>
      </c>
      <c r="G1478" s="3333">
        <v>43054</v>
      </c>
      <c r="H1478" s="3333">
        <v>43130</v>
      </c>
      <c r="I1478" s="3333">
        <v>43190</v>
      </c>
      <c r="J1478" s="3324"/>
      <c r="K1478" s="3334">
        <f t="shared" si="167"/>
        <v>32.270000000000003</v>
      </c>
      <c r="L1478" s="3334">
        <f t="shared" si="168"/>
        <v>11.333333333333334</v>
      </c>
    </row>
    <row r="1479" spans="1:12" s="3327" customFormat="1" ht="13.5" customHeight="1">
      <c r="A1479" s="3354"/>
      <c r="B1479" s="3370" t="s">
        <v>3867</v>
      </c>
      <c r="C1479" s="3331" t="s">
        <v>4068</v>
      </c>
      <c r="D1479" s="3346" t="s">
        <v>4153</v>
      </c>
      <c r="E1479" s="3332">
        <v>43.07</v>
      </c>
      <c r="F1479" s="3332">
        <v>370</v>
      </c>
      <c r="G1479" s="3341">
        <v>42917</v>
      </c>
      <c r="H1479" s="3341">
        <v>43115</v>
      </c>
      <c r="I1479" s="3341">
        <v>43190</v>
      </c>
      <c r="J1479" s="3324"/>
      <c r="K1479" s="3334">
        <f t="shared" si="167"/>
        <v>43.07</v>
      </c>
      <c r="L1479" s="3334">
        <f t="shared" si="168"/>
        <v>12.333333333333334</v>
      </c>
    </row>
    <row r="1480" spans="1:12" s="3327" customFormat="1" ht="13.5" customHeight="1">
      <c r="A1480" s="3354" t="s">
        <v>3872</v>
      </c>
      <c r="B1480" s="3370" t="s">
        <v>3867</v>
      </c>
      <c r="C1480" s="3331" t="s">
        <v>4154</v>
      </c>
      <c r="D1480" s="3346" t="s">
        <v>4155</v>
      </c>
      <c r="E1480" s="3332">
        <v>43.07</v>
      </c>
      <c r="F1480" s="3332">
        <v>370</v>
      </c>
      <c r="G1480" s="3333">
        <v>43116</v>
      </c>
      <c r="H1480" s="3333">
        <v>43130</v>
      </c>
      <c r="I1480" s="3333">
        <v>43190</v>
      </c>
      <c r="J1480" s="3324"/>
      <c r="K1480" s="3334">
        <f t="shared" si="167"/>
        <v>43.07</v>
      </c>
      <c r="L1480" s="3334">
        <f t="shared" si="168"/>
        <v>12.333333333333334</v>
      </c>
    </row>
    <row r="1481" spans="1:12" s="3327" customFormat="1" ht="13.5" customHeight="1">
      <c r="A1481" s="3354"/>
      <c r="B1481" s="3368" t="s">
        <v>3867</v>
      </c>
      <c r="C1481" s="3324" t="s">
        <v>4131</v>
      </c>
      <c r="D1481" s="3344" t="s">
        <v>4063</v>
      </c>
      <c r="E1481" s="3325">
        <v>48.5</v>
      </c>
      <c r="F1481" s="3325">
        <v>310</v>
      </c>
      <c r="G1481" s="3326">
        <v>41699</v>
      </c>
      <c r="H1481" s="3326">
        <v>42003</v>
      </c>
      <c r="I1481" s="3326">
        <v>42094</v>
      </c>
      <c r="J1481" s="3324"/>
    </row>
    <row r="1482" spans="1:12" s="3327" customFormat="1" ht="13.5" customHeight="1">
      <c r="A1482" s="3354"/>
      <c r="B1482" s="3368" t="s">
        <v>3867</v>
      </c>
      <c r="C1482" s="3324" t="s">
        <v>4131</v>
      </c>
      <c r="D1482" s="3344" t="s">
        <v>4063</v>
      </c>
      <c r="E1482" s="3325">
        <v>48.5</v>
      </c>
      <c r="F1482" s="3325">
        <v>330</v>
      </c>
      <c r="G1482" s="3326">
        <v>42005</v>
      </c>
      <c r="H1482" s="3326">
        <v>42093</v>
      </c>
      <c r="I1482" s="3326">
        <v>42094</v>
      </c>
      <c r="J1482" s="3324"/>
    </row>
    <row r="1483" spans="1:12" s="3327" customFormat="1" ht="13.5" customHeight="1">
      <c r="A1483" s="3354"/>
      <c r="B1483" s="3369" t="s">
        <v>3867</v>
      </c>
      <c r="C1483" s="3336" t="s">
        <v>4131</v>
      </c>
      <c r="D1483" s="3345" t="s">
        <v>4063</v>
      </c>
      <c r="E1483" s="3339">
        <v>48.5</v>
      </c>
      <c r="F1483" s="3339">
        <v>330</v>
      </c>
      <c r="G1483" s="3340">
        <v>42095</v>
      </c>
      <c r="H1483" s="3340">
        <v>42459</v>
      </c>
      <c r="I1483" s="3340">
        <v>42460</v>
      </c>
      <c r="J1483" s="3324"/>
    </row>
    <row r="1484" spans="1:12" s="3327" customFormat="1" ht="13.5" customHeight="1">
      <c r="A1484" s="3354"/>
      <c r="B1484" s="3369" t="s">
        <v>3867</v>
      </c>
      <c r="C1484" s="3336" t="s">
        <v>4131</v>
      </c>
      <c r="D1484" s="3345" t="s">
        <v>4063</v>
      </c>
      <c r="E1484" s="3339">
        <v>48.5</v>
      </c>
      <c r="F1484" s="3339">
        <v>350</v>
      </c>
      <c r="G1484" s="3340">
        <v>42461</v>
      </c>
      <c r="H1484" s="3340">
        <v>42824</v>
      </c>
      <c r="I1484" s="3340">
        <v>42825</v>
      </c>
      <c r="J1484" s="3324"/>
    </row>
    <row r="1485" spans="1:12" s="3327" customFormat="1" ht="13.5" customHeight="1">
      <c r="A1485" s="3354"/>
      <c r="B1485" s="3370" t="s">
        <v>3867</v>
      </c>
      <c r="C1485" s="3331" t="s">
        <v>4131</v>
      </c>
      <c r="D1485" s="3346" t="s">
        <v>4156</v>
      </c>
      <c r="E1485" s="3332">
        <v>48.5</v>
      </c>
      <c r="F1485" s="3332">
        <v>355</v>
      </c>
      <c r="G1485" s="3333">
        <v>42826</v>
      </c>
      <c r="H1485" s="3333">
        <v>42885</v>
      </c>
      <c r="I1485" s="3333">
        <v>42886</v>
      </c>
      <c r="J1485" s="3324"/>
      <c r="K1485" s="3334">
        <f t="shared" ref="K1485:K1486" si="169">E1485</f>
        <v>48.5</v>
      </c>
      <c r="L1485" s="3334">
        <f t="shared" ref="L1485:L1486" si="170">F1485/30</f>
        <v>11.833333333333334</v>
      </c>
    </row>
    <row r="1486" spans="1:12" s="3327" customFormat="1" ht="13.5" customHeight="1">
      <c r="A1486" s="3354"/>
      <c r="B1486" s="3370" t="s">
        <v>3867</v>
      </c>
      <c r="C1486" s="3331" t="s">
        <v>4131</v>
      </c>
      <c r="D1486" s="3346" t="s">
        <v>4156</v>
      </c>
      <c r="E1486" s="3332">
        <v>48.5</v>
      </c>
      <c r="F1486" s="3332">
        <v>355</v>
      </c>
      <c r="G1486" s="3333">
        <v>42887</v>
      </c>
      <c r="H1486" s="3333">
        <v>42916</v>
      </c>
      <c r="I1486" s="3333">
        <v>43190</v>
      </c>
      <c r="J1486" s="3324"/>
      <c r="K1486" s="3334">
        <f t="shared" si="169"/>
        <v>48.5</v>
      </c>
      <c r="L1486" s="3334">
        <f t="shared" si="170"/>
        <v>11.833333333333334</v>
      </c>
    </row>
    <row r="1487" spans="1:12" s="3327" customFormat="1" ht="12.75" customHeight="1">
      <c r="A1487" s="3354"/>
      <c r="B1487" s="3368" t="s">
        <v>3867</v>
      </c>
      <c r="C1487" s="3324" t="s">
        <v>4132</v>
      </c>
      <c r="D1487" s="3344" t="s">
        <v>4075</v>
      </c>
      <c r="E1487" s="3325">
        <v>50.5</v>
      </c>
      <c r="F1487" s="3325">
        <v>310</v>
      </c>
      <c r="G1487" s="3326">
        <v>41699</v>
      </c>
      <c r="H1487" s="3326">
        <v>42003</v>
      </c>
      <c r="I1487" s="3326">
        <v>42094</v>
      </c>
      <c r="J1487" s="3324"/>
    </row>
    <row r="1488" spans="1:12" s="3327" customFormat="1" ht="12.75" customHeight="1">
      <c r="A1488" s="3354"/>
      <c r="B1488" s="3368" t="s">
        <v>3867</v>
      </c>
      <c r="C1488" s="3324" t="s">
        <v>4132</v>
      </c>
      <c r="D1488" s="3344" t="s">
        <v>4075</v>
      </c>
      <c r="E1488" s="3325">
        <v>50.5</v>
      </c>
      <c r="F1488" s="3325">
        <v>330</v>
      </c>
      <c r="G1488" s="3326">
        <v>42005</v>
      </c>
      <c r="H1488" s="3326">
        <v>42093</v>
      </c>
      <c r="I1488" s="3326">
        <v>42094</v>
      </c>
      <c r="J1488" s="3324"/>
    </row>
    <row r="1489" spans="1:12" s="3327" customFormat="1" ht="12.75" customHeight="1">
      <c r="A1489" s="3354"/>
      <c r="B1489" s="3369" t="s">
        <v>3867</v>
      </c>
      <c r="C1489" s="3336" t="s">
        <v>4132</v>
      </c>
      <c r="D1489" s="3345" t="s">
        <v>4075</v>
      </c>
      <c r="E1489" s="3339">
        <v>50.5</v>
      </c>
      <c r="F1489" s="3339">
        <v>330</v>
      </c>
      <c r="G1489" s="3340">
        <v>42095</v>
      </c>
      <c r="H1489" s="3340">
        <v>42459</v>
      </c>
      <c r="I1489" s="3340">
        <v>42460</v>
      </c>
      <c r="J1489" s="3324"/>
    </row>
    <row r="1490" spans="1:12" s="3327" customFormat="1" ht="12.75" customHeight="1">
      <c r="A1490" s="3354"/>
      <c r="B1490" s="3369" t="s">
        <v>3867</v>
      </c>
      <c r="C1490" s="3336" t="s">
        <v>4132</v>
      </c>
      <c r="D1490" s="3345" t="s">
        <v>4075</v>
      </c>
      <c r="E1490" s="3339">
        <v>50.5</v>
      </c>
      <c r="F1490" s="3339">
        <v>350</v>
      </c>
      <c r="G1490" s="3340">
        <v>42461</v>
      </c>
      <c r="H1490" s="3340">
        <v>42824</v>
      </c>
      <c r="I1490" s="3340">
        <v>42825</v>
      </c>
      <c r="J1490" s="3324"/>
    </row>
    <row r="1491" spans="1:12" s="3327" customFormat="1" ht="12.75" customHeight="1">
      <c r="A1491" s="3354"/>
      <c r="B1491" s="3370" t="s">
        <v>3867</v>
      </c>
      <c r="C1491" s="3331" t="s">
        <v>4132</v>
      </c>
      <c r="D1491" s="3346" t="s">
        <v>4157</v>
      </c>
      <c r="E1491" s="3332">
        <v>50.5</v>
      </c>
      <c r="F1491" s="3332">
        <v>355</v>
      </c>
      <c r="G1491" s="3333">
        <v>42826</v>
      </c>
      <c r="H1491" s="3333">
        <v>42885</v>
      </c>
      <c r="I1491" s="3333">
        <v>42886</v>
      </c>
      <c r="J1491" s="3324"/>
      <c r="K1491" s="3334">
        <f t="shared" ref="K1491:K1494" si="171">E1491</f>
        <v>50.5</v>
      </c>
      <c r="L1491" s="3334">
        <f t="shared" ref="L1491:L1494" si="172">F1491/30</f>
        <v>11.833333333333334</v>
      </c>
    </row>
    <row r="1492" spans="1:12" s="3327" customFormat="1" ht="12.75" customHeight="1">
      <c r="A1492" s="3354"/>
      <c r="B1492" s="3370" t="s">
        <v>3867</v>
      </c>
      <c r="C1492" s="3331" t="s">
        <v>4132</v>
      </c>
      <c r="D1492" s="3346" t="s">
        <v>4157</v>
      </c>
      <c r="E1492" s="3332">
        <v>50.5</v>
      </c>
      <c r="F1492" s="3332">
        <v>355</v>
      </c>
      <c r="G1492" s="3333">
        <v>42887</v>
      </c>
      <c r="H1492" s="3333">
        <v>42916</v>
      </c>
      <c r="I1492" s="3333">
        <v>43190</v>
      </c>
      <c r="J1492" s="3324"/>
      <c r="K1492" s="3334">
        <f t="shared" si="171"/>
        <v>50.5</v>
      </c>
      <c r="L1492" s="3334">
        <f t="shared" si="172"/>
        <v>11.833333333333334</v>
      </c>
    </row>
    <row r="1493" spans="1:12" s="3327" customFormat="1" ht="12.75" customHeight="1">
      <c r="A1493" s="3354"/>
      <c r="B1493" s="3370" t="s">
        <v>3867</v>
      </c>
      <c r="C1493" s="3331" t="s">
        <v>4147</v>
      </c>
      <c r="D1493" s="3346" t="s">
        <v>4157</v>
      </c>
      <c r="E1493" s="3332">
        <v>50.5</v>
      </c>
      <c r="F1493" s="3332">
        <v>390</v>
      </c>
      <c r="G1493" s="3333">
        <v>42917</v>
      </c>
      <c r="H1493" s="3333">
        <v>43069</v>
      </c>
      <c r="I1493" s="3333">
        <v>43190</v>
      </c>
      <c r="J1493" s="3324"/>
      <c r="K1493" s="3334">
        <f t="shared" si="171"/>
        <v>50.5</v>
      </c>
      <c r="L1493" s="3334">
        <f t="shared" si="172"/>
        <v>13</v>
      </c>
    </row>
    <row r="1494" spans="1:12" s="3327" customFormat="1" ht="12.75" customHeight="1">
      <c r="A1494" s="3354" t="s">
        <v>4134</v>
      </c>
      <c r="B1494" s="3370" t="s">
        <v>3867</v>
      </c>
      <c r="C1494" s="3331" t="s">
        <v>4147</v>
      </c>
      <c r="D1494" s="3346" t="s">
        <v>4157</v>
      </c>
      <c r="E1494" s="3332">
        <v>73.11</v>
      </c>
      <c r="F1494" s="3332">
        <v>390</v>
      </c>
      <c r="G1494" s="3333">
        <v>43070</v>
      </c>
      <c r="H1494" s="3333">
        <v>43130</v>
      </c>
      <c r="I1494" s="3333">
        <v>43190</v>
      </c>
      <c r="J1494" s="3324"/>
      <c r="K1494" s="3334">
        <f t="shared" si="171"/>
        <v>73.11</v>
      </c>
      <c r="L1494" s="3334">
        <f t="shared" si="172"/>
        <v>13</v>
      </c>
    </row>
    <row r="1495" spans="1:12" s="3327" customFormat="1" ht="12.75" customHeight="1">
      <c r="A1495" s="3355"/>
      <c r="B1495" s="3371" t="s">
        <v>3867</v>
      </c>
      <c r="C1495" s="3372" t="s">
        <v>4158</v>
      </c>
      <c r="D1495" s="3336" t="s">
        <v>4159</v>
      </c>
      <c r="E1495" s="3339">
        <v>141.69999999999999</v>
      </c>
      <c r="F1495" s="3339">
        <v>300</v>
      </c>
      <c r="G1495" s="3340">
        <v>41000</v>
      </c>
      <c r="H1495" s="3340">
        <v>41363</v>
      </c>
      <c r="I1495" s="3340">
        <v>41364</v>
      </c>
      <c r="J1495" s="3336"/>
    </row>
    <row r="1496" spans="1:12" s="3327" customFormat="1" ht="12.75" customHeight="1">
      <c r="A1496" s="3355"/>
      <c r="B1496" s="3369" t="s">
        <v>3867</v>
      </c>
      <c r="C1496" s="3336" t="s">
        <v>4160</v>
      </c>
      <c r="D1496" s="3336" t="s">
        <v>4161</v>
      </c>
      <c r="E1496" s="3339">
        <v>130.30000000000001</v>
      </c>
      <c r="F1496" s="3339">
        <v>300</v>
      </c>
      <c r="G1496" s="3340">
        <v>41000</v>
      </c>
      <c r="H1496" s="3340">
        <v>41363</v>
      </c>
      <c r="I1496" s="3340">
        <v>41364</v>
      </c>
      <c r="J1496" s="3336"/>
    </row>
    <row r="1497" spans="1:12" s="3327" customFormat="1" ht="12.75" customHeight="1">
      <c r="A1497" s="3354"/>
      <c r="B1497" s="3368" t="s">
        <v>3867</v>
      </c>
      <c r="C1497" s="3324" t="s">
        <v>4052</v>
      </c>
      <c r="D1497" s="3344" t="s">
        <v>3419</v>
      </c>
      <c r="E1497" s="3325">
        <v>177.6</v>
      </c>
      <c r="F1497" s="3325">
        <v>330</v>
      </c>
      <c r="G1497" s="3326">
        <v>41699</v>
      </c>
      <c r="H1497" s="3326">
        <v>42003</v>
      </c>
      <c r="I1497" s="3326">
        <v>42094</v>
      </c>
      <c r="J1497" s="3324"/>
    </row>
    <row r="1498" spans="1:12" s="3327" customFormat="1" ht="12.75" customHeight="1">
      <c r="A1498" s="3354"/>
      <c r="B1498" s="3368" t="s">
        <v>3867</v>
      </c>
      <c r="C1498" s="3324" t="s">
        <v>4052</v>
      </c>
      <c r="D1498" s="3344" t="s">
        <v>3419</v>
      </c>
      <c r="E1498" s="3325">
        <v>177.6</v>
      </c>
      <c r="F1498" s="3325">
        <v>350</v>
      </c>
      <c r="G1498" s="3326">
        <v>42005</v>
      </c>
      <c r="H1498" s="3326">
        <v>42093</v>
      </c>
      <c r="I1498" s="3326">
        <v>42094</v>
      </c>
      <c r="J1498" s="3324"/>
    </row>
    <row r="1499" spans="1:12" s="3327" customFormat="1" ht="12.75" customHeight="1">
      <c r="A1499" s="3354"/>
      <c r="B1499" s="3369" t="s">
        <v>3867</v>
      </c>
      <c r="C1499" s="3336" t="s">
        <v>4052</v>
      </c>
      <c r="D1499" s="3345" t="s">
        <v>3419</v>
      </c>
      <c r="E1499" s="3339">
        <v>177.6</v>
      </c>
      <c r="F1499" s="3339">
        <v>350</v>
      </c>
      <c r="G1499" s="3340">
        <v>42095</v>
      </c>
      <c r="H1499" s="3340">
        <v>42459</v>
      </c>
      <c r="I1499" s="3340">
        <v>42460</v>
      </c>
      <c r="J1499" s="3324"/>
    </row>
    <row r="1500" spans="1:12" s="3327" customFormat="1" ht="12.75" customHeight="1">
      <c r="A1500" s="3354"/>
      <c r="B1500" s="3369" t="s">
        <v>3867</v>
      </c>
      <c r="C1500" s="3336" t="s">
        <v>4052</v>
      </c>
      <c r="D1500" s="3345" t="s">
        <v>3419</v>
      </c>
      <c r="E1500" s="3339">
        <v>177.6</v>
      </c>
      <c r="F1500" s="3339">
        <v>360</v>
      </c>
      <c r="G1500" s="3340">
        <v>42461</v>
      </c>
      <c r="H1500" s="3340">
        <v>42824</v>
      </c>
      <c r="I1500" s="3340">
        <v>42825</v>
      </c>
      <c r="J1500" s="3324"/>
    </row>
    <row r="1501" spans="1:12" s="3327" customFormat="1" ht="12.75" customHeight="1">
      <c r="A1501" s="3354"/>
      <c r="B1501" s="3370" t="s">
        <v>3867</v>
      </c>
      <c r="C1501" s="3331" t="s">
        <v>4162</v>
      </c>
      <c r="D1501" s="3346" t="s">
        <v>4163</v>
      </c>
      <c r="E1501" s="3332">
        <v>177.6</v>
      </c>
      <c r="F1501" s="3332">
        <v>360</v>
      </c>
      <c r="G1501" s="3333">
        <v>42826</v>
      </c>
      <c r="H1501" s="3333">
        <v>42885</v>
      </c>
      <c r="I1501" s="3333">
        <v>42886</v>
      </c>
      <c r="J1501" s="3324"/>
      <c r="K1501" s="3334">
        <f t="shared" ref="K1501:K1506" si="173">E1501</f>
        <v>177.6</v>
      </c>
      <c r="L1501" s="3334">
        <f t="shared" ref="L1501:L1506" si="174">F1501/30</f>
        <v>12</v>
      </c>
    </row>
    <row r="1502" spans="1:12" s="3327" customFormat="1" ht="12.75" customHeight="1">
      <c r="A1502" s="3354"/>
      <c r="B1502" s="3370" t="s">
        <v>3867</v>
      </c>
      <c r="C1502" s="3331" t="s">
        <v>4162</v>
      </c>
      <c r="D1502" s="3346" t="s">
        <v>4163</v>
      </c>
      <c r="E1502" s="3332">
        <v>177.6</v>
      </c>
      <c r="F1502" s="3332">
        <v>360</v>
      </c>
      <c r="G1502" s="3333">
        <v>42887</v>
      </c>
      <c r="H1502" s="3333">
        <v>42916</v>
      </c>
      <c r="I1502" s="3333">
        <v>43190</v>
      </c>
      <c r="J1502" s="3324"/>
      <c r="K1502" s="3334">
        <f t="shared" si="173"/>
        <v>177.6</v>
      </c>
      <c r="L1502" s="3334">
        <f t="shared" si="174"/>
        <v>12</v>
      </c>
    </row>
    <row r="1503" spans="1:12" s="3327" customFormat="1" ht="12.75" customHeight="1">
      <c r="A1503" s="3354"/>
      <c r="B1503" s="3370" t="s">
        <v>3867</v>
      </c>
      <c r="C1503" s="3331" t="s">
        <v>4132</v>
      </c>
      <c r="D1503" s="3346" t="s">
        <v>4163</v>
      </c>
      <c r="E1503" s="3332">
        <v>23.68</v>
      </c>
      <c r="F1503" s="3332">
        <v>360</v>
      </c>
      <c r="G1503" s="3333">
        <v>42917</v>
      </c>
      <c r="H1503" s="3333">
        <v>43069</v>
      </c>
      <c r="I1503" s="3333">
        <v>43190</v>
      </c>
      <c r="J1503" s="3324"/>
      <c r="K1503" s="3334">
        <f t="shared" si="173"/>
        <v>23.68</v>
      </c>
      <c r="L1503" s="3334">
        <f t="shared" si="174"/>
        <v>12</v>
      </c>
    </row>
    <row r="1504" spans="1:12" s="3327" customFormat="1" ht="12.75" customHeight="1">
      <c r="A1504" s="3354"/>
      <c r="B1504" s="3370" t="s">
        <v>3867</v>
      </c>
      <c r="C1504" s="3331" t="s">
        <v>4164</v>
      </c>
      <c r="D1504" s="3346" t="s">
        <v>4165</v>
      </c>
      <c r="E1504" s="3332">
        <v>97.08</v>
      </c>
      <c r="F1504" s="3332">
        <v>380</v>
      </c>
      <c r="G1504" s="3333">
        <v>42917</v>
      </c>
      <c r="H1504" s="3333">
        <v>42946</v>
      </c>
      <c r="I1504" s="3333">
        <v>43190</v>
      </c>
      <c r="J1504" s="3324"/>
      <c r="K1504" s="3334">
        <f t="shared" si="173"/>
        <v>97.08</v>
      </c>
      <c r="L1504" s="3334">
        <f t="shared" si="174"/>
        <v>12.666666666666666</v>
      </c>
    </row>
    <row r="1505" spans="1:12" s="3327" customFormat="1" ht="12.75" customHeight="1">
      <c r="A1505" s="3354" t="s">
        <v>3872</v>
      </c>
      <c r="B1505" s="3370" t="s">
        <v>3867</v>
      </c>
      <c r="C1505" s="3331" t="s">
        <v>4164</v>
      </c>
      <c r="D1505" s="3346" t="s">
        <v>4165</v>
      </c>
      <c r="E1505" s="3332">
        <v>97.08</v>
      </c>
      <c r="F1505" s="3332">
        <v>380</v>
      </c>
      <c r="G1505" s="3333">
        <v>42948</v>
      </c>
      <c r="H1505" s="3333">
        <v>43130</v>
      </c>
      <c r="I1505" s="3333">
        <v>43190</v>
      </c>
      <c r="J1505" s="3324"/>
      <c r="K1505" s="3334">
        <f t="shared" si="173"/>
        <v>97.08</v>
      </c>
      <c r="L1505" s="3334">
        <f t="shared" si="174"/>
        <v>12.666666666666666</v>
      </c>
    </row>
    <row r="1506" spans="1:12" s="3327" customFormat="1" ht="12.75" customHeight="1">
      <c r="A1506" s="3354" t="s">
        <v>3872</v>
      </c>
      <c r="B1506" s="3370" t="s">
        <v>3867</v>
      </c>
      <c r="C1506" s="3331" t="s">
        <v>4166</v>
      </c>
      <c r="D1506" s="3346" t="s">
        <v>4167</v>
      </c>
      <c r="E1506" s="3332">
        <v>56.84</v>
      </c>
      <c r="F1506" s="3332">
        <v>380</v>
      </c>
      <c r="G1506" s="3333">
        <v>42917</v>
      </c>
      <c r="H1506" s="3333">
        <v>43130</v>
      </c>
      <c r="I1506" s="3333">
        <v>43190</v>
      </c>
      <c r="J1506" s="3324"/>
      <c r="K1506" s="3334">
        <f t="shared" si="173"/>
        <v>56.84</v>
      </c>
      <c r="L1506" s="3334">
        <f t="shared" si="174"/>
        <v>12.666666666666666</v>
      </c>
    </row>
    <row r="1507" spans="1:12" s="3327" customFormat="1" ht="12.75" customHeight="1">
      <c r="A1507" s="3355"/>
      <c r="B1507" s="3371" t="s">
        <v>3867</v>
      </c>
      <c r="C1507" s="3372" t="s">
        <v>4168</v>
      </c>
      <c r="D1507" s="3336" t="s">
        <v>4169</v>
      </c>
      <c r="E1507" s="3339">
        <v>93.9</v>
      </c>
      <c r="F1507" s="3339">
        <v>280</v>
      </c>
      <c r="G1507" s="3340">
        <v>41008</v>
      </c>
      <c r="H1507" s="3340">
        <v>41363</v>
      </c>
      <c r="I1507" s="3340">
        <v>41364</v>
      </c>
      <c r="J1507" s="3336"/>
    </row>
    <row r="1508" spans="1:12" s="3327" customFormat="1" ht="12.75" customHeight="1">
      <c r="A1508" s="3354"/>
      <c r="B1508" s="3368" t="s">
        <v>3867</v>
      </c>
      <c r="C1508" s="3324" t="s">
        <v>4170</v>
      </c>
      <c r="D1508" s="3344" t="s">
        <v>4150</v>
      </c>
      <c r="E1508" s="3325">
        <v>73</v>
      </c>
      <c r="F1508" s="3325">
        <v>350</v>
      </c>
      <c r="G1508" s="3326">
        <v>41699</v>
      </c>
      <c r="H1508" s="3326">
        <v>42093</v>
      </c>
      <c r="I1508" s="3326">
        <v>42094</v>
      </c>
      <c r="J1508" s="3324"/>
    </row>
    <row r="1509" spans="1:12" s="3327" customFormat="1" ht="12.75" customHeight="1">
      <c r="A1509" s="3354"/>
      <c r="B1509" s="3369" t="s">
        <v>3867</v>
      </c>
      <c r="C1509" s="3336" t="s">
        <v>4170</v>
      </c>
      <c r="D1509" s="3345" t="s">
        <v>4150</v>
      </c>
      <c r="E1509" s="3339">
        <v>73</v>
      </c>
      <c r="F1509" s="3339">
        <v>360</v>
      </c>
      <c r="G1509" s="3340">
        <v>42095</v>
      </c>
      <c r="H1509" s="3340">
        <v>42459</v>
      </c>
      <c r="I1509" s="3340">
        <v>42460</v>
      </c>
      <c r="J1509" s="3324"/>
    </row>
    <row r="1510" spans="1:12" s="3327" customFormat="1" ht="12.75" customHeight="1">
      <c r="A1510" s="3354"/>
      <c r="B1510" s="3369" t="s">
        <v>3867</v>
      </c>
      <c r="C1510" s="3336" t="s">
        <v>4170</v>
      </c>
      <c r="D1510" s="3345" t="s">
        <v>4150</v>
      </c>
      <c r="E1510" s="3339">
        <v>73</v>
      </c>
      <c r="F1510" s="3339">
        <v>370</v>
      </c>
      <c r="G1510" s="3340">
        <v>42461</v>
      </c>
      <c r="H1510" s="3340">
        <v>42824</v>
      </c>
      <c r="I1510" s="3340">
        <v>42825</v>
      </c>
      <c r="J1510" s="3324"/>
    </row>
    <row r="1511" spans="1:12" s="3327" customFormat="1" ht="12.75" customHeight="1">
      <c r="A1511" s="3354"/>
      <c r="B1511" s="3370" t="s">
        <v>3867</v>
      </c>
      <c r="C1511" s="3331" t="s">
        <v>4171</v>
      </c>
      <c r="D1511" s="3346" t="s">
        <v>4172</v>
      </c>
      <c r="E1511" s="3332">
        <v>73</v>
      </c>
      <c r="F1511" s="3332">
        <v>390</v>
      </c>
      <c r="G1511" s="3333">
        <v>42826</v>
      </c>
      <c r="H1511" s="3333">
        <v>42885</v>
      </c>
      <c r="I1511" s="3333">
        <v>42886</v>
      </c>
      <c r="J1511" s="3324"/>
      <c r="K1511" s="3334">
        <f t="shared" ref="K1511:K1513" si="175">E1511</f>
        <v>73</v>
      </c>
      <c r="L1511" s="3334">
        <f t="shared" ref="L1511:L1513" si="176">F1511/30</f>
        <v>13</v>
      </c>
    </row>
    <row r="1512" spans="1:12" s="3327" customFormat="1" ht="12.75" customHeight="1">
      <c r="A1512" s="3354"/>
      <c r="B1512" s="3370" t="s">
        <v>3867</v>
      </c>
      <c r="C1512" s="3331" t="s">
        <v>4171</v>
      </c>
      <c r="D1512" s="3346" t="s">
        <v>4172</v>
      </c>
      <c r="E1512" s="3332">
        <v>73</v>
      </c>
      <c r="F1512" s="3332">
        <v>370</v>
      </c>
      <c r="G1512" s="3333">
        <v>42887</v>
      </c>
      <c r="H1512" s="3333">
        <v>42916</v>
      </c>
      <c r="I1512" s="3333">
        <v>43190</v>
      </c>
      <c r="J1512" s="3324"/>
      <c r="K1512" s="3334">
        <f t="shared" si="175"/>
        <v>73</v>
      </c>
      <c r="L1512" s="3334">
        <f t="shared" si="176"/>
        <v>12.333333333333334</v>
      </c>
    </row>
    <row r="1513" spans="1:12" s="3327" customFormat="1" ht="12.75" customHeight="1">
      <c r="A1513" s="3354" t="s">
        <v>3872</v>
      </c>
      <c r="B1513" s="3370" t="s">
        <v>3867</v>
      </c>
      <c r="C1513" s="3331" t="s">
        <v>4173</v>
      </c>
      <c r="D1513" s="3346" t="s">
        <v>4172</v>
      </c>
      <c r="E1513" s="3332">
        <v>73</v>
      </c>
      <c r="F1513" s="3332">
        <v>400</v>
      </c>
      <c r="G1513" s="3333">
        <v>42917</v>
      </c>
      <c r="H1513" s="3333">
        <v>43130</v>
      </c>
      <c r="I1513" s="3333">
        <v>43190</v>
      </c>
      <c r="J1513" s="3324"/>
      <c r="K1513" s="3334">
        <f t="shared" si="175"/>
        <v>73</v>
      </c>
      <c r="L1513" s="3334">
        <f t="shared" si="176"/>
        <v>13.333333333333334</v>
      </c>
    </row>
    <row r="1514" spans="1:12" s="3327" customFormat="1" ht="12.75" customHeight="1">
      <c r="A1514" s="3354"/>
      <c r="B1514" s="3368" t="s">
        <v>3867</v>
      </c>
      <c r="C1514" s="3324" t="s">
        <v>4166</v>
      </c>
      <c r="D1514" s="3344" t="s">
        <v>4174</v>
      </c>
      <c r="E1514" s="3325">
        <v>40.5</v>
      </c>
      <c r="F1514" s="3325">
        <v>330</v>
      </c>
      <c r="G1514" s="3326">
        <v>41699</v>
      </c>
      <c r="H1514" s="3326">
        <v>42003</v>
      </c>
      <c r="I1514" s="3326">
        <v>42094</v>
      </c>
      <c r="J1514" s="3324"/>
    </row>
    <row r="1515" spans="1:12" s="3327" customFormat="1" ht="12.75" customHeight="1">
      <c r="A1515" s="3354"/>
      <c r="B1515" s="3368" t="s">
        <v>3867</v>
      </c>
      <c r="C1515" s="3324" t="s">
        <v>4166</v>
      </c>
      <c r="D1515" s="3344" t="s">
        <v>4174</v>
      </c>
      <c r="E1515" s="3325">
        <v>40.5</v>
      </c>
      <c r="F1515" s="3325">
        <v>340</v>
      </c>
      <c r="G1515" s="3326">
        <v>42005</v>
      </c>
      <c r="H1515" s="3326">
        <v>42093</v>
      </c>
      <c r="I1515" s="3326">
        <v>42094</v>
      </c>
      <c r="J1515" s="3324"/>
    </row>
    <row r="1516" spans="1:12" s="3327" customFormat="1" ht="12.75" customHeight="1">
      <c r="A1516" s="3354"/>
      <c r="B1516" s="3369" t="s">
        <v>3867</v>
      </c>
      <c r="C1516" s="3336" t="s">
        <v>4166</v>
      </c>
      <c r="D1516" s="3345" t="s">
        <v>4174</v>
      </c>
      <c r="E1516" s="3339">
        <v>40.5</v>
      </c>
      <c r="F1516" s="3339">
        <v>340</v>
      </c>
      <c r="G1516" s="3340">
        <v>42095</v>
      </c>
      <c r="H1516" s="3340">
        <v>42459</v>
      </c>
      <c r="I1516" s="3340">
        <v>42460</v>
      </c>
      <c r="J1516" s="3324"/>
    </row>
    <row r="1517" spans="1:12" s="3327" customFormat="1" ht="12.75" customHeight="1">
      <c r="A1517" s="3354"/>
      <c r="B1517" s="3369" t="s">
        <v>3867</v>
      </c>
      <c r="C1517" s="3336" t="s">
        <v>4166</v>
      </c>
      <c r="D1517" s="3345" t="s">
        <v>4174</v>
      </c>
      <c r="E1517" s="3339">
        <v>40.5</v>
      </c>
      <c r="F1517" s="3339">
        <v>360</v>
      </c>
      <c r="G1517" s="3340">
        <v>42461</v>
      </c>
      <c r="H1517" s="3340">
        <v>42824</v>
      </c>
      <c r="I1517" s="3340">
        <v>42825</v>
      </c>
      <c r="J1517" s="3324"/>
    </row>
    <row r="1518" spans="1:12" s="3327" customFormat="1" ht="12.75" customHeight="1">
      <c r="A1518" s="3354"/>
      <c r="B1518" s="3370" t="s">
        <v>3867</v>
      </c>
      <c r="C1518" s="3331" t="s">
        <v>4166</v>
      </c>
      <c r="D1518" s="3346" t="s">
        <v>4175</v>
      </c>
      <c r="E1518" s="3332">
        <v>40.5</v>
      </c>
      <c r="F1518" s="3332">
        <v>360</v>
      </c>
      <c r="G1518" s="3333">
        <v>42826</v>
      </c>
      <c r="H1518" s="3333">
        <v>42885</v>
      </c>
      <c r="I1518" s="3333">
        <v>42886</v>
      </c>
      <c r="J1518" s="3324"/>
      <c r="K1518" s="3334">
        <f t="shared" ref="K1518:K1520" si="177">E1518</f>
        <v>40.5</v>
      </c>
      <c r="L1518" s="3334">
        <f t="shared" ref="L1518:L1520" si="178">F1518/30</f>
        <v>12</v>
      </c>
    </row>
    <row r="1519" spans="1:12" s="3327" customFormat="1" ht="12.75" customHeight="1">
      <c r="A1519" s="3354"/>
      <c r="B1519" s="3370" t="s">
        <v>3867</v>
      </c>
      <c r="C1519" s="3331" t="s">
        <v>4166</v>
      </c>
      <c r="D1519" s="3346" t="s">
        <v>4175</v>
      </c>
      <c r="E1519" s="3332">
        <v>40.5</v>
      </c>
      <c r="F1519" s="3332">
        <v>360</v>
      </c>
      <c r="G1519" s="3333">
        <v>42887</v>
      </c>
      <c r="H1519" s="3333">
        <v>42916</v>
      </c>
      <c r="I1519" s="3333">
        <v>43190</v>
      </c>
      <c r="J1519" s="3324"/>
      <c r="K1519" s="3334">
        <f t="shared" si="177"/>
        <v>40.5</v>
      </c>
      <c r="L1519" s="3334">
        <f t="shared" si="178"/>
        <v>12</v>
      </c>
    </row>
    <row r="1520" spans="1:12" s="3327" customFormat="1" ht="11.25">
      <c r="A1520" s="3354" t="s">
        <v>3872</v>
      </c>
      <c r="B1520" s="3370" t="s">
        <v>3867</v>
      </c>
      <c r="C1520" s="3331" t="s">
        <v>3877</v>
      </c>
      <c r="D1520" s="3346" t="s">
        <v>4175</v>
      </c>
      <c r="E1520" s="3332">
        <v>40.5</v>
      </c>
      <c r="F1520" s="3332">
        <v>400</v>
      </c>
      <c r="G1520" s="3333">
        <v>42917</v>
      </c>
      <c r="H1520" s="3333">
        <v>43130</v>
      </c>
      <c r="I1520" s="3333">
        <v>43190</v>
      </c>
      <c r="J1520" s="3324"/>
      <c r="K1520" s="3334">
        <f t="shared" si="177"/>
        <v>40.5</v>
      </c>
      <c r="L1520" s="3334">
        <f t="shared" si="178"/>
        <v>13.333333333333334</v>
      </c>
    </row>
    <row r="1521" spans="1:12" s="3327" customFormat="1" ht="12.75" customHeight="1">
      <c r="A1521" s="3355"/>
      <c r="B1521" s="3371" t="s">
        <v>3867</v>
      </c>
      <c r="C1521" s="3372" t="s">
        <v>4176</v>
      </c>
      <c r="D1521" s="3336" t="s">
        <v>4177</v>
      </c>
      <c r="E1521" s="3339">
        <v>145.69999999999999</v>
      </c>
      <c r="F1521" s="3339">
        <v>330</v>
      </c>
      <c r="G1521" s="3340">
        <v>41000</v>
      </c>
      <c r="H1521" s="3340">
        <v>41273</v>
      </c>
      <c r="I1521" s="3340">
        <v>41364</v>
      </c>
      <c r="J1521" s="3336"/>
    </row>
    <row r="1522" spans="1:12" s="3327" customFormat="1" ht="12.75" customHeight="1">
      <c r="A1522" s="3355"/>
      <c r="B1522" s="3366" t="s">
        <v>3867</v>
      </c>
      <c r="C1522" s="3367" t="s">
        <v>4104</v>
      </c>
      <c r="D1522" s="3336" t="s">
        <v>4178</v>
      </c>
      <c r="E1522" s="3339">
        <v>145.69999999999999</v>
      </c>
      <c r="F1522" s="3339">
        <v>330</v>
      </c>
      <c r="G1522" s="3340">
        <v>41306</v>
      </c>
      <c r="H1522" s="3340">
        <v>41698</v>
      </c>
      <c r="I1522" s="3340">
        <v>41729</v>
      </c>
      <c r="J1522" s="3336"/>
    </row>
    <row r="1523" spans="1:12" s="3327" customFormat="1" ht="12.75" customHeight="1">
      <c r="A1523" s="3354"/>
      <c r="B1523" s="3368" t="s">
        <v>3867</v>
      </c>
      <c r="C1523" s="3324" t="s">
        <v>4179</v>
      </c>
      <c r="D1523" s="3344" t="s">
        <v>4163</v>
      </c>
      <c r="E1523" s="3325">
        <v>121.5</v>
      </c>
      <c r="F1523" s="3325">
        <v>330</v>
      </c>
      <c r="G1523" s="3326">
        <v>41699</v>
      </c>
      <c r="H1523" s="3326">
        <v>42093</v>
      </c>
      <c r="I1523" s="3326">
        <v>42094</v>
      </c>
      <c r="J1523" s="3324"/>
    </row>
    <row r="1524" spans="1:12" s="3327" customFormat="1" ht="12.75" customHeight="1">
      <c r="A1524" s="3354"/>
      <c r="B1524" s="3369" t="s">
        <v>3867</v>
      </c>
      <c r="C1524" s="3336" t="s">
        <v>4179</v>
      </c>
      <c r="D1524" s="3345" t="s">
        <v>4163</v>
      </c>
      <c r="E1524" s="3339">
        <v>121.5</v>
      </c>
      <c r="F1524" s="3339">
        <v>350</v>
      </c>
      <c r="G1524" s="3340">
        <v>42095</v>
      </c>
      <c r="H1524" s="3340">
        <v>42459</v>
      </c>
      <c r="I1524" s="3340">
        <v>42460</v>
      </c>
      <c r="J1524" s="3324"/>
    </row>
    <row r="1525" spans="1:12" s="3327" customFormat="1" ht="12.75" customHeight="1">
      <c r="A1525" s="3354"/>
      <c r="B1525" s="3369" t="s">
        <v>3867</v>
      </c>
      <c r="C1525" s="3336" t="s">
        <v>4179</v>
      </c>
      <c r="D1525" s="3345" t="s">
        <v>4163</v>
      </c>
      <c r="E1525" s="3339">
        <v>121.5</v>
      </c>
      <c r="F1525" s="3339">
        <v>350</v>
      </c>
      <c r="G1525" s="3340">
        <v>42461</v>
      </c>
      <c r="H1525" s="3340">
        <v>42824</v>
      </c>
      <c r="I1525" s="3340">
        <v>42825</v>
      </c>
      <c r="J1525" s="3324"/>
    </row>
    <row r="1526" spans="1:12" s="3327" customFormat="1" ht="12.75" customHeight="1">
      <c r="A1526" s="3354"/>
      <c r="B1526" s="3370" t="s">
        <v>3867</v>
      </c>
      <c r="C1526" s="3331" t="s">
        <v>4180</v>
      </c>
      <c r="D1526" s="3346" t="s">
        <v>4178</v>
      </c>
      <c r="E1526" s="3332">
        <v>121.5</v>
      </c>
      <c r="F1526" s="3332">
        <v>380</v>
      </c>
      <c r="G1526" s="3333">
        <v>42826</v>
      </c>
      <c r="H1526" s="3333">
        <v>42885</v>
      </c>
      <c r="I1526" s="3333">
        <v>42886</v>
      </c>
      <c r="J1526" s="3324"/>
      <c r="K1526" s="3334">
        <f t="shared" ref="K1526:K1527" si="179">E1526</f>
        <v>121.5</v>
      </c>
      <c r="L1526" s="3334">
        <f t="shared" ref="L1526:L1527" si="180">F1526/30</f>
        <v>12.666666666666666</v>
      </c>
    </row>
    <row r="1527" spans="1:12" s="3327" customFormat="1" ht="12.75" customHeight="1">
      <c r="A1527" s="3354" t="s">
        <v>3872</v>
      </c>
      <c r="B1527" s="3370" t="s">
        <v>3867</v>
      </c>
      <c r="C1527" s="3331" t="s">
        <v>4180</v>
      </c>
      <c r="D1527" s="3346" t="s">
        <v>4178</v>
      </c>
      <c r="E1527" s="3332">
        <v>121.5</v>
      </c>
      <c r="F1527" s="3332">
        <v>400</v>
      </c>
      <c r="G1527" s="3333">
        <v>42887</v>
      </c>
      <c r="H1527" s="3333">
        <v>43130</v>
      </c>
      <c r="I1527" s="3333">
        <v>43190</v>
      </c>
      <c r="J1527" s="3324"/>
      <c r="K1527" s="3334">
        <f t="shared" si="179"/>
        <v>121.5</v>
      </c>
      <c r="L1527" s="3334">
        <f t="shared" si="180"/>
        <v>13.333333333333334</v>
      </c>
    </row>
    <row r="1528" spans="1:12" s="3327" customFormat="1" ht="13.5" customHeight="1">
      <c r="A1528" s="3354"/>
      <c r="B1528" s="3383" t="s">
        <v>3867</v>
      </c>
      <c r="C1528" s="3384" t="s">
        <v>4181</v>
      </c>
      <c r="D1528" s="3324" t="s">
        <v>3999</v>
      </c>
      <c r="E1528" s="3325">
        <v>63.3</v>
      </c>
      <c r="F1528" s="3325">
        <v>310</v>
      </c>
      <c r="G1528" s="3326">
        <v>41699</v>
      </c>
      <c r="H1528" s="3326">
        <v>41789</v>
      </c>
      <c r="I1528" s="3326">
        <v>42094</v>
      </c>
      <c r="J1528" s="3324"/>
    </row>
    <row r="1529" spans="1:12" s="3327" customFormat="1" ht="13.5" customHeight="1">
      <c r="A1529" s="3354"/>
      <c r="B1529" s="3368" t="s">
        <v>3867</v>
      </c>
      <c r="C1529" s="3324" t="s">
        <v>4181</v>
      </c>
      <c r="D1529" s="3344" t="s">
        <v>3999</v>
      </c>
      <c r="E1529" s="3325">
        <v>63.3</v>
      </c>
      <c r="F1529" s="3325">
        <v>310</v>
      </c>
      <c r="G1529" s="3326">
        <v>41791</v>
      </c>
      <c r="H1529" s="3326">
        <v>42093</v>
      </c>
      <c r="I1529" s="3326">
        <v>42094</v>
      </c>
      <c r="J1529" s="3324"/>
    </row>
    <row r="1530" spans="1:12" s="3327" customFormat="1" ht="13.5" customHeight="1">
      <c r="A1530" s="3354"/>
      <c r="B1530" s="3369" t="s">
        <v>3867</v>
      </c>
      <c r="C1530" s="3336" t="s">
        <v>4181</v>
      </c>
      <c r="D1530" s="3345" t="s">
        <v>3999</v>
      </c>
      <c r="E1530" s="3339">
        <v>63.3</v>
      </c>
      <c r="F1530" s="3339">
        <v>320</v>
      </c>
      <c r="G1530" s="3340">
        <v>42095</v>
      </c>
      <c r="H1530" s="3340">
        <v>42459</v>
      </c>
      <c r="I1530" s="3340">
        <v>42460</v>
      </c>
      <c r="J1530" s="3324"/>
    </row>
    <row r="1531" spans="1:12" s="3327" customFormat="1" ht="13.5" customHeight="1">
      <c r="A1531" s="3354"/>
      <c r="B1531" s="3369" t="s">
        <v>3867</v>
      </c>
      <c r="C1531" s="3336" t="s">
        <v>4071</v>
      </c>
      <c r="D1531" s="3345" t="s">
        <v>3999</v>
      </c>
      <c r="E1531" s="3339">
        <v>63.3</v>
      </c>
      <c r="F1531" s="3339">
        <v>340</v>
      </c>
      <c r="G1531" s="3340">
        <v>42461</v>
      </c>
      <c r="H1531" s="3340">
        <v>42826</v>
      </c>
      <c r="I1531" s="3340">
        <v>42826</v>
      </c>
      <c r="J1531" s="3324"/>
    </row>
    <row r="1532" spans="1:12" s="3327" customFormat="1" ht="13.5" customHeight="1">
      <c r="A1532" s="3354"/>
      <c r="B1532" s="3370" t="s">
        <v>3867</v>
      </c>
      <c r="C1532" s="3331" t="s">
        <v>4071</v>
      </c>
      <c r="D1532" s="3346" t="s">
        <v>4182</v>
      </c>
      <c r="E1532" s="3332">
        <v>63.3</v>
      </c>
      <c r="F1532" s="3332">
        <v>340</v>
      </c>
      <c r="G1532" s="3333">
        <v>42827</v>
      </c>
      <c r="H1532" s="3333">
        <v>42885</v>
      </c>
      <c r="I1532" s="3333">
        <v>42886</v>
      </c>
      <c r="J1532" s="3324"/>
      <c r="K1532" s="3334">
        <f t="shared" ref="K1532:K1533" si="181">E1532</f>
        <v>63.3</v>
      </c>
      <c r="L1532" s="3334">
        <f t="shared" ref="L1532:L1533" si="182">F1532/30</f>
        <v>11.333333333333334</v>
      </c>
    </row>
    <row r="1533" spans="1:12" s="3327" customFormat="1" ht="13.5" customHeight="1">
      <c r="A1533" s="3354" t="s">
        <v>3872</v>
      </c>
      <c r="B1533" s="3370" t="s">
        <v>3867</v>
      </c>
      <c r="C1533" s="3331" t="s">
        <v>4071</v>
      </c>
      <c r="D1533" s="3346" t="s">
        <v>4182</v>
      </c>
      <c r="E1533" s="3332">
        <v>63.3</v>
      </c>
      <c r="F1533" s="3332">
        <v>360</v>
      </c>
      <c r="G1533" s="3333">
        <v>42887</v>
      </c>
      <c r="H1533" s="3333">
        <v>43130</v>
      </c>
      <c r="I1533" s="3333">
        <v>43190</v>
      </c>
      <c r="J1533" s="3324"/>
      <c r="K1533" s="3334">
        <f t="shared" si="181"/>
        <v>63.3</v>
      </c>
      <c r="L1533" s="3334">
        <f t="shared" si="182"/>
        <v>12</v>
      </c>
    </row>
    <row r="1534" spans="1:12" s="3327" customFormat="1" ht="12.75" customHeight="1">
      <c r="A1534" s="3354"/>
      <c r="B1534" s="3368" t="s">
        <v>3867</v>
      </c>
      <c r="C1534" s="3324" t="s">
        <v>4164</v>
      </c>
      <c r="D1534" s="3344" t="s">
        <v>4183</v>
      </c>
      <c r="E1534" s="3325">
        <v>55.9</v>
      </c>
      <c r="F1534" s="3325">
        <v>330</v>
      </c>
      <c r="G1534" s="3326">
        <v>41699</v>
      </c>
      <c r="H1534" s="3326">
        <v>42003</v>
      </c>
      <c r="I1534" s="3326">
        <v>42094</v>
      </c>
      <c r="J1534" s="3324"/>
    </row>
    <row r="1535" spans="1:12" s="3327" customFormat="1" ht="12.75" customHeight="1">
      <c r="A1535" s="3354"/>
      <c r="B1535" s="3368" t="s">
        <v>3867</v>
      </c>
      <c r="C1535" s="3324" t="s">
        <v>4164</v>
      </c>
      <c r="D1535" s="3344" t="s">
        <v>4183</v>
      </c>
      <c r="E1535" s="3325">
        <v>55.9</v>
      </c>
      <c r="F1535" s="3325">
        <v>350</v>
      </c>
      <c r="G1535" s="3326">
        <v>42005</v>
      </c>
      <c r="H1535" s="3326">
        <v>42093</v>
      </c>
      <c r="I1535" s="3326">
        <v>42094</v>
      </c>
      <c r="J1535" s="3324"/>
    </row>
    <row r="1536" spans="1:12" s="3327" customFormat="1" ht="12.75" customHeight="1">
      <c r="A1536" s="3354"/>
      <c r="B1536" s="3369" t="s">
        <v>3867</v>
      </c>
      <c r="C1536" s="3336" t="s">
        <v>4164</v>
      </c>
      <c r="D1536" s="3345" t="s">
        <v>4183</v>
      </c>
      <c r="E1536" s="3339">
        <v>55.9</v>
      </c>
      <c r="F1536" s="3339">
        <v>350</v>
      </c>
      <c r="G1536" s="3340">
        <v>42095</v>
      </c>
      <c r="H1536" s="3340">
        <v>42459</v>
      </c>
      <c r="I1536" s="3340">
        <v>42460</v>
      </c>
      <c r="J1536" s="3324"/>
    </row>
    <row r="1537" spans="1:12" s="3327" customFormat="1" ht="12.75" customHeight="1">
      <c r="A1537" s="3354"/>
      <c r="B1537" s="3369" t="s">
        <v>3867</v>
      </c>
      <c r="C1537" s="3336" t="s">
        <v>4164</v>
      </c>
      <c r="D1537" s="3345" t="s">
        <v>4183</v>
      </c>
      <c r="E1537" s="3339">
        <v>55.9</v>
      </c>
      <c r="F1537" s="3339">
        <v>360</v>
      </c>
      <c r="G1537" s="3340">
        <v>42461</v>
      </c>
      <c r="H1537" s="3340">
        <v>42824</v>
      </c>
      <c r="I1537" s="3340">
        <v>42825</v>
      </c>
      <c r="J1537" s="3324"/>
    </row>
    <row r="1538" spans="1:12" s="3327" customFormat="1" ht="12.75" customHeight="1">
      <c r="A1538" s="3354"/>
      <c r="B1538" s="3370" t="s">
        <v>3867</v>
      </c>
      <c r="C1538" s="3331" t="s">
        <v>4164</v>
      </c>
      <c r="D1538" s="3346" t="s">
        <v>4183</v>
      </c>
      <c r="E1538" s="3332">
        <v>55.9</v>
      </c>
      <c r="F1538" s="3332">
        <v>365</v>
      </c>
      <c r="G1538" s="3333">
        <v>42826</v>
      </c>
      <c r="H1538" s="3333">
        <v>42885</v>
      </c>
      <c r="I1538" s="3333">
        <v>42886</v>
      </c>
      <c r="J1538" s="3324"/>
      <c r="K1538" s="3334">
        <f t="shared" ref="K1538:K1540" si="183">E1538</f>
        <v>55.9</v>
      </c>
      <c r="L1538" s="3334">
        <f t="shared" ref="L1538:L1540" si="184">F1538/30</f>
        <v>12.166666666666666</v>
      </c>
    </row>
    <row r="1539" spans="1:12" s="3327" customFormat="1" ht="12.75" customHeight="1">
      <c r="A1539" s="3354"/>
      <c r="B1539" s="3370" t="s">
        <v>3867</v>
      </c>
      <c r="C1539" s="3331" t="s">
        <v>4164</v>
      </c>
      <c r="D1539" s="3346" t="s">
        <v>4183</v>
      </c>
      <c r="E1539" s="3332">
        <v>55.9</v>
      </c>
      <c r="F1539" s="3332">
        <v>365</v>
      </c>
      <c r="G1539" s="3333">
        <v>42887</v>
      </c>
      <c r="H1539" s="3333">
        <v>42916</v>
      </c>
      <c r="I1539" s="3333">
        <v>43190</v>
      </c>
      <c r="J1539" s="3324"/>
      <c r="K1539" s="3334">
        <f t="shared" si="183"/>
        <v>55.9</v>
      </c>
      <c r="L1539" s="3334">
        <f t="shared" si="184"/>
        <v>12.166666666666666</v>
      </c>
    </row>
    <row r="1540" spans="1:12" s="3327" customFormat="1" ht="12.75" customHeight="1">
      <c r="A1540" s="3354" t="s">
        <v>3872</v>
      </c>
      <c r="B1540" s="3370" t="s">
        <v>3867</v>
      </c>
      <c r="C1540" s="3331" t="s">
        <v>4184</v>
      </c>
      <c r="D1540" s="3346" t="s">
        <v>4183</v>
      </c>
      <c r="E1540" s="3332">
        <v>104.4</v>
      </c>
      <c r="F1540" s="3332">
        <v>380</v>
      </c>
      <c r="G1540" s="3333">
        <v>42917</v>
      </c>
      <c r="H1540" s="3333">
        <v>43130</v>
      </c>
      <c r="I1540" s="3333">
        <v>43190</v>
      </c>
      <c r="J1540" s="3324"/>
      <c r="K1540" s="3334">
        <f t="shared" si="183"/>
        <v>104.4</v>
      </c>
      <c r="L1540" s="3334">
        <f t="shared" si="184"/>
        <v>12.666666666666666</v>
      </c>
    </row>
    <row r="1541" spans="1:12" s="3327" customFormat="1" ht="12.75" customHeight="1">
      <c r="A1541" s="3354"/>
      <c r="B1541" s="3324" t="s">
        <v>3867</v>
      </c>
      <c r="C1541" s="3324" t="s">
        <v>4185</v>
      </c>
      <c r="D1541" s="3324" t="s">
        <v>3995</v>
      </c>
      <c r="E1541" s="3325">
        <v>58.4</v>
      </c>
      <c r="F1541" s="3325">
        <v>330</v>
      </c>
      <c r="G1541" s="3326">
        <v>41699</v>
      </c>
      <c r="H1541" s="3326">
        <v>41912</v>
      </c>
      <c r="I1541" s="3326">
        <v>41912</v>
      </c>
      <c r="J1541" s="3324"/>
    </row>
    <row r="1542" spans="1:12" s="3327" customFormat="1" ht="12.75" customHeight="1">
      <c r="A1542" s="3354"/>
      <c r="B1542" s="3324" t="s">
        <v>3867</v>
      </c>
      <c r="C1542" s="3324" t="s">
        <v>4186</v>
      </c>
      <c r="D1542" s="3324" t="s">
        <v>3995</v>
      </c>
      <c r="E1542" s="3325">
        <v>58.4</v>
      </c>
      <c r="F1542" s="3325">
        <v>330</v>
      </c>
      <c r="G1542" s="3326">
        <v>41913</v>
      </c>
      <c r="H1542" s="3326">
        <v>42093</v>
      </c>
      <c r="I1542" s="3326">
        <v>42094</v>
      </c>
      <c r="J1542" s="3324"/>
    </row>
    <row r="1543" spans="1:12" s="3327" customFormat="1" ht="12.75" customHeight="1">
      <c r="A1543" s="3354"/>
      <c r="B1543" s="3336" t="s">
        <v>3867</v>
      </c>
      <c r="C1543" s="3336" t="s">
        <v>4186</v>
      </c>
      <c r="D1543" s="3336" t="s">
        <v>3995</v>
      </c>
      <c r="E1543" s="3339">
        <v>58.4</v>
      </c>
      <c r="F1543" s="3339">
        <v>340</v>
      </c>
      <c r="G1543" s="3340">
        <v>42095</v>
      </c>
      <c r="H1543" s="3340">
        <v>42141</v>
      </c>
      <c r="I1543" s="3340">
        <v>42460</v>
      </c>
      <c r="J1543" s="3324"/>
    </row>
    <row r="1544" spans="1:12" s="3327" customFormat="1" ht="12.75" customHeight="1">
      <c r="A1544" s="3354"/>
      <c r="B1544" s="3336" t="s">
        <v>3867</v>
      </c>
      <c r="C1544" s="3336" t="s">
        <v>4186</v>
      </c>
      <c r="D1544" s="3336" t="s">
        <v>3995</v>
      </c>
      <c r="E1544" s="3339">
        <v>58.4</v>
      </c>
      <c r="F1544" s="3339">
        <v>340</v>
      </c>
      <c r="G1544" s="3340">
        <v>42142</v>
      </c>
      <c r="H1544" s="3340">
        <v>42386</v>
      </c>
      <c r="I1544" s="3340">
        <v>42460</v>
      </c>
      <c r="J1544" s="3324"/>
    </row>
    <row r="1545" spans="1:12" s="3327" customFormat="1" ht="12.75" customHeight="1">
      <c r="A1545" s="3354"/>
      <c r="B1545" s="3336" t="s">
        <v>3867</v>
      </c>
      <c r="C1545" s="3336" t="s">
        <v>4064</v>
      </c>
      <c r="D1545" s="3336" t="s">
        <v>3995</v>
      </c>
      <c r="E1545" s="3339">
        <v>58.4</v>
      </c>
      <c r="F1545" s="3339">
        <v>360</v>
      </c>
      <c r="G1545" s="3340">
        <v>42387</v>
      </c>
      <c r="H1545" s="3340">
        <v>42459</v>
      </c>
      <c r="I1545" s="3340">
        <v>42460</v>
      </c>
      <c r="J1545" s="3324"/>
    </row>
    <row r="1546" spans="1:12" s="3327" customFormat="1" ht="12.75" customHeight="1">
      <c r="A1546" s="3354"/>
      <c r="B1546" s="3336" t="s">
        <v>3867</v>
      </c>
      <c r="C1546" s="3336" t="s">
        <v>4064</v>
      </c>
      <c r="D1546" s="3336" t="s">
        <v>3995</v>
      </c>
      <c r="E1546" s="3339">
        <v>58.4</v>
      </c>
      <c r="F1546" s="3339">
        <v>360</v>
      </c>
      <c r="G1546" s="3340">
        <v>42461</v>
      </c>
      <c r="H1546" s="3340">
        <v>42824</v>
      </c>
      <c r="I1546" s="3340">
        <v>42825</v>
      </c>
      <c r="J1546" s="3324"/>
    </row>
    <row r="1547" spans="1:12" s="3327" customFormat="1" ht="12.75" customHeight="1">
      <c r="A1547" s="3354"/>
      <c r="B1547" s="3331" t="s">
        <v>3867</v>
      </c>
      <c r="C1547" s="3331" t="s">
        <v>4064</v>
      </c>
      <c r="D1547" s="3346" t="s">
        <v>4187</v>
      </c>
      <c r="E1547" s="3332">
        <v>58.4</v>
      </c>
      <c r="F1547" s="3332">
        <v>360</v>
      </c>
      <c r="G1547" s="3333">
        <v>42826</v>
      </c>
      <c r="H1547" s="3333">
        <v>42885</v>
      </c>
      <c r="I1547" s="3333">
        <v>42886</v>
      </c>
      <c r="J1547" s="3324"/>
      <c r="K1547" s="3334">
        <f t="shared" ref="K1547:K1548" si="185">E1547</f>
        <v>58.4</v>
      </c>
      <c r="L1547" s="3334">
        <f t="shared" ref="L1547:L1548" si="186">F1547/30</f>
        <v>12</v>
      </c>
    </row>
    <row r="1548" spans="1:12" s="3327" customFormat="1" ht="12.75" customHeight="1">
      <c r="A1548" s="3354" t="s">
        <v>3872</v>
      </c>
      <c r="B1548" s="3331" t="s">
        <v>3867</v>
      </c>
      <c r="C1548" s="3331" t="s">
        <v>4064</v>
      </c>
      <c r="D1548" s="3346" t="s">
        <v>4187</v>
      </c>
      <c r="E1548" s="3332">
        <v>58.4</v>
      </c>
      <c r="F1548" s="3332">
        <v>380</v>
      </c>
      <c r="G1548" s="3333">
        <v>42887</v>
      </c>
      <c r="H1548" s="3333">
        <v>43130</v>
      </c>
      <c r="I1548" s="3333">
        <v>43190</v>
      </c>
      <c r="J1548" s="3324"/>
      <c r="K1548" s="3334">
        <f t="shared" si="185"/>
        <v>58.4</v>
      </c>
      <c r="L1548" s="3334">
        <f t="shared" si="186"/>
        <v>12.666666666666666</v>
      </c>
    </row>
    <row r="1549" spans="1:12" s="3327" customFormat="1" ht="12.75" customHeight="1">
      <c r="A1549" s="3354"/>
      <c r="B1549" s="3368" t="s">
        <v>3867</v>
      </c>
      <c r="C1549" s="3324" t="s">
        <v>4188</v>
      </c>
      <c r="D1549" s="3344" t="s">
        <v>4130</v>
      </c>
      <c r="E1549" s="3325">
        <v>142.19999999999999</v>
      </c>
      <c r="F1549" s="3325">
        <v>360</v>
      </c>
      <c r="G1549" s="3326">
        <v>41699</v>
      </c>
      <c r="H1549" s="3326">
        <v>42003</v>
      </c>
      <c r="I1549" s="3326">
        <v>42094</v>
      </c>
      <c r="J1549" s="3324"/>
    </row>
    <row r="1550" spans="1:12" s="3327" customFormat="1" ht="12.75" customHeight="1">
      <c r="A1550" s="3354"/>
      <c r="B1550" s="3368" t="s">
        <v>3867</v>
      </c>
      <c r="C1550" s="3324" t="s">
        <v>4188</v>
      </c>
      <c r="D1550" s="3344" t="s">
        <v>4130</v>
      </c>
      <c r="E1550" s="3325">
        <v>142.19999999999999</v>
      </c>
      <c r="F1550" s="3325">
        <v>370</v>
      </c>
      <c r="G1550" s="3326">
        <v>42005</v>
      </c>
      <c r="H1550" s="3326">
        <v>42093</v>
      </c>
      <c r="I1550" s="3326">
        <v>42094</v>
      </c>
      <c r="J1550" s="3324"/>
    </row>
    <row r="1551" spans="1:12" s="3327" customFormat="1" ht="12.75" customHeight="1">
      <c r="A1551" s="3354"/>
      <c r="B1551" s="3369" t="s">
        <v>3867</v>
      </c>
      <c r="C1551" s="3336" t="s">
        <v>4188</v>
      </c>
      <c r="D1551" s="3345" t="s">
        <v>4130</v>
      </c>
      <c r="E1551" s="3339">
        <v>142.19999999999999</v>
      </c>
      <c r="F1551" s="3339">
        <v>370</v>
      </c>
      <c r="G1551" s="3340">
        <v>42095</v>
      </c>
      <c r="H1551" s="3340">
        <v>42459</v>
      </c>
      <c r="I1551" s="3340">
        <v>42460</v>
      </c>
      <c r="J1551" s="3324"/>
    </row>
    <row r="1552" spans="1:12" s="3327" customFormat="1" ht="12.75" customHeight="1">
      <c r="A1552" s="3354"/>
      <c r="B1552" s="3369" t="s">
        <v>3867</v>
      </c>
      <c r="C1552" s="3336" t="s">
        <v>4188</v>
      </c>
      <c r="D1552" s="3345" t="s">
        <v>4130</v>
      </c>
      <c r="E1552" s="3339">
        <v>142.19999999999999</v>
      </c>
      <c r="F1552" s="3339">
        <v>380</v>
      </c>
      <c r="G1552" s="3340">
        <v>42461</v>
      </c>
      <c r="H1552" s="3340">
        <v>42824</v>
      </c>
      <c r="I1552" s="3340">
        <v>42825</v>
      </c>
      <c r="J1552" s="3324"/>
    </row>
    <row r="1553" spans="1:12" s="3327" customFormat="1" ht="12.75" customHeight="1">
      <c r="A1553" s="3354"/>
      <c r="B1553" s="3370" t="s">
        <v>3867</v>
      </c>
      <c r="C1553" s="3378" t="s">
        <v>4189</v>
      </c>
      <c r="D1553" s="3346" t="s">
        <v>4190</v>
      </c>
      <c r="E1553" s="3332">
        <v>142.19999999999999</v>
      </c>
      <c r="F1553" s="3332">
        <v>400</v>
      </c>
      <c r="G1553" s="3333">
        <v>42826</v>
      </c>
      <c r="H1553" s="3333">
        <v>42885</v>
      </c>
      <c r="I1553" s="3333">
        <v>42886</v>
      </c>
      <c r="J1553" s="3324"/>
      <c r="K1553" s="3334">
        <f t="shared" ref="K1553:K1554" si="187">E1553</f>
        <v>142.19999999999999</v>
      </c>
      <c r="L1553" s="3334">
        <f t="shared" ref="L1553:L1554" si="188">F1553/30</f>
        <v>13.333333333333334</v>
      </c>
    </row>
    <row r="1554" spans="1:12" s="3327" customFormat="1" ht="12.75" customHeight="1">
      <c r="A1554" s="3354" t="s">
        <v>3872</v>
      </c>
      <c r="B1554" s="3370" t="s">
        <v>3867</v>
      </c>
      <c r="C1554" s="3378" t="s">
        <v>4189</v>
      </c>
      <c r="D1554" s="3346" t="s">
        <v>4190</v>
      </c>
      <c r="E1554" s="3332">
        <v>142.19999999999999</v>
      </c>
      <c r="F1554" s="3332">
        <v>400</v>
      </c>
      <c r="G1554" s="3333">
        <v>42887</v>
      </c>
      <c r="H1554" s="3333">
        <v>43130</v>
      </c>
      <c r="I1554" s="3333">
        <v>43190</v>
      </c>
      <c r="J1554" s="3324"/>
      <c r="K1554" s="3334">
        <f t="shared" si="187"/>
        <v>142.19999999999999</v>
      </c>
      <c r="L1554" s="3334">
        <f t="shared" si="188"/>
        <v>13.333333333333334</v>
      </c>
    </row>
    <row r="1555" spans="1:12" s="3327" customFormat="1" ht="12.75" customHeight="1">
      <c r="A1555" s="3355"/>
      <c r="B1555" s="3371" t="s">
        <v>3867</v>
      </c>
      <c r="C1555" s="3372" t="s">
        <v>4191</v>
      </c>
      <c r="D1555" s="3336" t="s">
        <v>4192</v>
      </c>
      <c r="E1555" s="3339">
        <v>145.4</v>
      </c>
      <c r="F1555" s="3339">
        <v>335</v>
      </c>
      <c r="G1555" s="3340">
        <v>41008</v>
      </c>
      <c r="H1555" s="3340">
        <v>41363</v>
      </c>
      <c r="I1555" s="3340">
        <v>41364</v>
      </c>
      <c r="J1555" s="3336"/>
    </row>
    <row r="1556" spans="1:12" s="3327" customFormat="1" ht="12.75" customHeight="1">
      <c r="A1556" s="3354"/>
      <c r="B1556" s="3368" t="s">
        <v>3867</v>
      </c>
      <c r="C1556" s="3324" t="s">
        <v>4193</v>
      </c>
      <c r="D1556" s="3344" t="s">
        <v>4194</v>
      </c>
      <c r="E1556" s="3325">
        <v>145.4</v>
      </c>
      <c r="F1556" s="3325">
        <v>360</v>
      </c>
      <c r="G1556" s="3326">
        <v>41699</v>
      </c>
      <c r="H1556" s="3326">
        <v>42093</v>
      </c>
      <c r="I1556" s="3326">
        <v>42094</v>
      </c>
      <c r="J1556" s="3324"/>
    </row>
    <row r="1557" spans="1:12" s="3327" customFormat="1" ht="12.75" customHeight="1">
      <c r="A1557" s="3354"/>
      <c r="B1557" s="3369" t="s">
        <v>3867</v>
      </c>
      <c r="C1557" s="3336" t="s">
        <v>4193</v>
      </c>
      <c r="D1557" s="3345" t="s">
        <v>4194</v>
      </c>
      <c r="E1557" s="3339">
        <v>145.4</v>
      </c>
      <c r="F1557" s="3339">
        <v>370</v>
      </c>
      <c r="G1557" s="3340">
        <v>42095</v>
      </c>
      <c r="H1557" s="3340">
        <v>42459</v>
      </c>
      <c r="I1557" s="3340">
        <v>42460</v>
      </c>
      <c r="J1557" s="3324"/>
    </row>
    <row r="1558" spans="1:12" s="3327" customFormat="1" ht="12.75" customHeight="1">
      <c r="A1558" s="3354"/>
      <c r="B1558" s="3369" t="s">
        <v>3867</v>
      </c>
      <c r="C1558" s="3336" t="s">
        <v>4193</v>
      </c>
      <c r="D1558" s="3345" t="s">
        <v>4194</v>
      </c>
      <c r="E1558" s="3339">
        <v>145.4</v>
      </c>
      <c r="F1558" s="3339">
        <v>375</v>
      </c>
      <c r="G1558" s="3340">
        <v>42461</v>
      </c>
      <c r="H1558" s="3340">
        <v>42824</v>
      </c>
      <c r="I1558" s="3340">
        <v>42825</v>
      </c>
      <c r="J1558" s="3324"/>
    </row>
    <row r="1559" spans="1:12" s="3327" customFormat="1" ht="12.75" customHeight="1">
      <c r="A1559" s="3354"/>
      <c r="B1559" s="3370" t="s">
        <v>3867</v>
      </c>
      <c r="C1559" s="3331" t="s">
        <v>4193</v>
      </c>
      <c r="D1559" s="3346" t="s">
        <v>4195</v>
      </c>
      <c r="E1559" s="3332">
        <v>145.4</v>
      </c>
      <c r="F1559" s="3332">
        <v>370</v>
      </c>
      <c r="G1559" s="3333">
        <v>42826</v>
      </c>
      <c r="H1559" s="3333">
        <v>42885</v>
      </c>
      <c r="I1559" s="3333">
        <v>42886</v>
      </c>
      <c r="J1559" s="3324"/>
      <c r="K1559" s="3334">
        <f t="shared" ref="K1559:K1561" si="189">E1559</f>
        <v>145.4</v>
      </c>
      <c r="L1559" s="3334">
        <f t="shared" ref="L1559:L1561" si="190">F1559/30</f>
        <v>12.333333333333334</v>
      </c>
    </row>
    <row r="1560" spans="1:12" s="3327" customFormat="1" ht="12.75" customHeight="1">
      <c r="A1560" s="3354" t="s">
        <v>3872</v>
      </c>
      <c r="B1560" s="3370" t="s">
        <v>3867</v>
      </c>
      <c r="C1560" s="3331" t="s">
        <v>4196</v>
      </c>
      <c r="D1560" s="3346" t="s">
        <v>4195</v>
      </c>
      <c r="E1560" s="3332">
        <v>145.4</v>
      </c>
      <c r="F1560" s="3332">
        <v>395</v>
      </c>
      <c r="G1560" s="3333">
        <v>42887</v>
      </c>
      <c r="H1560" s="3333">
        <v>43130</v>
      </c>
      <c r="I1560" s="3333">
        <v>43190</v>
      </c>
      <c r="J1560" s="3324"/>
      <c r="K1560" s="3334">
        <f t="shared" si="189"/>
        <v>145.4</v>
      </c>
      <c r="L1560" s="3334">
        <f t="shared" si="190"/>
        <v>13.166666666666666</v>
      </c>
    </row>
    <row r="1561" spans="1:12" s="3327" customFormat="1" ht="13.5" customHeight="1">
      <c r="A1561" s="3354"/>
      <c r="B1561" s="3368" t="s">
        <v>3867</v>
      </c>
      <c r="C1561" s="3324" t="s">
        <v>4197</v>
      </c>
      <c r="D1561" s="3344" t="s">
        <v>4198</v>
      </c>
      <c r="E1561" s="3325">
        <v>125.6</v>
      </c>
      <c r="F1561" s="3325">
        <v>360</v>
      </c>
      <c r="G1561" s="3326">
        <v>41699</v>
      </c>
      <c r="H1561" s="3326">
        <v>42093</v>
      </c>
      <c r="I1561" s="3326">
        <v>42094</v>
      </c>
      <c r="J1561" s="3324"/>
      <c r="K1561" s="3334"/>
      <c r="L1561" s="3334"/>
    </row>
    <row r="1562" spans="1:12" s="3327" customFormat="1" ht="13.5" customHeight="1">
      <c r="A1562" s="3354"/>
      <c r="B1562" s="3369" t="s">
        <v>3867</v>
      </c>
      <c r="C1562" s="3336" t="s">
        <v>4197</v>
      </c>
      <c r="D1562" s="3345" t="s">
        <v>4198</v>
      </c>
      <c r="E1562" s="3339">
        <v>125.6</v>
      </c>
      <c r="F1562" s="3339">
        <v>360</v>
      </c>
      <c r="G1562" s="3340">
        <v>42095</v>
      </c>
      <c r="H1562" s="3340">
        <v>42154</v>
      </c>
      <c r="I1562" s="3340">
        <v>42155</v>
      </c>
      <c r="J1562" s="3324"/>
    </row>
    <row r="1563" spans="1:12" s="3327" customFormat="1" ht="13.5" customHeight="1">
      <c r="A1563" s="3354"/>
      <c r="B1563" s="3369" t="s">
        <v>3867</v>
      </c>
      <c r="C1563" s="3336" t="s">
        <v>4199</v>
      </c>
      <c r="D1563" s="3345" t="s">
        <v>4200</v>
      </c>
      <c r="E1563" s="3339">
        <v>49.4</v>
      </c>
      <c r="F1563" s="3339">
        <v>370</v>
      </c>
      <c r="G1563" s="3340">
        <v>42156</v>
      </c>
      <c r="H1563" s="3340">
        <v>42459</v>
      </c>
      <c r="I1563" s="3340">
        <v>42460</v>
      </c>
      <c r="J1563" s="3324"/>
    </row>
    <row r="1564" spans="1:12" s="3327" customFormat="1" ht="13.5" customHeight="1">
      <c r="A1564" s="3354"/>
      <c r="B1564" s="3369" t="s">
        <v>3867</v>
      </c>
      <c r="C1564" s="3336" t="s">
        <v>4199</v>
      </c>
      <c r="D1564" s="3345" t="s">
        <v>4200</v>
      </c>
      <c r="E1564" s="3339">
        <v>49.4</v>
      </c>
      <c r="F1564" s="3339">
        <v>380</v>
      </c>
      <c r="G1564" s="3340">
        <v>42461</v>
      </c>
      <c r="H1564" s="3340">
        <v>42824</v>
      </c>
      <c r="I1564" s="3340">
        <v>42825</v>
      </c>
      <c r="J1564" s="3324"/>
    </row>
    <row r="1565" spans="1:12" s="3327" customFormat="1" ht="13.5" customHeight="1">
      <c r="A1565" s="3354"/>
      <c r="B1565" s="3370" t="s">
        <v>3867</v>
      </c>
      <c r="C1565" s="3331" t="s">
        <v>4201</v>
      </c>
      <c r="D1565" s="3346" t="s">
        <v>4202</v>
      </c>
      <c r="E1565" s="3332">
        <v>49.4</v>
      </c>
      <c r="F1565" s="3332">
        <v>380</v>
      </c>
      <c r="G1565" s="3333">
        <v>42826</v>
      </c>
      <c r="H1565" s="3333">
        <v>42885</v>
      </c>
      <c r="I1565" s="3333">
        <v>42886</v>
      </c>
      <c r="J1565" s="3324"/>
      <c r="K1565" s="3334">
        <f t="shared" ref="K1565:K1566" si="191">E1565</f>
        <v>49.4</v>
      </c>
      <c r="L1565" s="3334">
        <f t="shared" ref="L1565:L1566" si="192">F1565/30</f>
        <v>12.666666666666666</v>
      </c>
    </row>
    <row r="1566" spans="1:12" s="3327" customFormat="1" ht="13.5" customHeight="1">
      <c r="A1566" s="3354" t="s">
        <v>3872</v>
      </c>
      <c r="B1566" s="3370" t="s">
        <v>3867</v>
      </c>
      <c r="C1566" s="3331" t="s">
        <v>4201</v>
      </c>
      <c r="D1566" s="3346" t="s">
        <v>4202</v>
      </c>
      <c r="E1566" s="3332">
        <v>49.4</v>
      </c>
      <c r="F1566" s="3332">
        <v>400</v>
      </c>
      <c r="G1566" s="3333">
        <v>42887</v>
      </c>
      <c r="H1566" s="3333">
        <v>43130</v>
      </c>
      <c r="I1566" s="3333">
        <v>43190</v>
      </c>
      <c r="J1566" s="3324"/>
      <c r="K1566" s="3334">
        <f t="shared" si="191"/>
        <v>49.4</v>
      </c>
      <c r="L1566" s="3334">
        <f t="shared" si="192"/>
        <v>13.333333333333334</v>
      </c>
    </row>
    <row r="1567" spans="1:12" s="3327" customFormat="1" ht="13.5" customHeight="1">
      <c r="A1567" s="3354"/>
      <c r="B1567" s="3369" t="s">
        <v>3867</v>
      </c>
      <c r="C1567" s="3336" t="s">
        <v>4193</v>
      </c>
      <c r="D1567" s="3345" t="s">
        <v>4203</v>
      </c>
      <c r="E1567" s="3339">
        <v>76.2</v>
      </c>
      <c r="F1567" s="3339">
        <v>370</v>
      </c>
      <c r="G1567" s="3340">
        <v>42156</v>
      </c>
      <c r="H1567" s="3340">
        <v>42459</v>
      </c>
      <c r="I1567" s="3340">
        <v>42460</v>
      </c>
      <c r="J1567" s="3324"/>
    </row>
    <row r="1568" spans="1:12" s="3327" customFormat="1" ht="13.5" customHeight="1">
      <c r="A1568" s="3354"/>
      <c r="B1568" s="3369" t="s">
        <v>3867</v>
      </c>
      <c r="C1568" s="3336" t="s">
        <v>4193</v>
      </c>
      <c r="D1568" s="3345" t="s">
        <v>4203</v>
      </c>
      <c r="E1568" s="3339">
        <v>76.2</v>
      </c>
      <c r="F1568" s="3339">
        <v>370</v>
      </c>
      <c r="G1568" s="3340">
        <v>42461</v>
      </c>
      <c r="H1568" s="3340">
        <v>42824</v>
      </c>
      <c r="I1568" s="3340">
        <v>42825</v>
      </c>
      <c r="J1568" s="3324"/>
    </row>
    <row r="1569" spans="1:12" s="3327" customFormat="1" ht="13.5" customHeight="1">
      <c r="A1569" s="3354"/>
      <c r="B1569" s="3370" t="s">
        <v>3867</v>
      </c>
      <c r="C1569" s="3331" t="s">
        <v>4193</v>
      </c>
      <c r="D1569" s="3346" t="s">
        <v>4204</v>
      </c>
      <c r="E1569" s="3332">
        <v>76.2</v>
      </c>
      <c r="F1569" s="3332">
        <v>390</v>
      </c>
      <c r="G1569" s="3333">
        <v>42826</v>
      </c>
      <c r="H1569" s="3333">
        <v>42885</v>
      </c>
      <c r="I1569" s="3333">
        <v>42886</v>
      </c>
      <c r="J1569" s="3324"/>
      <c r="K1569" s="3334">
        <f t="shared" ref="K1569:K1570" si="193">E1569</f>
        <v>76.2</v>
      </c>
      <c r="L1569" s="3334">
        <f t="shared" ref="L1569:L1570" si="194">F1569/30</f>
        <v>13</v>
      </c>
    </row>
    <row r="1570" spans="1:12" s="3327" customFormat="1" ht="13.5" customHeight="1">
      <c r="A1570" s="3354" t="s">
        <v>3872</v>
      </c>
      <c r="B1570" s="3370" t="s">
        <v>3867</v>
      </c>
      <c r="C1570" s="3331" t="s">
        <v>4193</v>
      </c>
      <c r="D1570" s="3346" t="s">
        <v>4204</v>
      </c>
      <c r="E1570" s="3332">
        <v>76.2</v>
      </c>
      <c r="F1570" s="3332">
        <v>390</v>
      </c>
      <c r="G1570" s="3333">
        <v>42887</v>
      </c>
      <c r="H1570" s="3333">
        <v>43130</v>
      </c>
      <c r="I1570" s="3333">
        <v>43190</v>
      </c>
      <c r="J1570" s="3324"/>
      <c r="K1570" s="3334">
        <f t="shared" si="193"/>
        <v>76.2</v>
      </c>
      <c r="L1570" s="3334">
        <f t="shared" si="194"/>
        <v>13</v>
      </c>
    </row>
    <row r="1571" spans="1:12" s="3327" customFormat="1" ht="12.75" customHeight="1">
      <c r="A1571" s="3354"/>
      <c r="B1571" s="3368" t="s">
        <v>3867</v>
      </c>
      <c r="C1571" s="3324" t="s">
        <v>4205</v>
      </c>
      <c r="D1571" s="3344" t="s">
        <v>4206</v>
      </c>
      <c r="E1571" s="3325">
        <v>108</v>
      </c>
      <c r="F1571" s="3325">
        <v>360</v>
      </c>
      <c r="G1571" s="3326">
        <v>41699</v>
      </c>
      <c r="H1571" s="3326">
        <v>42003</v>
      </c>
      <c r="I1571" s="3326">
        <v>42094</v>
      </c>
      <c r="J1571" s="3324"/>
    </row>
    <row r="1572" spans="1:12" s="3327" customFormat="1" ht="12.75" customHeight="1">
      <c r="A1572" s="3354"/>
      <c r="B1572" s="3368" t="s">
        <v>3867</v>
      </c>
      <c r="C1572" s="3324" t="s">
        <v>4205</v>
      </c>
      <c r="D1572" s="3344" t="s">
        <v>4206</v>
      </c>
      <c r="E1572" s="3325">
        <v>108</v>
      </c>
      <c r="F1572" s="3325">
        <v>380</v>
      </c>
      <c r="G1572" s="3326">
        <v>42005</v>
      </c>
      <c r="H1572" s="3326">
        <v>42093</v>
      </c>
      <c r="I1572" s="3326">
        <v>42094</v>
      </c>
      <c r="J1572" s="3324"/>
    </row>
    <row r="1573" spans="1:12" s="3327" customFormat="1" ht="12.75" customHeight="1">
      <c r="A1573" s="3354"/>
      <c r="B1573" s="3369" t="s">
        <v>3867</v>
      </c>
      <c r="C1573" s="3336" t="s">
        <v>4184</v>
      </c>
      <c r="D1573" s="3345" t="s">
        <v>4206</v>
      </c>
      <c r="E1573" s="3339">
        <v>108</v>
      </c>
      <c r="F1573" s="3339">
        <v>400</v>
      </c>
      <c r="G1573" s="3340">
        <v>42095</v>
      </c>
      <c r="H1573" s="3340">
        <v>42459</v>
      </c>
      <c r="I1573" s="3340">
        <v>42460</v>
      </c>
      <c r="J1573" s="3324"/>
    </row>
    <row r="1574" spans="1:12" s="3327" customFormat="1" ht="12.75" customHeight="1">
      <c r="A1574" s="3354"/>
      <c r="B1574" s="3369" t="s">
        <v>3867</v>
      </c>
      <c r="C1574" s="3336" t="s">
        <v>4184</v>
      </c>
      <c r="D1574" s="3345" t="s">
        <v>4206</v>
      </c>
      <c r="E1574" s="3339">
        <v>108</v>
      </c>
      <c r="F1574" s="3339">
        <v>410</v>
      </c>
      <c r="G1574" s="3340">
        <v>42461</v>
      </c>
      <c r="H1574" s="3340">
        <v>42824</v>
      </c>
      <c r="I1574" s="3340">
        <v>42825</v>
      </c>
      <c r="J1574" s="3324"/>
    </row>
    <row r="1575" spans="1:12" s="3327" customFormat="1" ht="12.75" customHeight="1">
      <c r="A1575" s="3354"/>
      <c r="B1575" s="3370" t="s">
        <v>3867</v>
      </c>
      <c r="C1575" s="3331" t="s">
        <v>4184</v>
      </c>
      <c r="D1575" s="3346" t="s">
        <v>4207</v>
      </c>
      <c r="E1575" s="3332">
        <v>108</v>
      </c>
      <c r="F1575" s="3332">
        <v>410</v>
      </c>
      <c r="G1575" s="3333">
        <v>42826</v>
      </c>
      <c r="H1575" s="3333">
        <v>42885</v>
      </c>
      <c r="I1575" s="3333">
        <v>42886</v>
      </c>
      <c r="J1575" s="3324"/>
      <c r="K1575" s="3334">
        <f t="shared" ref="K1575:K1577" si="195">E1575</f>
        <v>108</v>
      </c>
      <c r="L1575" s="3334">
        <f t="shared" ref="L1575:L1577" si="196">F1575/30</f>
        <v>13.666666666666666</v>
      </c>
    </row>
    <row r="1576" spans="1:12" s="3327" customFormat="1" ht="12.75" customHeight="1">
      <c r="A1576" s="3354"/>
      <c r="B1576" s="3370" t="s">
        <v>3867</v>
      </c>
      <c r="C1576" s="3331" t="s">
        <v>4184</v>
      </c>
      <c r="D1576" s="3346" t="s">
        <v>4207</v>
      </c>
      <c r="E1576" s="3332">
        <v>108</v>
      </c>
      <c r="F1576" s="3332">
        <v>410</v>
      </c>
      <c r="G1576" s="3333">
        <v>42887</v>
      </c>
      <c r="H1576" s="3333">
        <v>42916</v>
      </c>
      <c r="I1576" s="3333">
        <v>43190</v>
      </c>
      <c r="J1576" s="3324"/>
      <c r="K1576" s="3334">
        <f t="shared" si="195"/>
        <v>108</v>
      </c>
      <c r="L1576" s="3334">
        <f t="shared" si="196"/>
        <v>13.666666666666666</v>
      </c>
    </row>
    <row r="1577" spans="1:12" s="3327" customFormat="1" ht="12.75" customHeight="1">
      <c r="A1577" s="3354" t="s">
        <v>3872</v>
      </c>
      <c r="B1577" s="3370" t="s">
        <v>3867</v>
      </c>
      <c r="C1577" s="3331" t="s">
        <v>4208</v>
      </c>
      <c r="D1577" s="3346" t="s">
        <v>4207</v>
      </c>
      <c r="E1577" s="3332">
        <v>108</v>
      </c>
      <c r="F1577" s="3332">
        <v>410</v>
      </c>
      <c r="G1577" s="3333">
        <v>42917</v>
      </c>
      <c r="H1577" s="3333">
        <v>43130</v>
      </c>
      <c r="I1577" s="3333">
        <v>43190</v>
      </c>
      <c r="J1577" s="3324"/>
      <c r="K1577" s="3334">
        <f t="shared" si="195"/>
        <v>108</v>
      </c>
      <c r="L1577" s="3334">
        <f t="shared" si="196"/>
        <v>13.666666666666666</v>
      </c>
    </row>
    <row r="1578" spans="1:12" s="3327" customFormat="1" ht="12.75" customHeight="1">
      <c r="A1578" s="3354"/>
      <c r="B1578" s="3368" t="s">
        <v>3867</v>
      </c>
      <c r="C1578" s="3324" t="s">
        <v>4208</v>
      </c>
      <c r="D1578" s="3324" t="s">
        <v>4209</v>
      </c>
      <c r="E1578" s="3325">
        <v>101.1</v>
      </c>
      <c r="F1578" s="3325">
        <v>360</v>
      </c>
      <c r="G1578" s="3326">
        <v>41699</v>
      </c>
      <c r="H1578" s="3326">
        <v>41728</v>
      </c>
      <c r="I1578" s="3326">
        <v>42094</v>
      </c>
      <c r="J1578" s="3324"/>
    </row>
    <row r="1579" spans="1:12" s="3327" customFormat="1" ht="12.75" customHeight="1">
      <c r="A1579" s="3354"/>
      <c r="B1579" s="3368" t="s">
        <v>3867</v>
      </c>
      <c r="C1579" s="3324" t="s">
        <v>4210</v>
      </c>
      <c r="D1579" s="3324" t="s">
        <v>4211</v>
      </c>
      <c r="E1579" s="3325">
        <v>58.7</v>
      </c>
      <c r="F1579" s="3325">
        <v>360</v>
      </c>
      <c r="G1579" s="3326">
        <v>41699</v>
      </c>
      <c r="H1579" s="3326">
        <v>41728</v>
      </c>
      <c r="I1579" s="3326">
        <v>42094</v>
      </c>
      <c r="J1579" s="3324"/>
    </row>
    <row r="1580" spans="1:12" s="3327" customFormat="1" ht="12.75" customHeight="1">
      <c r="A1580" s="3354"/>
      <c r="B1580" s="3383" t="s">
        <v>3867</v>
      </c>
      <c r="C1580" s="3384" t="s">
        <v>4212</v>
      </c>
      <c r="D1580" s="3324"/>
      <c r="E1580" s="3325">
        <v>159.80000000000001</v>
      </c>
      <c r="F1580" s="3325">
        <v>360</v>
      </c>
      <c r="G1580" s="3326">
        <v>41699</v>
      </c>
      <c r="H1580" s="3326">
        <v>41789</v>
      </c>
      <c r="I1580" s="3326">
        <v>42094</v>
      </c>
      <c r="J1580" s="3324"/>
    </row>
    <row r="1581" spans="1:12" s="3327" customFormat="1" ht="12.75" customHeight="1">
      <c r="A1581" s="3354"/>
      <c r="B1581" s="3368" t="s">
        <v>3867</v>
      </c>
      <c r="C1581" s="3324" t="s">
        <v>4208</v>
      </c>
      <c r="D1581" s="3344" t="s">
        <v>4209</v>
      </c>
      <c r="E1581" s="3325">
        <v>101.1</v>
      </c>
      <c r="F1581" s="3325">
        <v>360</v>
      </c>
      <c r="G1581" s="3326">
        <v>41791</v>
      </c>
      <c r="H1581" s="3326">
        <v>42003</v>
      </c>
      <c r="I1581" s="3326">
        <v>42094</v>
      </c>
      <c r="J1581" s="3324"/>
    </row>
    <row r="1582" spans="1:12" s="3327" customFormat="1" ht="12.75" customHeight="1">
      <c r="A1582" s="3354"/>
      <c r="B1582" s="3368" t="s">
        <v>3867</v>
      </c>
      <c r="C1582" s="3324" t="s">
        <v>4208</v>
      </c>
      <c r="D1582" s="3344" t="s">
        <v>4209</v>
      </c>
      <c r="E1582" s="3325">
        <v>101.1</v>
      </c>
      <c r="F1582" s="3325">
        <v>370</v>
      </c>
      <c r="G1582" s="3326">
        <v>42005</v>
      </c>
      <c r="H1582" s="3326">
        <v>42093</v>
      </c>
      <c r="I1582" s="3326">
        <v>42094</v>
      </c>
      <c r="J1582" s="3324"/>
    </row>
    <row r="1583" spans="1:12" s="3327" customFormat="1" ht="12.75" customHeight="1">
      <c r="A1583" s="3354"/>
      <c r="B1583" s="3369" t="s">
        <v>3867</v>
      </c>
      <c r="C1583" s="3336" t="s">
        <v>4208</v>
      </c>
      <c r="D1583" s="3345" t="s">
        <v>4209</v>
      </c>
      <c r="E1583" s="3339">
        <v>101.1</v>
      </c>
      <c r="F1583" s="3339">
        <v>370</v>
      </c>
      <c r="G1583" s="3340">
        <v>42095</v>
      </c>
      <c r="H1583" s="3340">
        <v>42459</v>
      </c>
      <c r="I1583" s="3340">
        <v>42460</v>
      </c>
      <c r="J1583" s="3324"/>
    </row>
    <row r="1584" spans="1:12" s="3327" customFormat="1" ht="12.75" customHeight="1">
      <c r="A1584" s="3354"/>
      <c r="B1584" s="3369" t="s">
        <v>3867</v>
      </c>
      <c r="C1584" s="3336" t="s">
        <v>4208</v>
      </c>
      <c r="D1584" s="3345" t="s">
        <v>4209</v>
      </c>
      <c r="E1584" s="3339">
        <v>101.1</v>
      </c>
      <c r="F1584" s="3339">
        <v>380</v>
      </c>
      <c r="G1584" s="3340">
        <v>42461</v>
      </c>
      <c r="H1584" s="3340">
        <v>42824</v>
      </c>
      <c r="I1584" s="3340">
        <v>42825</v>
      </c>
      <c r="J1584" s="3324"/>
    </row>
    <row r="1585" spans="1:12" s="3327" customFormat="1" ht="12.75" customHeight="1">
      <c r="A1585" s="3354"/>
      <c r="B1585" s="3370" t="s">
        <v>3867</v>
      </c>
      <c r="C1585" s="3331" t="s">
        <v>4208</v>
      </c>
      <c r="D1585" s="3346" t="s">
        <v>4213</v>
      </c>
      <c r="E1585" s="3332">
        <v>101.1</v>
      </c>
      <c r="F1585" s="3332">
        <v>385</v>
      </c>
      <c r="G1585" s="3333">
        <v>42826</v>
      </c>
      <c r="H1585" s="3333">
        <v>42885</v>
      </c>
      <c r="I1585" s="3333">
        <v>42886</v>
      </c>
      <c r="J1585" s="3324"/>
      <c r="K1585" s="3334">
        <f t="shared" ref="K1585:K1586" si="197">E1585</f>
        <v>101.1</v>
      </c>
      <c r="L1585" s="3334">
        <f t="shared" ref="L1585:L1586" si="198">F1585/30</f>
        <v>12.833333333333334</v>
      </c>
    </row>
    <row r="1586" spans="1:12" s="3327" customFormat="1" ht="12.75" customHeight="1">
      <c r="A1586" s="3354"/>
      <c r="B1586" s="3370" t="s">
        <v>3867</v>
      </c>
      <c r="C1586" s="3331" t="s">
        <v>4208</v>
      </c>
      <c r="D1586" s="3346" t="s">
        <v>4213</v>
      </c>
      <c r="E1586" s="3332">
        <v>101.1</v>
      </c>
      <c r="F1586" s="3332">
        <v>385</v>
      </c>
      <c r="G1586" s="3333">
        <v>42887</v>
      </c>
      <c r="H1586" s="3333">
        <v>42916</v>
      </c>
      <c r="I1586" s="3333">
        <v>43190</v>
      </c>
      <c r="J1586" s="3324"/>
      <c r="K1586" s="3334">
        <f t="shared" si="197"/>
        <v>101.1</v>
      </c>
      <c r="L1586" s="3334">
        <f t="shared" si="198"/>
        <v>12.833333333333334</v>
      </c>
    </row>
    <row r="1587" spans="1:12" s="3327" customFormat="1" ht="13.5" customHeight="1">
      <c r="A1587" s="3354"/>
      <c r="B1587" s="3368" t="s">
        <v>3867</v>
      </c>
      <c r="C1587" s="3324" t="s">
        <v>4210</v>
      </c>
      <c r="D1587" s="3344" t="s">
        <v>4211</v>
      </c>
      <c r="E1587" s="3325">
        <v>58.7</v>
      </c>
      <c r="F1587" s="3325">
        <v>360</v>
      </c>
      <c r="G1587" s="3326">
        <v>41791</v>
      </c>
      <c r="H1587" s="3326">
        <v>42093</v>
      </c>
      <c r="I1587" s="3326">
        <v>42094</v>
      </c>
      <c r="J1587" s="3324"/>
    </row>
    <row r="1588" spans="1:12" s="3327" customFormat="1" ht="13.5" customHeight="1">
      <c r="A1588" s="3354"/>
      <c r="B1588" s="3369" t="s">
        <v>3867</v>
      </c>
      <c r="C1588" s="3336" t="s">
        <v>4210</v>
      </c>
      <c r="D1588" s="3345" t="s">
        <v>4211</v>
      </c>
      <c r="E1588" s="3339">
        <v>58.7</v>
      </c>
      <c r="F1588" s="3339">
        <v>360</v>
      </c>
      <c r="G1588" s="3340">
        <v>42095</v>
      </c>
      <c r="H1588" s="3340">
        <v>42459</v>
      </c>
      <c r="I1588" s="3340">
        <v>42460</v>
      </c>
      <c r="J1588" s="3324"/>
    </row>
    <row r="1589" spans="1:12" s="3327" customFormat="1" ht="13.5" customHeight="1">
      <c r="A1589" s="3354"/>
      <c r="B1589" s="3369" t="s">
        <v>3867</v>
      </c>
      <c r="C1589" s="3336" t="s">
        <v>4210</v>
      </c>
      <c r="D1589" s="3345" t="s">
        <v>4211</v>
      </c>
      <c r="E1589" s="3339">
        <v>58.7</v>
      </c>
      <c r="F1589" s="3339">
        <v>370</v>
      </c>
      <c r="G1589" s="3340">
        <v>42461</v>
      </c>
      <c r="H1589" s="3340">
        <v>42824</v>
      </c>
      <c r="I1589" s="3340">
        <v>42825</v>
      </c>
      <c r="J1589" s="3324"/>
    </row>
    <row r="1590" spans="1:12" s="3327" customFormat="1" ht="13.5" customHeight="1">
      <c r="A1590" s="3354"/>
      <c r="B1590" s="3370" t="s">
        <v>3867</v>
      </c>
      <c r="C1590" s="3331" t="s">
        <v>4210</v>
      </c>
      <c r="D1590" s="3346" t="s">
        <v>3874</v>
      </c>
      <c r="E1590" s="3332">
        <v>58.7</v>
      </c>
      <c r="F1590" s="3332">
        <v>370</v>
      </c>
      <c r="G1590" s="3333">
        <v>42826</v>
      </c>
      <c r="H1590" s="3333">
        <v>42885</v>
      </c>
      <c r="I1590" s="3333">
        <v>42886</v>
      </c>
      <c r="J1590" s="3324"/>
      <c r="K1590" s="3334">
        <f t="shared" ref="K1590:K1593" si="199">E1590</f>
        <v>58.7</v>
      </c>
      <c r="L1590" s="3334">
        <f t="shared" ref="L1590:L1593" si="200">F1590/30</f>
        <v>12.333333333333334</v>
      </c>
    </row>
    <row r="1591" spans="1:12" s="3327" customFormat="1" ht="13.5" customHeight="1">
      <c r="A1591" s="3354"/>
      <c r="B1591" s="3370" t="s">
        <v>3867</v>
      </c>
      <c r="C1591" s="3331" t="s">
        <v>4210</v>
      </c>
      <c r="D1591" s="3346" t="s">
        <v>3874</v>
      </c>
      <c r="E1591" s="3332">
        <v>58.7</v>
      </c>
      <c r="F1591" s="3332">
        <v>370</v>
      </c>
      <c r="G1591" s="3333">
        <v>42887</v>
      </c>
      <c r="H1591" s="3333">
        <v>42916</v>
      </c>
      <c r="I1591" s="3333">
        <v>43190</v>
      </c>
      <c r="J1591" s="3324"/>
      <c r="K1591" s="3334">
        <f t="shared" si="199"/>
        <v>58.7</v>
      </c>
      <c r="L1591" s="3334">
        <f t="shared" si="200"/>
        <v>12.333333333333334</v>
      </c>
    </row>
    <row r="1592" spans="1:12" s="3327" customFormat="1" ht="13.5" customHeight="1">
      <c r="A1592" s="3354" t="s">
        <v>3872</v>
      </c>
      <c r="B1592" s="3370" t="s">
        <v>3867</v>
      </c>
      <c r="C1592" s="3331" t="s">
        <v>3147</v>
      </c>
      <c r="D1592" s="3346" t="s">
        <v>3874</v>
      </c>
      <c r="E1592" s="3332">
        <v>119.63</v>
      </c>
      <c r="F1592" s="3332">
        <v>400</v>
      </c>
      <c r="G1592" s="3333">
        <v>42917</v>
      </c>
      <c r="H1592" s="3333">
        <v>43130</v>
      </c>
      <c r="I1592" s="3333">
        <v>43190</v>
      </c>
      <c r="J1592" s="3324"/>
      <c r="K1592" s="3334">
        <f t="shared" si="199"/>
        <v>119.63</v>
      </c>
      <c r="L1592" s="3334">
        <f t="shared" si="200"/>
        <v>13.333333333333334</v>
      </c>
    </row>
    <row r="1593" spans="1:12" s="3327" customFormat="1" ht="13.5" customHeight="1">
      <c r="A1593" s="3354" t="s">
        <v>3872</v>
      </c>
      <c r="B1593" s="3370" t="s">
        <v>3867</v>
      </c>
      <c r="C1593" s="3331" t="s">
        <v>3879</v>
      </c>
      <c r="D1593" s="3346" t="s">
        <v>3874</v>
      </c>
      <c r="E1593" s="3332">
        <v>75.760000000000005</v>
      </c>
      <c r="F1593" s="3332">
        <v>400</v>
      </c>
      <c r="G1593" s="3333">
        <v>42917</v>
      </c>
      <c r="H1593" s="3333">
        <v>43130</v>
      </c>
      <c r="I1593" s="3333">
        <v>43190</v>
      </c>
      <c r="J1593" s="3324"/>
      <c r="K1593" s="3334">
        <f t="shared" si="199"/>
        <v>75.760000000000005</v>
      </c>
      <c r="L1593" s="3334">
        <f t="shared" si="200"/>
        <v>13.333333333333334</v>
      </c>
    </row>
    <row r="1594" spans="1:12" s="3327" customFormat="1" ht="13.5" customHeight="1">
      <c r="A1594" s="3355"/>
      <c r="B1594" s="3371" t="s">
        <v>3867</v>
      </c>
      <c r="C1594" s="3372" t="s">
        <v>4214</v>
      </c>
      <c r="D1594" s="3336" t="s">
        <v>4215</v>
      </c>
      <c r="E1594" s="3339">
        <v>121.9</v>
      </c>
      <c r="F1594" s="3339">
        <v>300</v>
      </c>
      <c r="G1594" s="3348">
        <v>41000</v>
      </c>
      <c r="H1594" s="3340">
        <v>41085</v>
      </c>
      <c r="I1594" s="3340">
        <v>41364</v>
      </c>
      <c r="J1594" s="3336"/>
    </row>
    <row r="1595" spans="1:12" s="3327" customFormat="1" ht="13.5" customHeight="1">
      <c r="A1595" s="3354"/>
      <c r="B1595" s="3368" t="s">
        <v>3867</v>
      </c>
      <c r="C1595" s="3324" t="s">
        <v>4216</v>
      </c>
      <c r="D1595" s="3344" t="s">
        <v>4217</v>
      </c>
      <c r="E1595" s="3325">
        <v>80</v>
      </c>
      <c r="F1595" s="3325">
        <v>350</v>
      </c>
      <c r="G1595" s="3326">
        <v>41699</v>
      </c>
      <c r="H1595" s="3326">
        <v>42003</v>
      </c>
      <c r="I1595" s="3326">
        <v>42094</v>
      </c>
      <c r="J1595" s="3324"/>
    </row>
    <row r="1596" spans="1:12" s="3327" customFormat="1" ht="13.5" customHeight="1">
      <c r="A1596" s="3354"/>
      <c r="B1596" s="3368" t="s">
        <v>3867</v>
      </c>
      <c r="C1596" s="3324" t="s">
        <v>4216</v>
      </c>
      <c r="D1596" s="3344" t="s">
        <v>4217</v>
      </c>
      <c r="E1596" s="3325">
        <v>80</v>
      </c>
      <c r="F1596" s="3325">
        <v>360</v>
      </c>
      <c r="G1596" s="3326">
        <v>42005</v>
      </c>
      <c r="H1596" s="3326">
        <v>42093</v>
      </c>
      <c r="I1596" s="3326">
        <v>42094</v>
      </c>
      <c r="J1596" s="3324"/>
    </row>
    <row r="1597" spans="1:12" s="3327" customFormat="1" ht="13.5" customHeight="1">
      <c r="A1597" s="3354"/>
      <c r="B1597" s="3369" t="s">
        <v>3867</v>
      </c>
      <c r="C1597" s="3336" t="s">
        <v>4216</v>
      </c>
      <c r="D1597" s="3345" t="s">
        <v>4217</v>
      </c>
      <c r="E1597" s="3339">
        <v>80</v>
      </c>
      <c r="F1597" s="3339">
        <v>360</v>
      </c>
      <c r="G1597" s="3340">
        <v>42095</v>
      </c>
      <c r="H1597" s="3340">
        <v>42226</v>
      </c>
      <c r="I1597" s="3340">
        <v>42460</v>
      </c>
      <c r="J1597" s="3324"/>
    </row>
    <row r="1598" spans="1:12" s="3327" customFormat="1" ht="13.5" customHeight="1">
      <c r="A1598" s="3354"/>
      <c r="B1598" s="3369" t="s">
        <v>3867</v>
      </c>
      <c r="C1598" s="3336" t="s">
        <v>4218</v>
      </c>
      <c r="D1598" s="3345" t="s">
        <v>4219</v>
      </c>
      <c r="E1598" s="3339">
        <v>44.8</v>
      </c>
      <c r="F1598" s="3339">
        <v>370</v>
      </c>
      <c r="G1598" s="3340">
        <v>42227</v>
      </c>
      <c r="H1598" s="3340">
        <v>42459</v>
      </c>
      <c r="I1598" s="3340">
        <v>42460</v>
      </c>
      <c r="J1598" s="3324"/>
    </row>
    <row r="1599" spans="1:12" s="3327" customFormat="1" ht="13.5" customHeight="1">
      <c r="A1599" s="3354"/>
      <c r="B1599" s="3369" t="s">
        <v>3867</v>
      </c>
      <c r="C1599" s="3336" t="s">
        <v>4218</v>
      </c>
      <c r="D1599" s="3345" t="s">
        <v>4219</v>
      </c>
      <c r="E1599" s="3339">
        <v>44.8</v>
      </c>
      <c r="F1599" s="3339">
        <v>380</v>
      </c>
      <c r="G1599" s="3340">
        <v>42461</v>
      </c>
      <c r="H1599" s="3340">
        <v>42824</v>
      </c>
      <c r="I1599" s="3340">
        <v>42825</v>
      </c>
      <c r="J1599" s="3324"/>
    </row>
    <row r="1600" spans="1:12" s="3327" customFormat="1" ht="13.5" customHeight="1">
      <c r="A1600" s="3354"/>
      <c r="B1600" s="3370" t="s">
        <v>3867</v>
      </c>
      <c r="C1600" s="3331" t="s">
        <v>4218</v>
      </c>
      <c r="D1600" s="3346" t="s">
        <v>3870</v>
      </c>
      <c r="E1600" s="3332">
        <v>44.8</v>
      </c>
      <c r="F1600" s="3332">
        <v>380</v>
      </c>
      <c r="G1600" s="3333">
        <v>42826</v>
      </c>
      <c r="H1600" s="3333">
        <v>42885</v>
      </c>
      <c r="I1600" s="3333">
        <v>42886</v>
      </c>
      <c r="J1600" s="3324"/>
      <c r="K1600" s="3334">
        <f t="shared" ref="K1600:K1602" si="201">E1600</f>
        <v>44.8</v>
      </c>
      <c r="L1600" s="3334">
        <f t="shared" ref="L1600:L1602" si="202">F1600/30</f>
        <v>12.666666666666666</v>
      </c>
    </row>
    <row r="1601" spans="1:12" s="3327" customFormat="1" ht="13.5" customHeight="1">
      <c r="A1601" s="3354"/>
      <c r="B1601" s="3370" t="s">
        <v>3867</v>
      </c>
      <c r="C1601" s="3331" t="s">
        <v>4218</v>
      </c>
      <c r="D1601" s="3346" t="s">
        <v>3870</v>
      </c>
      <c r="E1601" s="3332">
        <v>44.8</v>
      </c>
      <c r="F1601" s="3332">
        <v>380</v>
      </c>
      <c r="G1601" s="3333">
        <v>42887</v>
      </c>
      <c r="H1601" s="3333">
        <v>42916</v>
      </c>
      <c r="I1601" s="3333">
        <v>43190</v>
      </c>
      <c r="J1601" s="3324"/>
      <c r="K1601" s="3334">
        <f t="shared" si="201"/>
        <v>44.8</v>
      </c>
      <c r="L1601" s="3334">
        <f t="shared" si="202"/>
        <v>12.666666666666666</v>
      </c>
    </row>
    <row r="1602" spans="1:12" s="3327" customFormat="1" ht="13.5" customHeight="1">
      <c r="A1602" s="3354" t="s">
        <v>3872</v>
      </c>
      <c r="B1602" s="3370" t="s">
        <v>3867</v>
      </c>
      <c r="C1602" s="3331" t="s">
        <v>4220</v>
      </c>
      <c r="D1602" s="3346" t="s">
        <v>4221</v>
      </c>
      <c r="E1602" s="3332">
        <v>73.95</v>
      </c>
      <c r="F1602" s="3332">
        <v>400</v>
      </c>
      <c r="G1602" s="3333">
        <v>42917</v>
      </c>
      <c r="H1602" s="3333">
        <v>43130</v>
      </c>
      <c r="I1602" s="3333">
        <v>43190</v>
      </c>
      <c r="J1602" s="3324"/>
      <c r="K1602" s="3334">
        <f t="shared" si="201"/>
        <v>73.95</v>
      </c>
      <c r="L1602" s="3334">
        <f t="shared" si="202"/>
        <v>13.333333333333334</v>
      </c>
    </row>
    <row r="1603" spans="1:12" s="3327" customFormat="1" ht="12.75" customHeight="1">
      <c r="A1603" s="3354"/>
      <c r="B1603" s="3368" t="s">
        <v>3867</v>
      </c>
      <c r="C1603" s="3324" t="s">
        <v>4222</v>
      </c>
      <c r="D1603" s="3344" t="s">
        <v>4223</v>
      </c>
      <c r="E1603" s="3325">
        <v>83.7</v>
      </c>
      <c r="F1603" s="3325">
        <v>360</v>
      </c>
      <c r="G1603" s="3326">
        <v>41699</v>
      </c>
      <c r="H1603" s="3326">
        <v>42003</v>
      </c>
      <c r="I1603" s="3326">
        <v>42094</v>
      </c>
      <c r="J1603" s="3324"/>
    </row>
    <row r="1604" spans="1:12" s="3327" customFormat="1" ht="12.75" customHeight="1">
      <c r="A1604" s="3354"/>
      <c r="B1604" s="3368" t="s">
        <v>3867</v>
      </c>
      <c r="C1604" s="3324" t="s">
        <v>4222</v>
      </c>
      <c r="D1604" s="3344" t="s">
        <v>4223</v>
      </c>
      <c r="E1604" s="3325">
        <v>83.7</v>
      </c>
      <c r="F1604" s="3325">
        <v>370</v>
      </c>
      <c r="G1604" s="3326">
        <v>42005</v>
      </c>
      <c r="H1604" s="3326">
        <v>42093</v>
      </c>
      <c r="I1604" s="3326">
        <v>42094</v>
      </c>
      <c r="J1604" s="3324"/>
    </row>
    <row r="1605" spans="1:12" s="3327" customFormat="1" ht="12.75" customHeight="1">
      <c r="A1605" s="3354"/>
      <c r="B1605" s="3369" t="s">
        <v>3867</v>
      </c>
      <c r="C1605" s="3336" t="s">
        <v>4222</v>
      </c>
      <c r="D1605" s="3345" t="s">
        <v>4223</v>
      </c>
      <c r="E1605" s="3339">
        <v>83.7</v>
      </c>
      <c r="F1605" s="3339">
        <v>370</v>
      </c>
      <c r="G1605" s="3340">
        <v>42095</v>
      </c>
      <c r="H1605" s="3340">
        <v>42226</v>
      </c>
      <c r="I1605" s="3340">
        <v>42460</v>
      </c>
      <c r="J1605" s="3324"/>
    </row>
    <row r="1606" spans="1:12" s="3327" customFormat="1" ht="12.75" customHeight="1">
      <c r="A1606" s="3354"/>
      <c r="B1606" s="3369" t="s">
        <v>3867</v>
      </c>
      <c r="C1606" s="3372" t="s">
        <v>4216</v>
      </c>
      <c r="D1606" s="3345" t="s">
        <v>4219</v>
      </c>
      <c r="E1606" s="3339">
        <v>118.9</v>
      </c>
      <c r="F1606" s="3339">
        <v>370</v>
      </c>
      <c r="G1606" s="3340">
        <v>42227</v>
      </c>
      <c r="H1606" s="3340">
        <v>42459</v>
      </c>
      <c r="I1606" s="3340">
        <v>42460</v>
      </c>
      <c r="J1606" s="3324"/>
    </row>
    <row r="1607" spans="1:12" s="3327" customFormat="1" ht="12.75" customHeight="1">
      <c r="A1607" s="3354"/>
      <c r="B1607" s="3369" t="s">
        <v>3867</v>
      </c>
      <c r="C1607" s="3372" t="s">
        <v>4216</v>
      </c>
      <c r="D1607" s="3345" t="s">
        <v>4219</v>
      </c>
      <c r="E1607" s="3339">
        <v>118.9</v>
      </c>
      <c r="F1607" s="3339">
        <v>380</v>
      </c>
      <c r="G1607" s="3340">
        <v>42461</v>
      </c>
      <c r="H1607" s="3340">
        <v>42824</v>
      </c>
      <c r="I1607" s="3340">
        <v>42825</v>
      </c>
      <c r="J1607" s="3324"/>
    </row>
    <row r="1608" spans="1:12" s="3327" customFormat="1" ht="12.75" customHeight="1">
      <c r="A1608" s="3354"/>
      <c r="B1608" s="3370" t="s">
        <v>3867</v>
      </c>
      <c r="C1608" s="3378" t="s">
        <v>4216</v>
      </c>
      <c r="D1608" s="3346" t="s">
        <v>4221</v>
      </c>
      <c r="E1608" s="3332">
        <v>118.9</v>
      </c>
      <c r="F1608" s="3332">
        <v>380</v>
      </c>
      <c r="G1608" s="3333">
        <v>42826</v>
      </c>
      <c r="H1608" s="3333">
        <v>42885</v>
      </c>
      <c r="I1608" s="3333">
        <v>42886</v>
      </c>
      <c r="J1608" s="3324"/>
      <c r="K1608" s="3334">
        <f t="shared" ref="K1608:K1610" si="203">E1608</f>
        <v>118.9</v>
      </c>
      <c r="L1608" s="3334">
        <f t="shared" ref="L1608:L1610" si="204">F1608/30</f>
        <v>12.666666666666666</v>
      </c>
    </row>
    <row r="1609" spans="1:12" s="3327" customFormat="1" ht="12.75" customHeight="1">
      <c r="A1609" s="3354"/>
      <c r="B1609" s="3370" t="s">
        <v>3867</v>
      </c>
      <c r="C1609" s="3378" t="s">
        <v>4216</v>
      </c>
      <c r="D1609" s="3346" t="s">
        <v>4221</v>
      </c>
      <c r="E1609" s="3332">
        <v>118.9</v>
      </c>
      <c r="F1609" s="3332">
        <v>400</v>
      </c>
      <c r="G1609" s="3333">
        <v>42887</v>
      </c>
      <c r="H1609" s="3333">
        <v>42916</v>
      </c>
      <c r="I1609" s="3333">
        <v>43190</v>
      </c>
      <c r="J1609" s="3324"/>
      <c r="K1609" s="3334">
        <f t="shared" si="203"/>
        <v>118.9</v>
      </c>
      <c r="L1609" s="3334">
        <f t="shared" si="204"/>
        <v>13.333333333333334</v>
      </c>
    </row>
    <row r="1610" spans="1:12" s="3327" customFormat="1" ht="12.75" customHeight="1">
      <c r="A1610" s="3354" t="s">
        <v>3872</v>
      </c>
      <c r="B1610" s="3370" t="s">
        <v>3867</v>
      </c>
      <c r="C1610" s="3378" t="s">
        <v>4216</v>
      </c>
      <c r="D1610" s="3346" t="s">
        <v>4221</v>
      </c>
      <c r="E1610" s="3332">
        <v>118.9</v>
      </c>
      <c r="F1610" s="3332">
        <v>400</v>
      </c>
      <c r="G1610" s="3333">
        <v>42917</v>
      </c>
      <c r="H1610" s="3333">
        <v>43130</v>
      </c>
      <c r="I1610" s="3333">
        <v>43190</v>
      </c>
      <c r="J1610" s="3324"/>
      <c r="K1610" s="3334">
        <f t="shared" si="203"/>
        <v>118.9</v>
      </c>
      <c r="L1610" s="3334">
        <f t="shared" si="204"/>
        <v>13.333333333333334</v>
      </c>
    </row>
    <row r="1611" spans="1:12" s="3327" customFormat="1" ht="12.75" customHeight="1">
      <c r="A1611" s="3355"/>
      <c r="B1611" s="3371" t="s">
        <v>3867</v>
      </c>
      <c r="C1611" s="3372" t="s">
        <v>4224</v>
      </c>
      <c r="D1611" s="3336" t="s">
        <v>4225</v>
      </c>
      <c r="E1611" s="3339">
        <v>169.1</v>
      </c>
      <c r="F1611" s="3339">
        <v>300</v>
      </c>
      <c r="G1611" s="3348">
        <v>41000</v>
      </c>
      <c r="H1611" s="3340">
        <v>41363</v>
      </c>
      <c r="I1611" s="3340">
        <v>41364</v>
      </c>
      <c r="J1611" s="3336"/>
    </row>
    <row r="1612" spans="1:12" s="3327" customFormat="1" ht="12.75" customHeight="1">
      <c r="A1612" s="3354"/>
      <c r="B1612" s="3368" t="s">
        <v>3867</v>
      </c>
      <c r="C1612" s="3324" t="s">
        <v>4226</v>
      </c>
      <c r="D1612" s="3344" t="s">
        <v>4227</v>
      </c>
      <c r="E1612" s="3325">
        <v>81.3</v>
      </c>
      <c r="F1612" s="3325">
        <v>330</v>
      </c>
      <c r="G1612" s="3326">
        <v>41699</v>
      </c>
      <c r="H1612" s="3326">
        <v>42003</v>
      </c>
      <c r="I1612" s="3326">
        <v>42094</v>
      </c>
      <c r="J1612" s="3324"/>
    </row>
    <row r="1613" spans="1:12" s="3327" customFormat="1" ht="12.75" customHeight="1">
      <c r="A1613" s="3354"/>
      <c r="B1613" s="3368" t="s">
        <v>3867</v>
      </c>
      <c r="C1613" s="3324" t="s">
        <v>4226</v>
      </c>
      <c r="D1613" s="3344" t="s">
        <v>4227</v>
      </c>
      <c r="E1613" s="3325">
        <v>81.3</v>
      </c>
      <c r="F1613" s="3325">
        <v>350</v>
      </c>
      <c r="G1613" s="3326">
        <v>42005</v>
      </c>
      <c r="H1613" s="3326">
        <v>42093</v>
      </c>
      <c r="I1613" s="3326">
        <v>42094</v>
      </c>
      <c r="J1613" s="3324"/>
    </row>
    <row r="1614" spans="1:12" s="3327" customFormat="1" ht="12.75" customHeight="1">
      <c r="A1614" s="3354"/>
      <c r="B1614" s="3369" t="s">
        <v>3867</v>
      </c>
      <c r="C1614" s="3336" t="s">
        <v>4226</v>
      </c>
      <c r="D1614" s="3345" t="s">
        <v>4227</v>
      </c>
      <c r="E1614" s="3339">
        <v>81.3</v>
      </c>
      <c r="F1614" s="3339">
        <v>350</v>
      </c>
      <c r="G1614" s="3340">
        <v>42095</v>
      </c>
      <c r="H1614" s="3340">
        <v>42459</v>
      </c>
      <c r="I1614" s="3340">
        <v>42460</v>
      </c>
      <c r="J1614" s="3324"/>
    </row>
    <row r="1615" spans="1:12" s="3327" customFormat="1" ht="12.75" customHeight="1">
      <c r="A1615" s="3354"/>
      <c r="B1615" s="3369" t="s">
        <v>3867</v>
      </c>
      <c r="C1615" s="3336" t="s">
        <v>4226</v>
      </c>
      <c r="D1615" s="3345" t="s">
        <v>4227</v>
      </c>
      <c r="E1615" s="3339">
        <v>81.3</v>
      </c>
      <c r="F1615" s="3339">
        <v>370</v>
      </c>
      <c r="G1615" s="3340">
        <v>42461</v>
      </c>
      <c r="H1615" s="3340">
        <v>42824</v>
      </c>
      <c r="I1615" s="3340">
        <v>42825</v>
      </c>
      <c r="J1615" s="3324"/>
    </row>
    <row r="1616" spans="1:12" s="3327" customFormat="1" ht="12.75" customHeight="1">
      <c r="A1616" s="3354"/>
      <c r="B1616" s="3370" t="s">
        <v>3867</v>
      </c>
      <c r="C1616" s="3331" t="s">
        <v>4226</v>
      </c>
      <c r="D1616" s="3346" t="s">
        <v>4203</v>
      </c>
      <c r="E1616" s="3332">
        <v>81.3</v>
      </c>
      <c r="F1616" s="3332">
        <v>370</v>
      </c>
      <c r="G1616" s="3333">
        <v>42826</v>
      </c>
      <c r="H1616" s="3333">
        <v>42885</v>
      </c>
      <c r="I1616" s="3333">
        <v>42886</v>
      </c>
      <c r="J1616" s="3324"/>
      <c r="K1616" s="3334">
        <f t="shared" ref="K1616:K1617" si="205">E1616</f>
        <v>81.3</v>
      </c>
      <c r="L1616" s="3334">
        <f t="shared" ref="L1616:L1617" si="206">F1616/30</f>
        <v>12.333333333333334</v>
      </c>
    </row>
    <row r="1617" spans="1:12" s="3327" customFormat="1" ht="12.75" customHeight="1">
      <c r="A1617" s="3354" t="s">
        <v>3872</v>
      </c>
      <c r="B1617" s="3370" t="s">
        <v>3867</v>
      </c>
      <c r="C1617" s="3331" t="s">
        <v>4226</v>
      </c>
      <c r="D1617" s="3346" t="s">
        <v>4203</v>
      </c>
      <c r="E1617" s="3332">
        <v>81.3</v>
      </c>
      <c r="F1617" s="3332">
        <v>390</v>
      </c>
      <c r="G1617" s="3333">
        <v>42887</v>
      </c>
      <c r="H1617" s="3333">
        <v>43130</v>
      </c>
      <c r="I1617" s="3333">
        <v>43190</v>
      </c>
      <c r="J1617" s="3324"/>
      <c r="K1617" s="3334">
        <f t="shared" si="205"/>
        <v>81.3</v>
      </c>
      <c r="L1617" s="3334">
        <f t="shared" si="206"/>
        <v>13</v>
      </c>
    </row>
    <row r="1618" spans="1:12" s="3327" customFormat="1" ht="12.75" customHeight="1">
      <c r="A1618" s="3355"/>
      <c r="B1618" s="3380" t="s">
        <v>3867</v>
      </c>
      <c r="C1618" s="3381" t="s">
        <v>4228</v>
      </c>
      <c r="D1618" s="3336" t="s">
        <v>4229</v>
      </c>
      <c r="E1618" s="3339">
        <v>146.9</v>
      </c>
      <c r="F1618" s="3339">
        <v>300</v>
      </c>
      <c r="G1618" s="3340">
        <v>41000</v>
      </c>
      <c r="H1618" s="3340">
        <v>41363</v>
      </c>
      <c r="I1618" s="3340">
        <v>41364</v>
      </c>
      <c r="J1618" s="3336"/>
    </row>
    <row r="1619" spans="1:12" s="3327" customFormat="1" ht="12.75" customHeight="1">
      <c r="A1619" s="3354"/>
      <c r="B1619" s="3368" t="s">
        <v>3867</v>
      </c>
      <c r="C1619" s="3324" t="s">
        <v>4230</v>
      </c>
      <c r="D1619" s="3344" t="s">
        <v>4231</v>
      </c>
      <c r="E1619" s="3325">
        <v>49.5</v>
      </c>
      <c r="F1619" s="3325">
        <v>310</v>
      </c>
      <c r="G1619" s="3326">
        <v>41699</v>
      </c>
      <c r="H1619" s="3326">
        <v>42093</v>
      </c>
      <c r="I1619" s="3326">
        <v>42094</v>
      </c>
      <c r="J1619" s="3324"/>
    </row>
    <row r="1620" spans="1:12" s="3327" customFormat="1" ht="12.75" customHeight="1">
      <c r="A1620" s="3354"/>
      <c r="B1620" s="3369" t="s">
        <v>3867</v>
      </c>
      <c r="C1620" s="3336" t="s">
        <v>4230</v>
      </c>
      <c r="D1620" s="3345" t="s">
        <v>4231</v>
      </c>
      <c r="E1620" s="3339">
        <v>49.5</v>
      </c>
      <c r="F1620" s="3339">
        <v>320</v>
      </c>
      <c r="G1620" s="3340">
        <v>42095</v>
      </c>
      <c r="H1620" s="3340">
        <v>42246</v>
      </c>
      <c r="I1620" s="3340">
        <v>42460</v>
      </c>
      <c r="J1620" s="3324"/>
    </row>
    <row r="1621" spans="1:12" s="3327" customFormat="1" ht="12.75" customHeight="1">
      <c r="A1621" s="3354"/>
      <c r="B1621" s="3369" t="s">
        <v>3867</v>
      </c>
      <c r="C1621" s="3336" t="s">
        <v>4232</v>
      </c>
      <c r="D1621" s="3345" t="s">
        <v>4231</v>
      </c>
      <c r="E1621" s="3339">
        <v>49.5</v>
      </c>
      <c r="F1621" s="3339">
        <v>320</v>
      </c>
      <c r="G1621" s="3340">
        <v>42248</v>
      </c>
      <c r="H1621" s="3340">
        <v>42386</v>
      </c>
      <c r="I1621" s="3340">
        <v>42460</v>
      </c>
      <c r="J1621" s="3324"/>
    </row>
    <row r="1622" spans="1:12" s="3327" customFormat="1" ht="12.75" customHeight="1">
      <c r="A1622" s="3354"/>
      <c r="B1622" s="3369" t="s">
        <v>3867</v>
      </c>
      <c r="C1622" s="3336" t="s">
        <v>3877</v>
      </c>
      <c r="D1622" s="3345" t="s">
        <v>4231</v>
      </c>
      <c r="E1622" s="3339">
        <v>49.5</v>
      </c>
      <c r="F1622" s="3339">
        <v>320</v>
      </c>
      <c r="G1622" s="3340">
        <v>42387</v>
      </c>
      <c r="H1622" s="3340">
        <v>42429</v>
      </c>
      <c r="I1622" s="3340">
        <v>42460</v>
      </c>
      <c r="J1622" s="3324"/>
    </row>
    <row r="1623" spans="1:12" s="3327" customFormat="1" ht="12.75" customHeight="1">
      <c r="A1623" s="3354"/>
      <c r="B1623" s="3369" t="s">
        <v>3867</v>
      </c>
      <c r="C1623" s="3336" t="s">
        <v>4051</v>
      </c>
      <c r="D1623" s="3345" t="s">
        <v>4231</v>
      </c>
      <c r="E1623" s="3339">
        <v>49.5</v>
      </c>
      <c r="F1623" s="3339">
        <v>320</v>
      </c>
      <c r="G1623" s="3340">
        <v>42430</v>
      </c>
      <c r="H1623" s="3340">
        <v>42459</v>
      </c>
      <c r="I1623" s="3340">
        <v>42460</v>
      </c>
      <c r="J1623" s="3324"/>
    </row>
    <row r="1624" spans="1:12" s="3327" customFormat="1" ht="12.75" customHeight="1">
      <c r="A1624" s="3354"/>
      <c r="B1624" s="3369" t="s">
        <v>3867</v>
      </c>
      <c r="C1624" s="3336" t="s">
        <v>4051</v>
      </c>
      <c r="D1624" s="3345" t="s">
        <v>4231</v>
      </c>
      <c r="E1624" s="3339">
        <v>49.5</v>
      </c>
      <c r="F1624" s="3339">
        <v>320</v>
      </c>
      <c r="G1624" s="3340">
        <v>42461</v>
      </c>
      <c r="H1624" s="3340">
        <v>42824</v>
      </c>
      <c r="I1624" s="3340">
        <v>42825</v>
      </c>
      <c r="J1624" s="3324"/>
    </row>
    <row r="1625" spans="1:12" s="3327" customFormat="1" ht="12.75" customHeight="1">
      <c r="A1625" s="3354"/>
      <c r="B1625" s="3370" t="s">
        <v>3867</v>
      </c>
      <c r="C1625" s="3331" t="s">
        <v>4051</v>
      </c>
      <c r="D1625" s="3346" t="s">
        <v>4198</v>
      </c>
      <c r="E1625" s="3332">
        <v>49.5</v>
      </c>
      <c r="F1625" s="3332">
        <v>330</v>
      </c>
      <c r="G1625" s="3333">
        <v>42826</v>
      </c>
      <c r="H1625" s="3333">
        <v>42885</v>
      </c>
      <c r="I1625" s="3333">
        <v>42885</v>
      </c>
      <c r="J1625" s="3324"/>
      <c r="K1625" s="3334">
        <f t="shared" ref="K1625:K1629" si="207">E1625</f>
        <v>49.5</v>
      </c>
      <c r="L1625" s="3334">
        <f t="shared" ref="L1625:L1629" si="208">F1625/30</f>
        <v>11</v>
      </c>
    </row>
    <row r="1626" spans="1:12" s="3327" customFormat="1" ht="12.75" customHeight="1">
      <c r="A1626" s="3354"/>
      <c r="B1626" s="3370" t="s">
        <v>3867</v>
      </c>
      <c r="C1626" s="3331" t="s">
        <v>4051</v>
      </c>
      <c r="D1626" s="3346" t="s">
        <v>4198</v>
      </c>
      <c r="E1626" s="3332">
        <v>49.5</v>
      </c>
      <c r="F1626" s="3332">
        <v>330</v>
      </c>
      <c r="G1626" s="3333">
        <v>42887</v>
      </c>
      <c r="H1626" s="3333">
        <v>42916</v>
      </c>
      <c r="I1626" s="3333">
        <v>43190</v>
      </c>
      <c r="J1626" s="3324"/>
      <c r="K1626" s="3334">
        <f t="shared" si="207"/>
        <v>49.5</v>
      </c>
      <c r="L1626" s="3334">
        <f t="shared" si="208"/>
        <v>11</v>
      </c>
    </row>
    <row r="1627" spans="1:12" s="3327" customFormat="1" ht="12.75" customHeight="1">
      <c r="A1627" s="3354"/>
      <c r="B1627" s="3370" t="s">
        <v>3867</v>
      </c>
      <c r="C1627" s="3331" t="s">
        <v>4233</v>
      </c>
      <c r="D1627" s="3346" t="s">
        <v>4198</v>
      </c>
      <c r="E1627" s="3332">
        <v>33.520000000000003</v>
      </c>
      <c r="F1627" s="3332">
        <v>400</v>
      </c>
      <c r="G1627" s="3333">
        <v>42917</v>
      </c>
      <c r="H1627" s="3333">
        <v>43069</v>
      </c>
      <c r="I1627" s="3333">
        <v>43190</v>
      </c>
      <c r="J1627" s="3324"/>
      <c r="K1627" s="3334">
        <f t="shared" si="207"/>
        <v>33.520000000000003</v>
      </c>
      <c r="L1627" s="3334">
        <f t="shared" si="208"/>
        <v>13.333333333333334</v>
      </c>
    </row>
    <row r="1628" spans="1:12" s="3327" customFormat="1" ht="12.75" customHeight="1">
      <c r="A1628" s="3354" t="s">
        <v>4134</v>
      </c>
      <c r="B1628" s="3370" t="s">
        <v>3867</v>
      </c>
      <c r="C1628" s="3331" t="s">
        <v>4233</v>
      </c>
      <c r="D1628" s="3346" t="s">
        <v>4198</v>
      </c>
      <c r="E1628" s="3332">
        <v>73.56</v>
      </c>
      <c r="F1628" s="3332">
        <v>400</v>
      </c>
      <c r="G1628" s="3333">
        <v>43070</v>
      </c>
      <c r="H1628" s="3333">
        <v>43130</v>
      </c>
      <c r="I1628" s="3333">
        <v>43190</v>
      </c>
      <c r="J1628" s="3324"/>
      <c r="K1628" s="3334">
        <f t="shared" si="207"/>
        <v>73.56</v>
      </c>
      <c r="L1628" s="3334">
        <f t="shared" si="208"/>
        <v>13.333333333333334</v>
      </c>
    </row>
    <row r="1629" spans="1:12" s="3327" customFormat="1" ht="12.75" customHeight="1">
      <c r="A1629" s="3354" t="s">
        <v>3872</v>
      </c>
      <c r="B1629" s="3370" t="s">
        <v>3867</v>
      </c>
      <c r="C1629" s="3331" t="s">
        <v>3879</v>
      </c>
      <c r="D1629" s="3346" t="s">
        <v>4234</v>
      </c>
      <c r="E1629" s="3332">
        <v>76.48</v>
      </c>
      <c r="F1629" s="3332">
        <v>400</v>
      </c>
      <c r="G1629" s="3333">
        <v>42917</v>
      </c>
      <c r="H1629" s="3333">
        <v>43130</v>
      </c>
      <c r="I1629" s="3333">
        <v>43190</v>
      </c>
      <c r="J1629" s="3324"/>
      <c r="K1629" s="3334">
        <f t="shared" si="207"/>
        <v>76.48</v>
      </c>
      <c r="L1629" s="3334">
        <f t="shared" si="208"/>
        <v>13.333333333333334</v>
      </c>
    </row>
    <row r="1630" spans="1:12" s="3327" customFormat="1" ht="13.5" customHeight="1">
      <c r="A1630" s="3354"/>
      <c r="B1630" s="3368" t="s">
        <v>3867</v>
      </c>
      <c r="C1630" s="3324" t="s">
        <v>4147</v>
      </c>
      <c r="D1630" s="3344" t="s">
        <v>4235</v>
      </c>
      <c r="E1630" s="3325">
        <v>60.5</v>
      </c>
      <c r="F1630" s="3325">
        <v>330</v>
      </c>
      <c r="G1630" s="3326">
        <v>41699</v>
      </c>
      <c r="H1630" s="3326">
        <v>42003</v>
      </c>
      <c r="I1630" s="3326">
        <v>42094</v>
      </c>
      <c r="J1630" s="3324"/>
    </row>
    <row r="1631" spans="1:12" s="3327" customFormat="1" ht="13.5" customHeight="1">
      <c r="A1631" s="3354"/>
      <c r="B1631" s="3368" t="s">
        <v>3867</v>
      </c>
      <c r="C1631" s="3324" t="s">
        <v>4147</v>
      </c>
      <c r="D1631" s="3344" t="s">
        <v>4235</v>
      </c>
      <c r="E1631" s="3325">
        <v>60.5</v>
      </c>
      <c r="F1631" s="3325">
        <v>350</v>
      </c>
      <c r="G1631" s="3326">
        <v>42005</v>
      </c>
      <c r="H1631" s="3326">
        <v>42093</v>
      </c>
      <c r="I1631" s="3326">
        <v>42094</v>
      </c>
      <c r="J1631" s="3324"/>
    </row>
    <row r="1632" spans="1:12" s="3327" customFormat="1" ht="13.5" customHeight="1">
      <c r="A1632" s="3354"/>
      <c r="B1632" s="3369" t="s">
        <v>3867</v>
      </c>
      <c r="C1632" s="3336" t="s">
        <v>4147</v>
      </c>
      <c r="D1632" s="3345" t="s">
        <v>4235</v>
      </c>
      <c r="E1632" s="3339">
        <v>60.5</v>
      </c>
      <c r="F1632" s="3339">
        <v>350</v>
      </c>
      <c r="G1632" s="3340">
        <v>42095</v>
      </c>
      <c r="H1632" s="3340">
        <v>42459</v>
      </c>
      <c r="I1632" s="3340">
        <v>42460</v>
      </c>
      <c r="J1632" s="3324"/>
    </row>
    <row r="1633" spans="1:12" s="3327" customFormat="1" ht="13.5" customHeight="1">
      <c r="A1633" s="3354"/>
      <c r="B1633" s="3369" t="s">
        <v>3867</v>
      </c>
      <c r="C1633" s="3336" t="s">
        <v>4147</v>
      </c>
      <c r="D1633" s="3345" t="s">
        <v>4235</v>
      </c>
      <c r="E1633" s="3339">
        <v>60.5</v>
      </c>
      <c r="F1633" s="3339">
        <v>370</v>
      </c>
      <c r="G1633" s="3340">
        <v>42461</v>
      </c>
      <c r="H1633" s="3340">
        <v>42824</v>
      </c>
      <c r="I1633" s="3340">
        <v>42825</v>
      </c>
      <c r="J1633" s="3324"/>
    </row>
    <row r="1634" spans="1:12" s="3327" customFormat="1" ht="13.5" customHeight="1">
      <c r="A1634" s="3354"/>
      <c r="B1634" s="3370" t="s">
        <v>3867</v>
      </c>
      <c r="C1634" s="3331" t="s">
        <v>4147</v>
      </c>
      <c r="D1634" s="3346" t="s">
        <v>4234</v>
      </c>
      <c r="E1634" s="3332">
        <v>60.5</v>
      </c>
      <c r="F1634" s="3332">
        <v>370</v>
      </c>
      <c r="G1634" s="3333">
        <v>42826</v>
      </c>
      <c r="H1634" s="3333">
        <v>42885</v>
      </c>
      <c r="I1634" s="3333">
        <v>42886</v>
      </c>
      <c r="J1634" s="3324"/>
      <c r="K1634" s="3334">
        <f t="shared" ref="K1634:K1635" si="209">E1634</f>
        <v>60.5</v>
      </c>
      <c r="L1634" s="3334">
        <f t="shared" ref="L1634:L1635" si="210">F1634/30</f>
        <v>12.333333333333334</v>
      </c>
    </row>
    <row r="1635" spans="1:12" s="3327" customFormat="1" ht="13.5" customHeight="1">
      <c r="A1635" s="3354"/>
      <c r="B1635" s="3370" t="s">
        <v>3867</v>
      </c>
      <c r="C1635" s="3331" t="s">
        <v>4147</v>
      </c>
      <c r="D1635" s="3346" t="s">
        <v>4234</v>
      </c>
      <c r="E1635" s="3332">
        <v>60.5</v>
      </c>
      <c r="F1635" s="3332">
        <v>370</v>
      </c>
      <c r="G1635" s="3333">
        <v>42887</v>
      </c>
      <c r="H1635" s="3333">
        <v>42916</v>
      </c>
      <c r="I1635" s="3333">
        <v>43190</v>
      </c>
      <c r="J1635" s="3324"/>
      <c r="K1635" s="3334">
        <f t="shared" si="209"/>
        <v>60.5</v>
      </c>
      <c r="L1635" s="3334">
        <f t="shared" si="210"/>
        <v>12.333333333333334</v>
      </c>
    </row>
    <row r="1636" spans="1:12" s="3327" customFormat="1" ht="13.5" customHeight="1">
      <c r="A1636" s="3354"/>
      <c r="B1636" s="3368" t="s">
        <v>3867</v>
      </c>
      <c r="C1636" s="3324" t="s">
        <v>4218</v>
      </c>
      <c r="D1636" s="3344" t="s">
        <v>4113</v>
      </c>
      <c r="E1636" s="3325">
        <v>49.2</v>
      </c>
      <c r="F1636" s="3325">
        <v>310</v>
      </c>
      <c r="G1636" s="3326">
        <v>41699</v>
      </c>
      <c r="H1636" s="3326">
        <v>42093</v>
      </c>
      <c r="I1636" s="3326">
        <v>42094</v>
      </c>
      <c r="J1636" s="3324"/>
    </row>
    <row r="1637" spans="1:12" s="3327" customFormat="1" ht="13.5" customHeight="1">
      <c r="A1637" s="3354"/>
      <c r="B1637" s="3369" t="s">
        <v>3867</v>
      </c>
      <c r="C1637" s="3336" t="s">
        <v>4218</v>
      </c>
      <c r="D1637" s="3345" t="s">
        <v>4113</v>
      </c>
      <c r="E1637" s="3339">
        <v>49.2</v>
      </c>
      <c r="F1637" s="3339">
        <v>330</v>
      </c>
      <c r="G1637" s="3340">
        <v>42095</v>
      </c>
      <c r="H1637" s="3340">
        <v>42250</v>
      </c>
      <c r="I1637" s="3340">
        <v>42460</v>
      </c>
      <c r="J1637" s="3324"/>
    </row>
    <row r="1638" spans="1:12" s="3327" customFormat="1" ht="13.5" customHeight="1">
      <c r="A1638" s="3354"/>
      <c r="B1638" s="3369" t="s">
        <v>3867</v>
      </c>
      <c r="C1638" s="3336" t="s">
        <v>4145</v>
      </c>
      <c r="D1638" s="3345" t="s">
        <v>4113</v>
      </c>
      <c r="E1638" s="3339">
        <v>49.2</v>
      </c>
      <c r="F1638" s="3339">
        <v>330</v>
      </c>
      <c r="G1638" s="3340">
        <v>42251</v>
      </c>
      <c r="H1638" s="3340">
        <v>42459</v>
      </c>
      <c r="I1638" s="3340">
        <v>42460</v>
      </c>
      <c r="J1638" s="3324"/>
    </row>
    <row r="1639" spans="1:12" s="3327" customFormat="1" ht="13.5" customHeight="1">
      <c r="A1639" s="3354"/>
      <c r="B1639" s="3369" t="s">
        <v>3867</v>
      </c>
      <c r="C1639" s="3336" t="s">
        <v>4145</v>
      </c>
      <c r="D1639" s="3345" t="s">
        <v>4113</v>
      </c>
      <c r="E1639" s="3339">
        <v>49.2</v>
      </c>
      <c r="F1639" s="3339">
        <v>350</v>
      </c>
      <c r="G1639" s="3340">
        <v>42461</v>
      </c>
      <c r="H1639" s="3340">
        <v>42824</v>
      </c>
      <c r="I1639" s="3340">
        <v>42825</v>
      </c>
      <c r="J1639" s="3324"/>
    </row>
    <row r="1640" spans="1:12" s="3327" customFormat="1" ht="13.5" customHeight="1">
      <c r="A1640" s="3354"/>
      <c r="B1640" s="3370" t="s">
        <v>3867</v>
      </c>
      <c r="C1640" s="3331" t="s">
        <v>4145</v>
      </c>
      <c r="D1640" s="3346" t="s">
        <v>4236</v>
      </c>
      <c r="E1640" s="3332">
        <v>49.2</v>
      </c>
      <c r="F1640" s="3332">
        <v>360</v>
      </c>
      <c r="G1640" s="3333">
        <v>42826</v>
      </c>
      <c r="H1640" s="3333">
        <v>42885</v>
      </c>
      <c r="I1640" s="3333">
        <v>42886</v>
      </c>
      <c r="J1640" s="3324"/>
      <c r="K1640" s="3334">
        <f t="shared" ref="K1640:K1641" si="211">E1640</f>
        <v>49.2</v>
      </c>
      <c r="L1640" s="3334">
        <f t="shared" ref="L1640:L1641" si="212">F1640/30</f>
        <v>12</v>
      </c>
    </row>
    <row r="1641" spans="1:12" s="3327" customFormat="1" ht="13.5" customHeight="1">
      <c r="A1641" s="3354"/>
      <c r="B1641" s="3370" t="s">
        <v>3867</v>
      </c>
      <c r="C1641" s="3331" t="s">
        <v>4145</v>
      </c>
      <c r="D1641" s="3346" t="s">
        <v>4236</v>
      </c>
      <c r="E1641" s="3332">
        <v>49.2</v>
      </c>
      <c r="F1641" s="3332">
        <v>360</v>
      </c>
      <c r="G1641" s="3333">
        <v>42887</v>
      </c>
      <c r="H1641" s="3333">
        <v>42916</v>
      </c>
      <c r="I1641" s="3333">
        <v>43190</v>
      </c>
      <c r="J1641" s="3324"/>
      <c r="K1641" s="3334">
        <f t="shared" si="211"/>
        <v>49.2</v>
      </c>
      <c r="L1641" s="3334">
        <f t="shared" si="212"/>
        <v>12</v>
      </c>
    </row>
    <row r="1642" spans="1:12" s="3327" customFormat="1" ht="12.75" customHeight="1">
      <c r="A1642" s="3354"/>
      <c r="B1642" s="3368" t="s">
        <v>3867</v>
      </c>
      <c r="C1642" s="3324" t="s">
        <v>4237</v>
      </c>
      <c r="D1642" s="3344" t="s">
        <v>4082</v>
      </c>
      <c r="E1642" s="3325">
        <v>51</v>
      </c>
      <c r="F1642" s="3325">
        <v>310</v>
      </c>
      <c r="G1642" s="3326">
        <v>41699</v>
      </c>
      <c r="H1642" s="3326">
        <v>42003</v>
      </c>
      <c r="I1642" s="3326">
        <v>42094</v>
      </c>
      <c r="J1642" s="3324"/>
    </row>
    <row r="1643" spans="1:12" s="3327" customFormat="1" ht="12.75" customHeight="1">
      <c r="A1643" s="3354"/>
      <c r="B1643" s="3368" t="s">
        <v>3867</v>
      </c>
      <c r="C1643" s="3324" t="s">
        <v>4237</v>
      </c>
      <c r="D1643" s="3344" t="s">
        <v>4082</v>
      </c>
      <c r="E1643" s="3325">
        <v>51</v>
      </c>
      <c r="F1643" s="3325">
        <v>330</v>
      </c>
      <c r="G1643" s="3326">
        <v>42005</v>
      </c>
      <c r="H1643" s="3326">
        <v>42093</v>
      </c>
      <c r="I1643" s="3326">
        <v>42094</v>
      </c>
      <c r="J1643" s="3324"/>
    </row>
    <row r="1644" spans="1:12" s="3327" customFormat="1" ht="12.75" customHeight="1">
      <c r="A1644" s="3354"/>
      <c r="B1644" s="3369" t="s">
        <v>3867</v>
      </c>
      <c r="C1644" s="3336" t="s">
        <v>4237</v>
      </c>
      <c r="D1644" s="3345" t="s">
        <v>4082</v>
      </c>
      <c r="E1644" s="3339">
        <v>51</v>
      </c>
      <c r="F1644" s="3339">
        <v>330</v>
      </c>
      <c r="G1644" s="3340">
        <v>42095</v>
      </c>
      <c r="H1644" s="3340">
        <v>42459</v>
      </c>
      <c r="I1644" s="3340">
        <v>42460</v>
      </c>
      <c r="J1644" s="3324"/>
    </row>
    <row r="1645" spans="1:12" s="3327" customFormat="1" ht="12.75" customHeight="1">
      <c r="A1645" s="3354"/>
      <c r="B1645" s="3369" t="s">
        <v>3867</v>
      </c>
      <c r="C1645" s="3336" t="s">
        <v>4237</v>
      </c>
      <c r="D1645" s="3345" t="s">
        <v>4082</v>
      </c>
      <c r="E1645" s="3338">
        <v>52.11</v>
      </c>
      <c r="F1645" s="3339">
        <v>350</v>
      </c>
      <c r="G1645" s="3340">
        <v>42461</v>
      </c>
      <c r="H1645" s="3340">
        <v>42824</v>
      </c>
      <c r="I1645" s="3340">
        <v>42825</v>
      </c>
      <c r="J1645" s="3324"/>
    </row>
    <row r="1646" spans="1:12" s="3327" customFormat="1" ht="12.75" customHeight="1">
      <c r="A1646" s="3354"/>
      <c r="B1646" s="3370" t="s">
        <v>3867</v>
      </c>
      <c r="C1646" s="3331" t="s">
        <v>4237</v>
      </c>
      <c r="D1646" s="3346" t="s">
        <v>4238</v>
      </c>
      <c r="E1646" s="3332">
        <v>52.11</v>
      </c>
      <c r="F1646" s="3332">
        <v>355</v>
      </c>
      <c r="G1646" s="3333">
        <v>42826</v>
      </c>
      <c r="H1646" s="3333">
        <v>42885</v>
      </c>
      <c r="I1646" s="3333">
        <v>42886</v>
      </c>
      <c r="J1646" s="3324"/>
      <c r="K1646" s="3334">
        <f t="shared" ref="K1646:K1647" si="213">E1646</f>
        <v>52.11</v>
      </c>
      <c r="L1646" s="3334">
        <f t="shared" ref="L1646:L1647" si="214">F1646/30</f>
        <v>11.833333333333334</v>
      </c>
    </row>
    <row r="1647" spans="1:12" s="3327" customFormat="1" ht="12.75" customHeight="1">
      <c r="A1647" s="3354" t="s">
        <v>3872</v>
      </c>
      <c r="B1647" s="3370" t="s">
        <v>3867</v>
      </c>
      <c r="C1647" s="3331" t="s">
        <v>4237</v>
      </c>
      <c r="D1647" s="3346" t="s">
        <v>4238</v>
      </c>
      <c r="E1647" s="3332">
        <v>52.11</v>
      </c>
      <c r="F1647" s="3332">
        <v>355</v>
      </c>
      <c r="G1647" s="3333">
        <v>42887</v>
      </c>
      <c r="H1647" s="3333">
        <v>43130</v>
      </c>
      <c r="I1647" s="3333">
        <v>43190</v>
      </c>
      <c r="J1647" s="3324"/>
      <c r="K1647" s="3334">
        <f t="shared" si="213"/>
        <v>52.11</v>
      </c>
      <c r="L1647" s="3334">
        <f t="shared" si="214"/>
        <v>11.833333333333334</v>
      </c>
    </row>
    <row r="1648" spans="1:12" s="3327" customFormat="1" ht="12.75" customHeight="1">
      <c r="A1648" s="3355"/>
      <c r="B1648" s="3369" t="s">
        <v>3867</v>
      </c>
      <c r="C1648" s="3336" t="s">
        <v>4239</v>
      </c>
      <c r="D1648" s="3336" t="s">
        <v>4240</v>
      </c>
      <c r="E1648" s="3339">
        <v>118.7</v>
      </c>
      <c r="F1648" s="3339">
        <v>270</v>
      </c>
      <c r="G1648" s="3340">
        <v>41000</v>
      </c>
      <c r="H1648" s="3340">
        <v>41363</v>
      </c>
      <c r="I1648" s="3340">
        <v>41364</v>
      </c>
      <c r="J1648" s="3336"/>
    </row>
    <row r="1649" spans="1:12" s="3327" customFormat="1" ht="12.75" customHeight="1">
      <c r="A1649" s="3354"/>
      <c r="B1649" s="3368" t="s">
        <v>3867</v>
      </c>
      <c r="C1649" s="3324" t="s">
        <v>4085</v>
      </c>
      <c r="D1649" s="3344" t="s">
        <v>4093</v>
      </c>
      <c r="E1649" s="3325">
        <v>147.4</v>
      </c>
      <c r="F1649" s="3325">
        <v>330</v>
      </c>
      <c r="G1649" s="3326">
        <v>41699</v>
      </c>
      <c r="H1649" s="3326">
        <v>42093</v>
      </c>
      <c r="I1649" s="3326">
        <v>42094</v>
      </c>
      <c r="J1649" s="3324"/>
    </row>
    <row r="1650" spans="1:12" s="3327" customFormat="1" ht="12.75" customHeight="1">
      <c r="A1650" s="3354"/>
      <c r="B1650" s="3369" t="s">
        <v>3867</v>
      </c>
      <c r="C1650" s="3336" t="s">
        <v>4085</v>
      </c>
      <c r="D1650" s="3345" t="s">
        <v>4093</v>
      </c>
      <c r="E1650" s="3339">
        <v>147.4</v>
      </c>
      <c r="F1650" s="3339">
        <v>350</v>
      </c>
      <c r="G1650" s="3340">
        <v>42095</v>
      </c>
      <c r="H1650" s="3340">
        <v>42459</v>
      </c>
      <c r="I1650" s="3340">
        <v>42460</v>
      </c>
      <c r="J1650" s="3324"/>
    </row>
    <row r="1651" spans="1:12" s="3327" customFormat="1" ht="12.75" customHeight="1">
      <c r="A1651" s="3354"/>
      <c r="B1651" s="3369" t="s">
        <v>3867</v>
      </c>
      <c r="C1651" s="3336" t="s">
        <v>4085</v>
      </c>
      <c r="D1651" s="3345" t="s">
        <v>4093</v>
      </c>
      <c r="E1651" s="3339">
        <v>147.4</v>
      </c>
      <c r="F1651" s="3339">
        <v>350</v>
      </c>
      <c r="G1651" s="3340">
        <v>42461</v>
      </c>
      <c r="H1651" s="3340">
        <v>42824</v>
      </c>
      <c r="I1651" s="3340">
        <v>42825</v>
      </c>
      <c r="J1651" s="3324"/>
    </row>
    <row r="1652" spans="1:12" s="3327" customFormat="1" ht="12.75" customHeight="1">
      <c r="A1652" s="3354"/>
      <c r="B1652" s="3370" t="s">
        <v>3867</v>
      </c>
      <c r="C1652" s="3331" t="s">
        <v>4085</v>
      </c>
      <c r="D1652" s="3346" t="s">
        <v>4200</v>
      </c>
      <c r="E1652" s="3332">
        <v>147.4</v>
      </c>
      <c r="F1652" s="3332">
        <v>360</v>
      </c>
      <c r="G1652" s="3333">
        <v>42826</v>
      </c>
      <c r="H1652" s="3333">
        <v>42885</v>
      </c>
      <c r="I1652" s="3333">
        <v>42886</v>
      </c>
      <c r="J1652" s="3324"/>
      <c r="K1652" s="3334">
        <f t="shared" ref="K1652:K1658" si="215">E1652</f>
        <v>147.4</v>
      </c>
      <c r="L1652" s="3334">
        <f t="shared" ref="L1652:L1658" si="216">F1652/30</f>
        <v>12</v>
      </c>
    </row>
    <row r="1653" spans="1:12" s="3327" customFormat="1" ht="12.75" customHeight="1">
      <c r="A1653" s="3354"/>
      <c r="B1653" s="3370" t="s">
        <v>3867</v>
      </c>
      <c r="C1653" s="3331" t="s">
        <v>4085</v>
      </c>
      <c r="D1653" s="3346" t="s">
        <v>4200</v>
      </c>
      <c r="E1653" s="3332">
        <v>147.4</v>
      </c>
      <c r="F1653" s="3332">
        <v>360</v>
      </c>
      <c r="G1653" s="3333">
        <v>42887</v>
      </c>
      <c r="H1653" s="3333">
        <v>42916</v>
      </c>
      <c r="I1653" s="3333">
        <v>43190</v>
      </c>
      <c r="J1653" s="3324"/>
      <c r="K1653" s="3334">
        <f t="shared" si="215"/>
        <v>147.4</v>
      </c>
      <c r="L1653" s="3334">
        <f t="shared" si="216"/>
        <v>12</v>
      </c>
    </row>
    <row r="1654" spans="1:12" s="3327" customFormat="1" ht="12.75" customHeight="1">
      <c r="A1654" s="3354" t="s">
        <v>3872</v>
      </c>
      <c r="B1654" s="3370" t="s">
        <v>3867</v>
      </c>
      <c r="C1654" s="3331" t="s">
        <v>4210</v>
      </c>
      <c r="D1654" s="3346" t="s">
        <v>4198</v>
      </c>
      <c r="E1654" s="3332">
        <v>61.41</v>
      </c>
      <c r="F1654" s="3332">
        <v>390</v>
      </c>
      <c r="G1654" s="3333">
        <v>42917</v>
      </c>
      <c r="H1654" s="3333">
        <v>43130</v>
      </c>
      <c r="I1654" s="3333">
        <v>43190</v>
      </c>
      <c r="J1654" s="3324"/>
      <c r="K1654" s="3334">
        <f t="shared" si="215"/>
        <v>61.41</v>
      </c>
      <c r="L1654" s="3334">
        <f t="shared" si="216"/>
        <v>13</v>
      </c>
    </row>
    <row r="1655" spans="1:12" s="3327" customFormat="1" ht="12.75" customHeight="1">
      <c r="A1655" s="3354"/>
      <c r="B1655" s="3370" t="s">
        <v>3867</v>
      </c>
      <c r="C1655" s="3331" t="s">
        <v>4051</v>
      </c>
      <c r="D1655" s="3346" t="s">
        <v>4200</v>
      </c>
      <c r="E1655" s="3332">
        <v>42.01</v>
      </c>
      <c r="F1655" s="3332">
        <v>390</v>
      </c>
      <c r="G1655" s="3333">
        <v>42917</v>
      </c>
      <c r="H1655" s="3333">
        <v>43008</v>
      </c>
      <c r="I1655" s="3333">
        <v>43190</v>
      </c>
      <c r="J1655" s="3324"/>
      <c r="K1655" s="3334">
        <f t="shared" si="215"/>
        <v>42.01</v>
      </c>
      <c r="L1655" s="3334">
        <f t="shared" si="216"/>
        <v>13</v>
      </c>
    </row>
    <row r="1656" spans="1:12" s="3327" customFormat="1" ht="12.75" customHeight="1">
      <c r="A1656" s="3354"/>
      <c r="B1656" s="3370" t="s">
        <v>3867</v>
      </c>
      <c r="C1656" s="3331" t="s">
        <v>4051</v>
      </c>
      <c r="D1656" s="3346" t="s">
        <v>4200</v>
      </c>
      <c r="E1656" s="3332">
        <v>42.01</v>
      </c>
      <c r="F1656" s="3332">
        <v>390</v>
      </c>
      <c r="G1656" s="3333">
        <v>43009</v>
      </c>
      <c r="H1656" s="3333">
        <v>43009</v>
      </c>
      <c r="I1656" s="3333">
        <v>43190</v>
      </c>
      <c r="J1656" s="3324"/>
      <c r="K1656" s="3334">
        <f t="shared" si="215"/>
        <v>42.01</v>
      </c>
      <c r="L1656" s="3334">
        <f t="shared" si="216"/>
        <v>13</v>
      </c>
    </row>
    <row r="1657" spans="1:12" s="3327" customFormat="1" ht="12.75" customHeight="1">
      <c r="A1657" s="3354" t="s">
        <v>3872</v>
      </c>
      <c r="B1657" s="3370" t="s">
        <v>3867</v>
      </c>
      <c r="C1657" s="3331" t="s">
        <v>4051</v>
      </c>
      <c r="D1657" s="3346" t="s">
        <v>4200</v>
      </c>
      <c r="E1657" s="3332">
        <v>42.01</v>
      </c>
      <c r="F1657" s="3332">
        <v>390</v>
      </c>
      <c r="G1657" s="3333">
        <v>43010</v>
      </c>
      <c r="H1657" s="3333">
        <v>43130</v>
      </c>
      <c r="I1657" s="3333">
        <v>43190</v>
      </c>
      <c r="J1657" s="3324"/>
      <c r="K1657" s="3334">
        <f t="shared" si="215"/>
        <v>42.01</v>
      </c>
      <c r="L1657" s="3334">
        <f t="shared" si="216"/>
        <v>13</v>
      </c>
    </row>
    <row r="1658" spans="1:12" s="3327" customFormat="1" ht="12.75" customHeight="1">
      <c r="A1658" s="3354" t="s">
        <v>3872</v>
      </c>
      <c r="B1658" s="3370" t="s">
        <v>3867</v>
      </c>
      <c r="C1658" s="3331" t="s">
        <v>4218</v>
      </c>
      <c r="D1658" s="3346" t="s">
        <v>4203</v>
      </c>
      <c r="E1658" s="3332">
        <v>43.98</v>
      </c>
      <c r="F1658" s="3332">
        <v>390</v>
      </c>
      <c r="G1658" s="3333">
        <v>42917</v>
      </c>
      <c r="H1658" s="3333">
        <v>43130</v>
      </c>
      <c r="I1658" s="3333">
        <v>43190</v>
      </c>
      <c r="J1658" s="3324"/>
      <c r="K1658" s="3334">
        <f t="shared" si="215"/>
        <v>43.98</v>
      </c>
      <c r="L1658" s="3334">
        <f t="shared" si="216"/>
        <v>13</v>
      </c>
    </row>
    <row r="1659" spans="1:12" s="3327" customFormat="1" ht="13.5" customHeight="1">
      <c r="A1659" s="3355"/>
      <c r="B1659" s="3371" t="s">
        <v>3867</v>
      </c>
      <c r="C1659" s="3372" t="s">
        <v>4241</v>
      </c>
      <c r="D1659" s="3336" t="s">
        <v>4242</v>
      </c>
      <c r="E1659" s="3339">
        <v>121.6</v>
      </c>
      <c r="F1659" s="3339">
        <v>270</v>
      </c>
      <c r="G1659" s="3340">
        <v>40634</v>
      </c>
      <c r="H1659" s="3340">
        <v>40846</v>
      </c>
      <c r="I1659" s="3340">
        <v>40999</v>
      </c>
      <c r="J1659" s="3336"/>
    </row>
    <row r="1660" spans="1:12" s="3327" customFormat="1" ht="13.5" customHeight="1">
      <c r="A1660" s="3355"/>
      <c r="B1660" s="3369" t="s">
        <v>3867</v>
      </c>
      <c r="C1660" s="3336" t="s">
        <v>4243</v>
      </c>
      <c r="D1660" s="3336" t="s">
        <v>4242</v>
      </c>
      <c r="E1660" s="3339">
        <v>121.6</v>
      </c>
      <c r="F1660" s="3339">
        <v>270</v>
      </c>
      <c r="G1660" s="3340">
        <v>41000</v>
      </c>
      <c r="H1660" s="3340">
        <v>41363</v>
      </c>
      <c r="I1660" s="3340">
        <v>41364</v>
      </c>
      <c r="J1660" s="3336"/>
    </row>
    <row r="1661" spans="1:12" s="3327" customFormat="1" ht="13.5" customHeight="1">
      <c r="A1661" s="3354"/>
      <c r="B1661" s="3368" t="s">
        <v>3867</v>
      </c>
      <c r="C1661" s="3324" t="s">
        <v>4244</v>
      </c>
      <c r="D1661" s="3344" t="s">
        <v>4100</v>
      </c>
      <c r="E1661" s="3325">
        <v>121.1</v>
      </c>
      <c r="F1661" s="3325">
        <v>330</v>
      </c>
      <c r="G1661" s="3326">
        <v>41699</v>
      </c>
      <c r="H1661" s="3326">
        <v>42093</v>
      </c>
      <c r="I1661" s="3326">
        <v>42094</v>
      </c>
      <c r="J1661" s="3324"/>
    </row>
    <row r="1662" spans="1:12" s="3327" customFormat="1" ht="13.5" customHeight="1">
      <c r="A1662" s="3354"/>
      <c r="B1662" s="3369" t="s">
        <v>3867</v>
      </c>
      <c r="C1662" s="3336" t="s">
        <v>4244</v>
      </c>
      <c r="D1662" s="3345" t="s">
        <v>4100</v>
      </c>
      <c r="E1662" s="3339">
        <v>121.1</v>
      </c>
      <c r="F1662" s="3339">
        <v>350</v>
      </c>
      <c r="G1662" s="3340">
        <v>42095</v>
      </c>
      <c r="H1662" s="3340">
        <v>42459</v>
      </c>
      <c r="I1662" s="3340">
        <v>42460</v>
      </c>
      <c r="J1662" s="3324"/>
    </row>
    <row r="1663" spans="1:12" s="3327" customFormat="1" ht="13.5" customHeight="1">
      <c r="A1663" s="3354"/>
      <c r="B1663" s="3369" t="s">
        <v>3867</v>
      </c>
      <c r="C1663" s="3336" t="s">
        <v>4244</v>
      </c>
      <c r="D1663" s="3345" t="s">
        <v>4100</v>
      </c>
      <c r="E1663" s="3339">
        <v>121.1</v>
      </c>
      <c r="F1663" s="3339">
        <v>360</v>
      </c>
      <c r="G1663" s="3340">
        <v>42461</v>
      </c>
      <c r="H1663" s="3340">
        <v>42734</v>
      </c>
      <c r="I1663" s="3340">
        <v>42825</v>
      </c>
      <c r="J1663" s="3324"/>
    </row>
    <row r="1664" spans="1:12" s="3327" customFormat="1" ht="13.5" customHeight="1">
      <c r="A1664" s="3354"/>
      <c r="B1664" s="3369" t="s">
        <v>3867</v>
      </c>
      <c r="C1664" s="3336" t="s">
        <v>4245</v>
      </c>
      <c r="D1664" s="3345" t="s">
        <v>4246</v>
      </c>
      <c r="E1664" s="3339">
        <v>121.1</v>
      </c>
      <c r="F1664" s="3339">
        <v>360</v>
      </c>
      <c r="G1664" s="3340">
        <v>42736</v>
      </c>
      <c r="H1664" s="3340">
        <v>42824</v>
      </c>
      <c r="I1664" s="3340">
        <v>42825</v>
      </c>
      <c r="J1664" s="3324"/>
    </row>
    <row r="1665" spans="1:12" s="3327" customFormat="1" ht="13.5" customHeight="1">
      <c r="A1665" s="3354"/>
      <c r="B1665" s="3370" t="s">
        <v>3867</v>
      </c>
      <c r="C1665" s="3331" t="s">
        <v>4245</v>
      </c>
      <c r="D1665" s="3346" t="s">
        <v>4246</v>
      </c>
      <c r="E1665" s="3332">
        <v>121.1</v>
      </c>
      <c r="F1665" s="3332">
        <v>365</v>
      </c>
      <c r="G1665" s="3333">
        <v>42826</v>
      </c>
      <c r="H1665" s="3333">
        <v>42885</v>
      </c>
      <c r="I1665" s="3333">
        <v>42886</v>
      </c>
      <c r="J1665" s="3324"/>
      <c r="K1665" s="3334">
        <f t="shared" ref="K1665:K1669" si="217">E1665</f>
        <v>121.1</v>
      </c>
      <c r="L1665" s="3334">
        <f t="shared" ref="L1665:L1669" si="218">F1665/30</f>
        <v>12.166666666666666</v>
      </c>
    </row>
    <row r="1666" spans="1:12" s="3327" customFormat="1" ht="13.5" customHeight="1">
      <c r="A1666" s="3354"/>
      <c r="B1666" s="3370" t="s">
        <v>3867</v>
      </c>
      <c r="C1666" s="3331" t="s">
        <v>4245</v>
      </c>
      <c r="D1666" s="3346" t="s">
        <v>4246</v>
      </c>
      <c r="E1666" s="3332">
        <v>121.1</v>
      </c>
      <c r="F1666" s="3332">
        <v>365</v>
      </c>
      <c r="G1666" s="3333">
        <v>42887</v>
      </c>
      <c r="H1666" s="3333">
        <v>42916</v>
      </c>
      <c r="I1666" s="3333">
        <v>43190</v>
      </c>
      <c r="J1666" s="3324"/>
      <c r="K1666" s="3334">
        <f t="shared" si="217"/>
        <v>121.1</v>
      </c>
      <c r="L1666" s="3334">
        <f t="shared" si="218"/>
        <v>12.166666666666666</v>
      </c>
    </row>
    <row r="1667" spans="1:12" s="3327" customFormat="1" ht="13.5" customHeight="1">
      <c r="A1667" s="3354" t="s">
        <v>3872</v>
      </c>
      <c r="B1667" s="3370" t="s">
        <v>3867</v>
      </c>
      <c r="C1667" s="3331" t="s">
        <v>4247</v>
      </c>
      <c r="D1667" s="3346" t="s">
        <v>4246</v>
      </c>
      <c r="E1667" s="3332">
        <v>86.45</v>
      </c>
      <c r="F1667" s="3332">
        <v>365</v>
      </c>
      <c r="G1667" s="3333">
        <v>42917</v>
      </c>
      <c r="H1667" s="3333">
        <v>43130</v>
      </c>
      <c r="I1667" s="3333">
        <v>43190</v>
      </c>
      <c r="J1667" s="3324"/>
      <c r="K1667" s="3334">
        <f t="shared" si="217"/>
        <v>86.45</v>
      </c>
      <c r="L1667" s="3334">
        <f t="shared" si="218"/>
        <v>12.166666666666666</v>
      </c>
    </row>
    <row r="1668" spans="1:12" s="3327" customFormat="1" ht="13.5" customHeight="1">
      <c r="A1668" s="3354"/>
      <c r="B1668" s="3370" t="s">
        <v>3867</v>
      </c>
      <c r="C1668" s="3331" t="s">
        <v>4233</v>
      </c>
      <c r="D1668" s="3346" t="s">
        <v>4248</v>
      </c>
      <c r="E1668" s="3332">
        <v>40.049999999999997</v>
      </c>
      <c r="F1668" s="3332">
        <v>400</v>
      </c>
      <c r="G1668" s="3333">
        <v>42917</v>
      </c>
      <c r="H1668" s="3333">
        <v>43069</v>
      </c>
      <c r="I1668" s="3333">
        <v>43190</v>
      </c>
      <c r="J1668" s="3324"/>
      <c r="K1668" s="3334">
        <f t="shared" si="217"/>
        <v>40.049999999999997</v>
      </c>
      <c r="L1668" s="3334">
        <f t="shared" si="218"/>
        <v>13.333333333333334</v>
      </c>
    </row>
    <row r="1669" spans="1:12" s="3327" customFormat="1" ht="13.5" customHeight="1">
      <c r="A1669" s="3354" t="s">
        <v>3872</v>
      </c>
      <c r="B1669" s="3370" t="s">
        <v>3867</v>
      </c>
      <c r="C1669" s="3331" t="s">
        <v>4249</v>
      </c>
      <c r="D1669" s="3346" t="s">
        <v>4236</v>
      </c>
      <c r="E1669" s="3332">
        <v>43.8</v>
      </c>
      <c r="F1669" s="3332">
        <v>370</v>
      </c>
      <c r="G1669" s="3333">
        <v>42917</v>
      </c>
      <c r="H1669" s="3333">
        <v>43130</v>
      </c>
      <c r="I1669" s="3333">
        <v>43190</v>
      </c>
      <c r="J1669" s="3324"/>
      <c r="K1669" s="3334">
        <f t="shared" si="217"/>
        <v>43.8</v>
      </c>
      <c r="L1669" s="3334">
        <f t="shared" si="218"/>
        <v>12.333333333333334</v>
      </c>
    </row>
    <row r="1670" spans="1:12" s="3327" customFormat="1" ht="13.5" customHeight="1">
      <c r="A1670" s="3354"/>
      <c r="B1670" s="3368" t="s">
        <v>3867</v>
      </c>
      <c r="C1670" s="3324" t="s">
        <v>3740</v>
      </c>
      <c r="D1670" s="3344" t="s">
        <v>4250</v>
      </c>
      <c r="E1670" s="3325">
        <v>23.8</v>
      </c>
      <c r="F1670" s="3325">
        <v>310</v>
      </c>
      <c r="G1670" s="3326">
        <v>42005</v>
      </c>
      <c r="H1670" s="3326">
        <v>42093</v>
      </c>
      <c r="I1670" s="3326">
        <v>42094</v>
      </c>
      <c r="J1670" s="3336"/>
    </row>
    <row r="1671" spans="1:12" s="3327" customFormat="1" ht="13.5" customHeight="1">
      <c r="A1671" s="3354"/>
      <c r="B1671" s="3369" t="s">
        <v>3867</v>
      </c>
      <c r="C1671" s="3336" t="s">
        <v>3740</v>
      </c>
      <c r="D1671" s="3345" t="s">
        <v>4251</v>
      </c>
      <c r="E1671" s="3339">
        <v>23.8</v>
      </c>
      <c r="F1671" s="3339">
        <v>330</v>
      </c>
      <c r="G1671" s="3340">
        <v>42095</v>
      </c>
      <c r="H1671" s="3340">
        <v>42459</v>
      </c>
      <c r="I1671" s="3340">
        <v>42460</v>
      </c>
      <c r="J1671" s="3336"/>
    </row>
    <row r="1672" spans="1:12" s="3327" customFormat="1" ht="13.5" customHeight="1">
      <c r="A1672" s="3354"/>
      <c r="B1672" s="3368" t="s">
        <v>3867</v>
      </c>
      <c r="C1672" s="3324" t="s">
        <v>4252</v>
      </c>
      <c r="D1672" s="3344" t="s">
        <v>4253</v>
      </c>
      <c r="E1672" s="3325">
        <v>42.2</v>
      </c>
      <c r="F1672" s="3325">
        <v>310</v>
      </c>
      <c r="G1672" s="3326">
        <v>42005</v>
      </c>
      <c r="H1672" s="3326">
        <v>42093</v>
      </c>
      <c r="I1672" s="3326">
        <v>42094</v>
      </c>
      <c r="J1672" s="3336"/>
    </row>
    <row r="1673" spans="1:12" s="3327" customFormat="1" ht="13.5" customHeight="1">
      <c r="A1673" s="3354"/>
      <c r="B1673" s="3369" t="s">
        <v>3867</v>
      </c>
      <c r="C1673" s="3336" t="s">
        <v>4252</v>
      </c>
      <c r="D1673" s="3345" t="s">
        <v>4253</v>
      </c>
      <c r="E1673" s="3339">
        <v>42.2</v>
      </c>
      <c r="F1673" s="3339">
        <v>330</v>
      </c>
      <c r="G1673" s="3340">
        <v>42095</v>
      </c>
      <c r="H1673" s="3340">
        <v>42459</v>
      </c>
      <c r="I1673" s="3340">
        <v>42460</v>
      </c>
      <c r="J1673" s="3336"/>
    </row>
    <row r="1674" spans="1:12" s="3327" customFormat="1" ht="13.5" customHeight="1">
      <c r="A1674" s="3354"/>
      <c r="B1674" s="3369" t="s">
        <v>3867</v>
      </c>
      <c r="C1674" s="3336" t="s">
        <v>4252</v>
      </c>
      <c r="D1674" s="3345" t="s">
        <v>4075</v>
      </c>
      <c r="E1674" s="3339">
        <v>169.61</v>
      </c>
      <c r="F1674" s="3339">
        <v>350</v>
      </c>
      <c r="G1674" s="3340">
        <v>42461</v>
      </c>
      <c r="H1674" s="3340">
        <v>42824</v>
      </c>
      <c r="I1674" s="3340">
        <v>42825</v>
      </c>
      <c r="J1674" s="3336"/>
    </row>
    <row r="1675" spans="1:12" s="3327" customFormat="1" ht="13.5" customHeight="1">
      <c r="A1675" s="3354"/>
      <c r="B1675" s="3370" t="s">
        <v>3867</v>
      </c>
      <c r="C1675" s="3331" t="s">
        <v>4252</v>
      </c>
      <c r="D1675" s="3346" t="s">
        <v>4075</v>
      </c>
      <c r="E1675" s="3347">
        <v>169.61</v>
      </c>
      <c r="F1675" s="3332">
        <v>350</v>
      </c>
      <c r="G1675" s="3333">
        <v>42826</v>
      </c>
      <c r="H1675" s="3333">
        <v>42885</v>
      </c>
      <c r="I1675" s="3333">
        <v>42886</v>
      </c>
      <c r="J1675" s="3336"/>
      <c r="K1675" s="3334">
        <f t="shared" ref="K1675:K1678" si="219">E1675</f>
        <v>169.61</v>
      </c>
      <c r="L1675" s="3334">
        <f t="shared" ref="L1675:L1678" si="220">F1675/30</f>
        <v>11.666666666666666</v>
      </c>
    </row>
    <row r="1676" spans="1:12" s="3327" customFormat="1" ht="11.25">
      <c r="A1676" s="3354" t="s">
        <v>3872</v>
      </c>
      <c r="B1676" s="3370" t="s">
        <v>3867</v>
      </c>
      <c r="C1676" s="3331" t="s">
        <v>4252</v>
      </c>
      <c r="D1676" s="3346" t="s">
        <v>4075</v>
      </c>
      <c r="E1676" s="3347">
        <v>139.08000000000001</v>
      </c>
      <c r="F1676" s="3332">
        <v>370</v>
      </c>
      <c r="G1676" s="3333">
        <v>42887</v>
      </c>
      <c r="H1676" s="3333">
        <v>43130</v>
      </c>
      <c r="I1676" s="3333">
        <v>43190</v>
      </c>
      <c r="J1676" s="3336"/>
      <c r="K1676" s="3334">
        <f t="shared" si="219"/>
        <v>139.08000000000001</v>
      </c>
      <c r="L1676" s="3334">
        <f t="shared" si="220"/>
        <v>12.333333333333334</v>
      </c>
    </row>
    <row r="1677" spans="1:12" s="3327" customFormat="1" ht="13.5" customHeight="1">
      <c r="A1677" s="3354"/>
      <c r="B1677" s="3370" t="s">
        <v>3867</v>
      </c>
      <c r="C1677" s="3331" t="s">
        <v>4254</v>
      </c>
      <c r="D1677" s="3346" t="s">
        <v>4255</v>
      </c>
      <c r="E1677" s="3347">
        <v>30.54</v>
      </c>
      <c r="F1677" s="3332">
        <v>370</v>
      </c>
      <c r="G1677" s="3333">
        <v>42887</v>
      </c>
      <c r="H1677" s="3333">
        <v>43069</v>
      </c>
      <c r="I1677" s="3333">
        <v>43190</v>
      </c>
      <c r="J1677" s="3336"/>
      <c r="K1677" s="3334">
        <f t="shared" si="219"/>
        <v>30.54</v>
      </c>
      <c r="L1677" s="3334">
        <f t="shared" si="220"/>
        <v>12.333333333333334</v>
      </c>
    </row>
    <row r="1678" spans="1:12" s="3327" customFormat="1" ht="13.5" customHeight="1">
      <c r="A1678" s="3354" t="s">
        <v>4134</v>
      </c>
      <c r="B1678" s="3370" t="s">
        <v>3867</v>
      </c>
      <c r="C1678" s="3331" t="s">
        <v>4254</v>
      </c>
      <c r="D1678" s="3346" t="s">
        <v>4255</v>
      </c>
      <c r="E1678" s="3347">
        <v>69.98</v>
      </c>
      <c r="F1678" s="3332">
        <v>370</v>
      </c>
      <c r="G1678" s="3333">
        <v>43070</v>
      </c>
      <c r="H1678" s="3333">
        <v>43130</v>
      </c>
      <c r="I1678" s="3333">
        <v>43190</v>
      </c>
      <c r="J1678" s="3336"/>
      <c r="K1678" s="3334">
        <f t="shared" si="219"/>
        <v>69.98</v>
      </c>
      <c r="L1678" s="3334">
        <f t="shared" si="220"/>
        <v>12.333333333333334</v>
      </c>
    </row>
    <row r="1679" spans="1:12" s="3327" customFormat="1" ht="13.5" customHeight="1">
      <c r="A1679" s="3354"/>
      <c r="B1679" s="3368" t="s">
        <v>3867</v>
      </c>
      <c r="C1679" s="3324" t="s">
        <v>3966</v>
      </c>
      <c r="D1679" s="3344" t="s">
        <v>4256</v>
      </c>
      <c r="E1679" s="3325">
        <v>33.9</v>
      </c>
      <c r="F1679" s="3325">
        <v>310</v>
      </c>
      <c r="G1679" s="3326">
        <v>42005</v>
      </c>
      <c r="H1679" s="3326">
        <v>42093</v>
      </c>
      <c r="I1679" s="3326">
        <v>42094</v>
      </c>
      <c r="J1679" s="3336"/>
    </row>
    <row r="1680" spans="1:12" s="3327" customFormat="1" ht="13.5" customHeight="1">
      <c r="A1680" s="3354"/>
      <c r="B1680" s="3369" t="s">
        <v>3867</v>
      </c>
      <c r="C1680" s="3336" t="s">
        <v>3966</v>
      </c>
      <c r="D1680" s="3345" t="s">
        <v>4256</v>
      </c>
      <c r="E1680" s="3339">
        <v>33.9</v>
      </c>
      <c r="F1680" s="3339">
        <v>330</v>
      </c>
      <c r="G1680" s="3340">
        <v>42095</v>
      </c>
      <c r="H1680" s="3340">
        <v>42459</v>
      </c>
      <c r="I1680" s="3340">
        <v>42460</v>
      </c>
      <c r="J1680" s="3336"/>
    </row>
    <row r="1681" spans="1:15" s="3327" customFormat="1" ht="13.5" customHeight="1">
      <c r="A1681" s="3354"/>
      <c r="B1681" s="3369" t="s">
        <v>3867</v>
      </c>
      <c r="C1681" s="3372" t="s">
        <v>4125</v>
      </c>
      <c r="D1681" s="3345" t="s">
        <v>4257</v>
      </c>
      <c r="E1681" s="3339">
        <v>59.3</v>
      </c>
      <c r="F1681" s="3339">
        <v>290</v>
      </c>
      <c r="G1681" s="3340">
        <v>42100</v>
      </c>
      <c r="H1681" s="3340">
        <v>42459</v>
      </c>
      <c r="I1681" s="3340">
        <v>42460</v>
      </c>
      <c r="J1681" s="3336"/>
    </row>
    <row r="1682" spans="1:15" s="3327" customFormat="1" ht="13.5" customHeight="1">
      <c r="A1682" s="3354"/>
      <c r="B1682" s="3369" t="s">
        <v>3867</v>
      </c>
      <c r="C1682" s="3372" t="s">
        <v>4125</v>
      </c>
      <c r="D1682" s="3345" t="s">
        <v>4257</v>
      </c>
      <c r="E1682" s="3339">
        <v>59.3</v>
      </c>
      <c r="F1682" s="3339">
        <v>310</v>
      </c>
      <c r="G1682" s="3340">
        <v>42461</v>
      </c>
      <c r="H1682" s="3340">
        <v>42824</v>
      </c>
      <c r="I1682" s="3340">
        <v>42825</v>
      </c>
      <c r="J1682" s="3389"/>
    </row>
    <row r="1683" spans="1:15" s="3327" customFormat="1" ht="13.5" customHeight="1">
      <c r="A1683" s="3354"/>
      <c r="B1683" s="3370" t="s">
        <v>3867</v>
      </c>
      <c r="C1683" s="3378" t="s">
        <v>4254</v>
      </c>
      <c r="D1683" s="3346" t="s">
        <v>4258</v>
      </c>
      <c r="E1683" s="3332">
        <v>59.3</v>
      </c>
      <c r="F1683" s="3332">
        <v>320</v>
      </c>
      <c r="G1683" s="3333">
        <v>42826</v>
      </c>
      <c r="H1683" s="3333">
        <v>42885</v>
      </c>
      <c r="I1683" s="3333">
        <v>42886</v>
      </c>
      <c r="J1683" s="3389"/>
      <c r="K1683" s="3334">
        <f t="shared" ref="K1683:K1685" si="221">E1683</f>
        <v>59.3</v>
      </c>
      <c r="L1683" s="3334">
        <f t="shared" ref="L1683:L1685" si="222">F1683/30</f>
        <v>10.666666666666666</v>
      </c>
    </row>
    <row r="1684" spans="1:15" s="3327" customFormat="1" ht="13.5" customHeight="1">
      <c r="A1684" s="3354"/>
      <c r="B1684" s="3370" t="s">
        <v>3867</v>
      </c>
      <c r="C1684" s="3378" t="s">
        <v>4254</v>
      </c>
      <c r="D1684" s="3346" t="s">
        <v>4258</v>
      </c>
      <c r="E1684" s="3332">
        <v>59.3</v>
      </c>
      <c r="F1684" s="3332">
        <v>320</v>
      </c>
      <c r="G1684" s="3333">
        <v>42887</v>
      </c>
      <c r="H1684" s="3333">
        <v>42887</v>
      </c>
      <c r="I1684" s="3333">
        <v>43190</v>
      </c>
      <c r="J1684" s="3389"/>
      <c r="K1684" s="3334">
        <f t="shared" si="221"/>
        <v>59.3</v>
      </c>
      <c r="L1684" s="3334">
        <f t="shared" si="222"/>
        <v>10.666666666666666</v>
      </c>
    </row>
    <row r="1685" spans="1:15" s="3327" customFormat="1" ht="13.5" customHeight="1">
      <c r="A1685" s="3354"/>
      <c r="B1685" s="3370" t="s">
        <v>3867</v>
      </c>
      <c r="C1685" s="3378" t="s">
        <v>4254</v>
      </c>
      <c r="D1685" s="3346" t="s">
        <v>4258</v>
      </c>
      <c r="E1685" s="3332">
        <v>59.3</v>
      </c>
      <c r="F1685" s="3332">
        <v>400</v>
      </c>
      <c r="G1685" s="3333">
        <v>42888</v>
      </c>
      <c r="H1685" s="3333">
        <v>42916</v>
      </c>
      <c r="I1685" s="3333">
        <v>43190</v>
      </c>
      <c r="J1685" s="3389"/>
      <c r="K1685" s="3334">
        <f t="shared" si="221"/>
        <v>59.3</v>
      </c>
      <c r="L1685" s="3334">
        <f t="shared" si="222"/>
        <v>13.333333333333334</v>
      </c>
    </row>
    <row r="1686" spans="1:15" s="3327" customFormat="1" ht="13.5" customHeight="1">
      <c r="A1686" s="3354"/>
      <c r="B1686" s="3369" t="s">
        <v>3867</v>
      </c>
      <c r="C1686" s="3372" t="s">
        <v>3885</v>
      </c>
      <c r="D1686" s="3345" t="s">
        <v>4259</v>
      </c>
      <c r="E1686" s="3339">
        <v>47.4</v>
      </c>
      <c r="F1686" s="3339">
        <v>330</v>
      </c>
      <c r="G1686" s="3340">
        <v>42100</v>
      </c>
      <c r="H1686" s="3340">
        <v>42459</v>
      </c>
      <c r="I1686" s="3340">
        <v>42460</v>
      </c>
      <c r="J1686" s="3336"/>
    </row>
    <row r="1687" spans="1:15" s="3327" customFormat="1" ht="13.5" customHeight="1">
      <c r="A1687" s="3354"/>
      <c r="B1687" s="3369" t="s">
        <v>3867</v>
      </c>
      <c r="C1687" s="3372" t="s">
        <v>3885</v>
      </c>
      <c r="D1687" s="3345" t="s">
        <v>4259</v>
      </c>
      <c r="E1687" s="3338">
        <v>49.2</v>
      </c>
      <c r="F1687" s="3339">
        <v>350</v>
      </c>
      <c r="G1687" s="3340">
        <v>42461</v>
      </c>
      <c r="H1687" s="3340">
        <v>42824</v>
      </c>
      <c r="I1687" s="3340">
        <v>42825</v>
      </c>
      <c r="J1687" s="3336"/>
    </row>
    <row r="1688" spans="1:15" s="3327" customFormat="1" ht="13.5" customHeight="1">
      <c r="A1688" s="3354"/>
      <c r="B1688" s="3370" t="s">
        <v>3867</v>
      </c>
      <c r="C1688" s="3378" t="s">
        <v>3885</v>
      </c>
      <c r="D1688" s="3346" t="s">
        <v>4260</v>
      </c>
      <c r="E1688" s="3332">
        <v>49.2</v>
      </c>
      <c r="F1688" s="3332">
        <v>350</v>
      </c>
      <c r="G1688" s="3333">
        <v>42826</v>
      </c>
      <c r="H1688" s="3333">
        <v>42885</v>
      </c>
      <c r="I1688" s="3333">
        <v>42886</v>
      </c>
      <c r="J1688" s="3336"/>
      <c r="K1688" s="3334">
        <f t="shared" ref="K1688:K1691" si="223">E1688</f>
        <v>49.2</v>
      </c>
      <c r="L1688" s="3334">
        <f t="shared" ref="L1688:L1691" si="224">F1688/30</f>
        <v>11.666666666666666</v>
      </c>
    </row>
    <row r="1689" spans="1:15" s="3327" customFormat="1" ht="13.5" customHeight="1">
      <c r="A1689" s="3354"/>
      <c r="B1689" s="3370" t="s">
        <v>3867</v>
      </c>
      <c r="C1689" s="3378" t="s">
        <v>3885</v>
      </c>
      <c r="D1689" s="3346" t="s">
        <v>4260</v>
      </c>
      <c r="E1689" s="3332">
        <v>49.2</v>
      </c>
      <c r="F1689" s="3332">
        <v>350</v>
      </c>
      <c r="G1689" s="3333">
        <v>42887</v>
      </c>
      <c r="H1689" s="3333">
        <v>42887</v>
      </c>
      <c r="I1689" s="3333">
        <v>43190</v>
      </c>
      <c r="J1689" s="3336"/>
      <c r="K1689" s="3334">
        <f t="shared" si="223"/>
        <v>49.2</v>
      </c>
      <c r="L1689" s="3334">
        <f t="shared" si="224"/>
        <v>11.666666666666666</v>
      </c>
    </row>
    <row r="1690" spans="1:15" s="3327" customFormat="1" ht="13.5" customHeight="1">
      <c r="A1690" s="3354"/>
      <c r="B1690" s="3370" t="s">
        <v>3867</v>
      </c>
      <c r="C1690" s="3378" t="s">
        <v>3885</v>
      </c>
      <c r="D1690" s="3346" t="s">
        <v>4260</v>
      </c>
      <c r="E1690" s="3332">
        <v>49.2</v>
      </c>
      <c r="F1690" s="3332">
        <v>400</v>
      </c>
      <c r="G1690" s="3333">
        <v>42888</v>
      </c>
      <c r="H1690" s="3333">
        <v>42916</v>
      </c>
      <c r="I1690" s="3333">
        <v>43190</v>
      </c>
      <c r="J1690" s="3336"/>
      <c r="K1690" s="3334">
        <f t="shared" si="223"/>
        <v>49.2</v>
      </c>
      <c r="L1690" s="3334">
        <f t="shared" si="224"/>
        <v>13.333333333333334</v>
      </c>
    </row>
    <row r="1691" spans="1:15" s="3327" customFormat="1" ht="13.5" customHeight="1">
      <c r="A1691" s="3354" t="s">
        <v>3872</v>
      </c>
      <c r="B1691" s="3370" t="s">
        <v>3867</v>
      </c>
      <c r="C1691" s="3378" t="s">
        <v>3196</v>
      </c>
      <c r="D1691" s="3346" t="s">
        <v>4258</v>
      </c>
      <c r="E1691" s="3332">
        <v>196.51</v>
      </c>
      <c r="F1691" s="3332">
        <v>400</v>
      </c>
      <c r="G1691" s="3333">
        <v>42917</v>
      </c>
      <c r="H1691" s="3333">
        <v>43130</v>
      </c>
      <c r="I1691" s="3333">
        <v>43190</v>
      </c>
      <c r="J1691" s="3336"/>
      <c r="K1691" s="3334">
        <f t="shared" si="223"/>
        <v>196.51</v>
      </c>
      <c r="L1691" s="3359">
        <f t="shared" si="224"/>
        <v>13.333333333333334</v>
      </c>
      <c r="M1691" s="3360"/>
      <c r="N1691" s="3360">
        <f>SUMPRODUCT(K1015:K1691,L1015:L1691)/SUM(K1015:K1691)</f>
        <v>11.63307955150035</v>
      </c>
      <c r="O1691" s="3360"/>
    </row>
    <row r="1692" spans="1:15" s="3327" customFormat="1" ht="13.5" customHeight="1">
      <c r="A1692" s="3354"/>
      <c r="B1692" s="3369" t="s">
        <v>3867</v>
      </c>
      <c r="C1692" s="3372" t="s">
        <v>3915</v>
      </c>
      <c r="D1692" s="3390" t="s">
        <v>4261</v>
      </c>
      <c r="E1692" s="3339">
        <v>36.200000000000003</v>
      </c>
      <c r="F1692" s="3339">
        <v>300</v>
      </c>
      <c r="G1692" s="3340">
        <v>42100</v>
      </c>
      <c r="H1692" s="3340">
        <v>42459</v>
      </c>
      <c r="I1692" s="3340">
        <v>42460</v>
      </c>
      <c r="J1692" s="3336"/>
    </row>
    <row r="1693" spans="1:15" ht="13.5" customHeight="1" outlineLevel="1">
      <c r="A1693" s="3361">
        <v>84</v>
      </c>
      <c r="B1693" s="3391" t="s">
        <v>4262</v>
      </c>
      <c r="C1693" s="3392">
        <v>0</v>
      </c>
      <c r="D1693" s="3363"/>
      <c r="E1693" s="3364">
        <v>8859.5999999999985</v>
      </c>
      <c r="F1693" s="3364">
        <v>30980</v>
      </c>
      <c r="G1693" s="3363"/>
      <c r="H1693" s="3363"/>
      <c r="I1693" s="3363"/>
      <c r="J1693" s="3363">
        <v>0</v>
      </c>
    </row>
    <row r="1694" spans="1:15" s="3327" customFormat="1" ht="13.5" customHeight="1">
      <c r="A1694" s="3354"/>
      <c r="B1694" s="3324" t="s">
        <v>4263</v>
      </c>
      <c r="C1694" s="3324" t="s">
        <v>4264</v>
      </c>
      <c r="D1694" s="3324" t="s">
        <v>4265</v>
      </c>
      <c r="E1694" s="3325">
        <v>189.3</v>
      </c>
      <c r="F1694" s="3325">
        <v>315</v>
      </c>
      <c r="G1694" s="3326">
        <v>40639</v>
      </c>
      <c r="H1694" s="3326">
        <v>40998</v>
      </c>
      <c r="I1694" s="3326">
        <v>40999</v>
      </c>
      <c r="J1694" s="3336"/>
    </row>
    <row r="1695" spans="1:15" s="3327" customFormat="1" ht="13.5" customHeight="1">
      <c r="A1695" s="3355"/>
      <c r="B1695" s="3336" t="s">
        <v>4263</v>
      </c>
      <c r="C1695" s="3336" t="s">
        <v>4266</v>
      </c>
      <c r="D1695" s="3336" t="s">
        <v>4265</v>
      </c>
      <c r="E1695" s="3339">
        <v>189.3</v>
      </c>
      <c r="F1695" s="3339">
        <v>315</v>
      </c>
      <c r="G1695" s="3340">
        <v>41030</v>
      </c>
      <c r="H1695" s="3340">
        <v>41363</v>
      </c>
      <c r="I1695" s="3340">
        <v>41364</v>
      </c>
      <c r="J1695" s="3336"/>
    </row>
    <row r="1696" spans="1:15" s="3327" customFormat="1" ht="13.5" customHeight="1">
      <c r="A1696" s="3354"/>
      <c r="B1696" s="3324" t="s">
        <v>4263</v>
      </c>
      <c r="C1696" s="3324" t="s">
        <v>4266</v>
      </c>
      <c r="D1696" s="3324" t="s">
        <v>4267</v>
      </c>
      <c r="E1696" s="3325">
        <v>189.3</v>
      </c>
      <c r="F1696" s="3325">
        <v>315</v>
      </c>
      <c r="G1696" s="3326">
        <v>41365</v>
      </c>
      <c r="H1696" s="3326">
        <v>41698</v>
      </c>
      <c r="I1696" s="3326">
        <v>41729</v>
      </c>
      <c r="J1696" s="3324"/>
    </row>
    <row r="1697" spans="1:12" s="3327" customFormat="1" ht="13.5" customHeight="1">
      <c r="A1697" s="3354"/>
      <c r="B1697" s="3324" t="s">
        <v>4263</v>
      </c>
      <c r="C1697" s="3324" t="s">
        <v>4268</v>
      </c>
      <c r="D1697" s="3324" t="s">
        <v>4267</v>
      </c>
      <c r="E1697" s="3325">
        <v>189.3</v>
      </c>
      <c r="F1697" s="3325">
        <v>315</v>
      </c>
      <c r="G1697" s="3326">
        <v>41699</v>
      </c>
      <c r="H1697" s="3326">
        <v>41728</v>
      </c>
      <c r="I1697" s="3326">
        <v>41729</v>
      </c>
      <c r="J1697" s="3324"/>
    </row>
    <row r="1698" spans="1:12" s="3327" customFormat="1" ht="13.5" customHeight="1">
      <c r="A1698" s="3354"/>
      <c r="B1698" s="3384" t="s">
        <v>4263</v>
      </c>
      <c r="C1698" s="3384" t="s">
        <v>4268</v>
      </c>
      <c r="D1698" s="3324" t="s">
        <v>4267</v>
      </c>
      <c r="E1698" s="3325">
        <v>84.8</v>
      </c>
      <c r="F1698" s="3325">
        <v>320</v>
      </c>
      <c r="G1698" s="3326">
        <v>41699</v>
      </c>
      <c r="H1698" s="3326">
        <v>41728</v>
      </c>
      <c r="I1698" s="3326">
        <v>41729</v>
      </c>
      <c r="J1698" s="3324"/>
    </row>
    <row r="1699" spans="1:12" s="3327" customFormat="1" ht="13.5" customHeight="1">
      <c r="A1699" s="3354"/>
      <c r="B1699" s="3384" t="s">
        <v>4263</v>
      </c>
      <c r="C1699" s="3384" t="s">
        <v>4268</v>
      </c>
      <c r="D1699" s="3344" t="s">
        <v>4267</v>
      </c>
      <c r="E1699" s="3325">
        <v>274.10000000000002</v>
      </c>
      <c r="F1699" s="3325">
        <v>320</v>
      </c>
      <c r="G1699" s="3326">
        <v>41730</v>
      </c>
      <c r="H1699" s="3326">
        <v>41800</v>
      </c>
      <c r="I1699" s="3326">
        <v>42094</v>
      </c>
      <c r="J1699" s="3324"/>
    </row>
    <row r="1700" spans="1:12" s="3327" customFormat="1" ht="13.5" customHeight="1">
      <c r="A1700" s="3355"/>
      <c r="B1700" s="3336" t="s">
        <v>4263</v>
      </c>
      <c r="C1700" s="3336" t="s">
        <v>4268</v>
      </c>
      <c r="D1700" s="3345" t="s">
        <v>4267</v>
      </c>
      <c r="E1700" s="3339">
        <v>274.10000000000002</v>
      </c>
      <c r="F1700" s="3339">
        <v>320</v>
      </c>
      <c r="G1700" s="3340">
        <v>41801</v>
      </c>
      <c r="H1700" s="3340">
        <v>41820</v>
      </c>
      <c r="I1700" s="3340">
        <v>41364</v>
      </c>
      <c r="J1700" s="3336"/>
    </row>
    <row r="1701" spans="1:12" s="3327" customFormat="1" ht="13.5" customHeight="1">
      <c r="A1701" s="3354"/>
      <c r="B1701" s="3324" t="s">
        <v>4263</v>
      </c>
      <c r="C1701" s="3379" t="s">
        <v>4269</v>
      </c>
      <c r="D1701" s="3344" t="s">
        <v>4270</v>
      </c>
      <c r="E1701" s="3325">
        <v>189.3</v>
      </c>
      <c r="F1701" s="3325">
        <v>320</v>
      </c>
      <c r="G1701" s="3326">
        <v>41821</v>
      </c>
      <c r="H1701" s="3326">
        <v>42034</v>
      </c>
      <c r="I1701" s="3326">
        <v>42094</v>
      </c>
      <c r="J1701" s="3324"/>
    </row>
    <row r="1702" spans="1:12" s="3327" customFormat="1" ht="13.5" customHeight="1">
      <c r="A1702" s="3354"/>
      <c r="B1702" s="3324" t="s">
        <v>4263</v>
      </c>
      <c r="C1702" s="3379" t="s">
        <v>4271</v>
      </c>
      <c r="D1702" s="3344" t="s">
        <v>4272</v>
      </c>
      <c r="E1702" s="3325">
        <v>84.8</v>
      </c>
      <c r="F1702" s="3325">
        <v>320</v>
      </c>
      <c r="G1702" s="3326">
        <v>41821</v>
      </c>
      <c r="H1702" s="3326">
        <v>42034</v>
      </c>
      <c r="I1702" s="3326">
        <v>42094</v>
      </c>
      <c r="J1702" s="3324"/>
    </row>
    <row r="1703" spans="1:12" s="3327" customFormat="1" ht="13.5" customHeight="1">
      <c r="A1703" s="3354"/>
      <c r="B1703" s="3324" t="s">
        <v>4263</v>
      </c>
      <c r="C1703" s="3379" t="s">
        <v>4273</v>
      </c>
      <c r="D1703" s="3344" t="s">
        <v>4267</v>
      </c>
      <c r="E1703" s="3325">
        <v>274.10000000000002</v>
      </c>
      <c r="F1703" s="3325">
        <v>330</v>
      </c>
      <c r="G1703" s="3326">
        <v>42036</v>
      </c>
      <c r="H1703" s="3326">
        <v>42093</v>
      </c>
      <c r="I1703" s="3326">
        <v>42094</v>
      </c>
      <c r="J1703" s="3324"/>
    </row>
    <row r="1704" spans="1:12" s="3327" customFormat="1" ht="13.5" customHeight="1">
      <c r="A1704" s="3354"/>
      <c r="B1704" s="3336" t="s">
        <v>4263</v>
      </c>
      <c r="C1704" s="3372" t="s">
        <v>4273</v>
      </c>
      <c r="D1704" s="3345" t="s">
        <v>4267</v>
      </c>
      <c r="E1704" s="3339">
        <v>274.10000000000002</v>
      </c>
      <c r="F1704" s="3339">
        <v>330</v>
      </c>
      <c r="G1704" s="3340">
        <v>42095</v>
      </c>
      <c r="H1704" s="3340">
        <v>42459</v>
      </c>
      <c r="I1704" s="3340">
        <v>42460</v>
      </c>
      <c r="J1704" s="3324"/>
    </row>
    <row r="1705" spans="1:12" s="3327" customFormat="1" ht="13.5" customHeight="1">
      <c r="A1705" s="3354"/>
      <c r="B1705" s="3336" t="s">
        <v>4263</v>
      </c>
      <c r="C1705" s="3372" t="s">
        <v>4273</v>
      </c>
      <c r="D1705" s="3345" t="s">
        <v>4267</v>
      </c>
      <c r="E1705" s="3339">
        <v>274.10000000000002</v>
      </c>
      <c r="F1705" s="3339">
        <v>330</v>
      </c>
      <c r="G1705" s="3340">
        <v>42461</v>
      </c>
      <c r="H1705" s="3340">
        <v>42824</v>
      </c>
      <c r="I1705" s="3340">
        <v>42825</v>
      </c>
      <c r="J1705" s="3324"/>
    </row>
    <row r="1706" spans="1:12" s="3327" customFormat="1" ht="13.5" customHeight="1">
      <c r="A1706" s="3354"/>
      <c r="B1706" s="3331" t="s">
        <v>4263</v>
      </c>
      <c r="C1706" s="3378" t="s">
        <v>4273</v>
      </c>
      <c r="D1706" s="3346" t="s">
        <v>4274</v>
      </c>
      <c r="E1706" s="3332">
        <v>274.10000000000002</v>
      </c>
      <c r="F1706" s="3332">
        <v>340</v>
      </c>
      <c r="G1706" s="3333">
        <v>42826</v>
      </c>
      <c r="H1706" s="3333">
        <v>42855</v>
      </c>
      <c r="I1706" s="3333">
        <v>43190</v>
      </c>
      <c r="J1706" s="3324"/>
      <c r="K1706" s="3334">
        <f t="shared" ref="K1706:K1707" si="225">E1706</f>
        <v>274.10000000000002</v>
      </c>
      <c r="L1706" s="3334">
        <f t="shared" ref="L1706:L1707" si="226">F1706/30</f>
        <v>11.333333333333334</v>
      </c>
    </row>
    <row r="1707" spans="1:12" s="3327" customFormat="1" ht="13.5" customHeight="1">
      <c r="A1707" s="3354" t="s">
        <v>4275</v>
      </c>
      <c r="B1707" s="3331" t="s">
        <v>4263</v>
      </c>
      <c r="C1707" s="3378" t="s">
        <v>4276</v>
      </c>
      <c r="D1707" s="3346" t="s">
        <v>4274</v>
      </c>
      <c r="E1707" s="3332">
        <v>274.10000000000002</v>
      </c>
      <c r="F1707" s="3332">
        <v>340</v>
      </c>
      <c r="G1707" s="3333">
        <v>42856</v>
      </c>
      <c r="H1707" s="3333">
        <v>43130</v>
      </c>
      <c r="I1707" s="3333">
        <v>43190</v>
      </c>
      <c r="J1707" s="3324"/>
      <c r="K1707" s="3334">
        <f t="shared" si="225"/>
        <v>274.10000000000002</v>
      </c>
      <c r="L1707" s="3334">
        <f t="shared" si="226"/>
        <v>11.333333333333334</v>
      </c>
    </row>
    <row r="1708" spans="1:12" s="3327" customFormat="1" ht="13.5" customHeight="1">
      <c r="A1708" s="3355"/>
      <c r="B1708" s="3336" t="s">
        <v>4263</v>
      </c>
      <c r="C1708" s="3372" t="s">
        <v>4277</v>
      </c>
      <c r="D1708" s="3336" t="s">
        <v>4278</v>
      </c>
      <c r="E1708" s="3339">
        <v>84.8</v>
      </c>
      <c r="F1708" s="3339">
        <v>310</v>
      </c>
      <c r="G1708" s="3340">
        <v>40634</v>
      </c>
      <c r="H1708" s="3340">
        <v>40693</v>
      </c>
      <c r="I1708" s="3340">
        <v>40999</v>
      </c>
      <c r="J1708" s="3336"/>
    </row>
    <row r="1709" spans="1:12" s="3327" customFormat="1" ht="13.5" customHeight="1">
      <c r="A1709" s="3354"/>
      <c r="B1709" s="3324" t="s">
        <v>4263</v>
      </c>
      <c r="C1709" s="3324" t="s">
        <v>4277</v>
      </c>
      <c r="D1709" s="3324" t="s">
        <v>4278</v>
      </c>
      <c r="E1709" s="3325">
        <v>84.8</v>
      </c>
      <c r="F1709" s="3325">
        <v>310</v>
      </c>
      <c r="G1709" s="3326"/>
      <c r="H1709" s="3326"/>
      <c r="I1709" s="3326"/>
      <c r="J1709" s="3324"/>
    </row>
    <row r="1710" spans="1:12" s="3327" customFormat="1" ht="13.5" customHeight="1">
      <c r="A1710" s="3355"/>
      <c r="B1710" s="3336" t="s">
        <v>4263</v>
      </c>
      <c r="C1710" s="3336" t="s">
        <v>4279</v>
      </c>
      <c r="D1710" s="3336" t="s">
        <v>4280</v>
      </c>
      <c r="E1710" s="3339">
        <v>84.8</v>
      </c>
      <c r="F1710" s="3339">
        <v>300</v>
      </c>
      <c r="G1710" s="3340">
        <v>41395</v>
      </c>
      <c r="H1710" s="3340">
        <v>41698</v>
      </c>
      <c r="I1710" s="3340">
        <v>41729</v>
      </c>
      <c r="J1710" s="3336"/>
    </row>
    <row r="1711" spans="1:12" s="3327" customFormat="1" ht="13.5" customHeight="1">
      <c r="A1711" s="3355"/>
      <c r="B1711" s="3367" t="s">
        <v>4263</v>
      </c>
      <c r="C1711" s="3336" t="s">
        <v>4281</v>
      </c>
      <c r="D1711" s="3336" t="s">
        <v>4282</v>
      </c>
      <c r="E1711" s="3339">
        <v>42.4</v>
      </c>
      <c r="F1711" s="3339">
        <v>310</v>
      </c>
      <c r="G1711" s="3340">
        <v>41365</v>
      </c>
      <c r="H1711" s="3340">
        <v>41686</v>
      </c>
      <c r="I1711" s="3340">
        <v>41729</v>
      </c>
      <c r="J1711" s="3336"/>
    </row>
    <row r="1712" spans="1:12" s="3327" customFormat="1" ht="13.5" customHeight="1">
      <c r="A1712" s="3354"/>
      <c r="B1712" s="3324" t="s">
        <v>4263</v>
      </c>
      <c r="C1712" s="3324" t="s">
        <v>4158</v>
      </c>
      <c r="D1712" s="3324" t="s">
        <v>4283</v>
      </c>
      <c r="E1712" s="3325">
        <v>171.6</v>
      </c>
      <c r="F1712" s="3325">
        <v>320</v>
      </c>
      <c r="G1712" s="3326">
        <v>41699</v>
      </c>
      <c r="H1712" s="3326">
        <v>41881</v>
      </c>
      <c r="I1712" s="3326">
        <v>41882</v>
      </c>
      <c r="J1712" s="3324"/>
    </row>
    <row r="1713" spans="1:12" s="3327" customFormat="1" ht="13.5" customHeight="1">
      <c r="A1713" s="3354"/>
      <c r="B1713" s="3324" t="s">
        <v>4263</v>
      </c>
      <c r="C1713" s="3324" t="s">
        <v>4158</v>
      </c>
      <c r="D1713" s="3324" t="s">
        <v>4283</v>
      </c>
      <c r="E1713" s="3325">
        <v>171.6</v>
      </c>
      <c r="F1713" s="3325">
        <v>320</v>
      </c>
      <c r="G1713" s="3326">
        <v>41883</v>
      </c>
      <c r="H1713" s="3326">
        <v>42093</v>
      </c>
      <c r="I1713" s="3326">
        <v>42094</v>
      </c>
      <c r="J1713" s="3324"/>
    </row>
    <row r="1714" spans="1:12" s="3327" customFormat="1" ht="13.5" customHeight="1">
      <c r="A1714" s="3354"/>
      <c r="B1714" s="3336" t="s">
        <v>4263</v>
      </c>
      <c r="C1714" s="3336" t="s">
        <v>4158</v>
      </c>
      <c r="D1714" s="3336" t="s">
        <v>4283</v>
      </c>
      <c r="E1714" s="3339">
        <v>171.6</v>
      </c>
      <c r="F1714" s="3339">
        <v>326</v>
      </c>
      <c r="G1714" s="3340">
        <v>42095</v>
      </c>
      <c r="H1714" s="3340">
        <v>42459</v>
      </c>
      <c r="I1714" s="3340">
        <v>42460</v>
      </c>
      <c r="J1714" s="3324"/>
    </row>
    <row r="1715" spans="1:12" s="3327" customFormat="1" ht="13.5" customHeight="1">
      <c r="A1715" s="3354"/>
      <c r="B1715" s="3336" t="s">
        <v>4263</v>
      </c>
      <c r="C1715" s="3336" t="s">
        <v>4158</v>
      </c>
      <c r="D1715" s="3336" t="s">
        <v>4283</v>
      </c>
      <c r="E1715" s="3339">
        <v>171.6</v>
      </c>
      <c r="F1715" s="3339">
        <v>336</v>
      </c>
      <c r="G1715" s="3340">
        <v>42461</v>
      </c>
      <c r="H1715" s="3340">
        <v>42824</v>
      </c>
      <c r="I1715" s="3340">
        <v>42825</v>
      </c>
      <c r="J1715" s="3324"/>
    </row>
    <row r="1716" spans="1:12" s="3327" customFormat="1" ht="13.5" customHeight="1">
      <c r="A1716" s="3354" t="s">
        <v>4275</v>
      </c>
      <c r="B1716" s="3331" t="s">
        <v>4263</v>
      </c>
      <c r="C1716" s="3331" t="s">
        <v>4158</v>
      </c>
      <c r="D1716" s="3331" t="s">
        <v>4284</v>
      </c>
      <c r="E1716" s="3332">
        <v>171.6</v>
      </c>
      <c r="F1716" s="3332">
        <v>355</v>
      </c>
      <c r="G1716" s="3333">
        <v>42826</v>
      </c>
      <c r="H1716" s="3333">
        <v>43130</v>
      </c>
      <c r="I1716" s="3333">
        <v>43190</v>
      </c>
      <c r="J1716" s="3324"/>
      <c r="K1716" s="3334">
        <f t="shared" ref="K1716" si="227">E1716</f>
        <v>171.6</v>
      </c>
      <c r="L1716" s="3334">
        <f t="shared" ref="L1716" si="228">F1716/30</f>
        <v>11.833333333333334</v>
      </c>
    </row>
    <row r="1717" spans="1:12" s="3327" customFormat="1" ht="13.5" customHeight="1">
      <c r="A1717" s="3355"/>
      <c r="B1717" s="3372" t="s">
        <v>4263</v>
      </c>
      <c r="C1717" s="3336" t="s">
        <v>4216</v>
      </c>
      <c r="D1717" s="3336" t="s">
        <v>4285</v>
      </c>
      <c r="E1717" s="3339">
        <v>41.9</v>
      </c>
      <c r="F1717" s="3339">
        <v>310</v>
      </c>
      <c r="G1717" s="3340">
        <v>41000</v>
      </c>
      <c r="H1717" s="3340">
        <v>41363</v>
      </c>
      <c r="I1717" s="3340">
        <v>41364</v>
      </c>
      <c r="J1717" s="3336"/>
    </row>
    <row r="1718" spans="1:12" s="3327" customFormat="1" ht="13.5" customHeight="1">
      <c r="A1718" s="3354"/>
      <c r="B1718" s="3384" t="s">
        <v>4263</v>
      </c>
      <c r="C1718" s="3384" t="s">
        <v>4224</v>
      </c>
      <c r="D1718" s="3324" t="s">
        <v>4286</v>
      </c>
      <c r="E1718" s="3325">
        <v>249.3</v>
      </c>
      <c r="F1718" s="3325">
        <v>350</v>
      </c>
      <c r="G1718" s="3326">
        <v>41699</v>
      </c>
      <c r="H1718" s="3326">
        <v>41973</v>
      </c>
      <c r="I1718" s="3326">
        <v>42094</v>
      </c>
      <c r="J1718" s="3324"/>
    </row>
    <row r="1719" spans="1:12" s="3327" customFormat="1" ht="13.5" customHeight="1">
      <c r="A1719" s="3354"/>
      <c r="B1719" s="3384" t="s">
        <v>4263</v>
      </c>
      <c r="C1719" s="3384" t="s">
        <v>4224</v>
      </c>
      <c r="D1719" s="3324" t="s">
        <v>4286</v>
      </c>
      <c r="E1719" s="3325">
        <v>249.3</v>
      </c>
      <c r="F1719" s="3325">
        <v>350</v>
      </c>
      <c r="G1719" s="3326">
        <v>41974</v>
      </c>
      <c r="H1719" s="3326">
        <v>42093</v>
      </c>
      <c r="I1719" s="3326">
        <v>42094</v>
      </c>
      <c r="J1719" s="3324"/>
    </row>
    <row r="1720" spans="1:12" s="3327" customFormat="1" ht="13.5" customHeight="1">
      <c r="A1720" s="3354"/>
      <c r="B1720" s="3367" t="s">
        <v>4263</v>
      </c>
      <c r="C1720" s="3367" t="s">
        <v>4224</v>
      </c>
      <c r="D1720" s="3336" t="s">
        <v>4286</v>
      </c>
      <c r="E1720" s="3339">
        <v>249.3</v>
      </c>
      <c r="F1720" s="3339">
        <v>356</v>
      </c>
      <c r="G1720" s="3340">
        <v>42095</v>
      </c>
      <c r="H1720" s="3340">
        <v>42459</v>
      </c>
      <c r="I1720" s="3340">
        <v>42460</v>
      </c>
      <c r="J1720" s="3324"/>
    </row>
    <row r="1721" spans="1:12" s="3327" customFormat="1" ht="13.5" customHeight="1">
      <c r="A1721" s="3354"/>
      <c r="B1721" s="3367" t="s">
        <v>4263</v>
      </c>
      <c r="C1721" s="3367" t="s">
        <v>4224</v>
      </c>
      <c r="D1721" s="3336" t="s">
        <v>4286</v>
      </c>
      <c r="E1721" s="3339">
        <v>249.3</v>
      </c>
      <c r="F1721" s="3339">
        <v>366</v>
      </c>
      <c r="G1721" s="3340">
        <v>42461</v>
      </c>
      <c r="H1721" s="3340">
        <v>42824</v>
      </c>
      <c r="I1721" s="3340">
        <v>42825</v>
      </c>
      <c r="J1721" s="3324"/>
    </row>
    <row r="1722" spans="1:12" s="3327" customFormat="1" ht="12.75" customHeight="1">
      <c r="A1722" s="3354"/>
      <c r="B1722" s="3393" t="s">
        <v>4263</v>
      </c>
      <c r="C1722" s="3393" t="s">
        <v>4224</v>
      </c>
      <c r="D1722" s="3331" t="s">
        <v>4287</v>
      </c>
      <c r="E1722" s="3332">
        <v>249.3</v>
      </c>
      <c r="F1722" s="3332">
        <v>366</v>
      </c>
      <c r="G1722" s="3333">
        <v>42826</v>
      </c>
      <c r="H1722" s="3333">
        <v>42885</v>
      </c>
      <c r="I1722" s="3333">
        <v>43190</v>
      </c>
      <c r="J1722" s="3324"/>
      <c r="K1722" s="3334">
        <f t="shared" ref="K1722:K1724" si="229">E1722</f>
        <v>249.3</v>
      </c>
      <c r="L1722" s="3334">
        <f t="shared" ref="L1722:L1724" si="230">F1722/30</f>
        <v>12.2</v>
      </c>
    </row>
    <row r="1723" spans="1:12" s="3327" customFormat="1" ht="13.5" customHeight="1">
      <c r="A1723" s="3354"/>
      <c r="B1723" s="3393" t="s">
        <v>4263</v>
      </c>
      <c r="C1723" s="3393" t="s">
        <v>4224</v>
      </c>
      <c r="D1723" s="3331" t="s">
        <v>4287</v>
      </c>
      <c r="E1723" s="3332">
        <v>249.3</v>
      </c>
      <c r="F1723" s="3332">
        <v>370</v>
      </c>
      <c r="G1723" s="3333">
        <v>42887</v>
      </c>
      <c r="H1723" s="3333">
        <v>42946</v>
      </c>
      <c r="I1723" s="3333">
        <v>43190</v>
      </c>
      <c r="J1723" s="3324"/>
      <c r="K1723" s="3334">
        <f t="shared" si="229"/>
        <v>249.3</v>
      </c>
      <c r="L1723" s="3334">
        <f t="shared" si="230"/>
        <v>12.333333333333334</v>
      </c>
    </row>
    <row r="1724" spans="1:12" s="3327" customFormat="1" ht="13.5" customHeight="1">
      <c r="A1724" s="3354" t="s">
        <v>4275</v>
      </c>
      <c r="B1724" s="3393" t="s">
        <v>4263</v>
      </c>
      <c r="C1724" s="3393" t="s">
        <v>4288</v>
      </c>
      <c r="D1724" s="3331" t="s">
        <v>4287</v>
      </c>
      <c r="E1724" s="3332">
        <v>249.3</v>
      </c>
      <c r="F1724" s="3332">
        <v>370</v>
      </c>
      <c r="G1724" s="3333">
        <v>42948</v>
      </c>
      <c r="H1724" s="3333">
        <v>43130</v>
      </c>
      <c r="I1724" s="3333">
        <v>43190</v>
      </c>
      <c r="J1724" s="3324"/>
      <c r="K1724" s="3334">
        <f t="shared" si="229"/>
        <v>249.3</v>
      </c>
      <c r="L1724" s="3334">
        <f t="shared" si="230"/>
        <v>12.333333333333334</v>
      </c>
    </row>
    <row r="1725" spans="1:12" s="3327" customFormat="1" ht="13.5" customHeight="1">
      <c r="A1725" s="3354"/>
      <c r="B1725" s="3384" t="s">
        <v>4263</v>
      </c>
      <c r="C1725" s="3384" t="s">
        <v>4289</v>
      </c>
      <c r="D1725" s="3324" t="s">
        <v>4290</v>
      </c>
      <c r="E1725" s="3325">
        <v>41.9</v>
      </c>
      <c r="F1725" s="3325">
        <v>310</v>
      </c>
      <c r="G1725" s="3326">
        <v>41548</v>
      </c>
      <c r="H1725" s="3326">
        <v>41698</v>
      </c>
      <c r="I1725" s="3326">
        <v>41729</v>
      </c>
      <c r="J1725" s="3324"/>
    </row>
    <row r="1726" spans="1:12" s="3327" customFormat="1" ht="13.5" customHeight="1">
      <c r="A1726" s="3354"/>
      <c r="B1726" s="3384" t="s">
        <v>4263</v>
      </c>
      <c r="C1726" s="3384" t="s">
        <v>4291</v>
      </c>
      <c r="D1726" s="3324" t="s">
        <v>4292</v>
      </c>
      <c r="E1726" s="3325">
        <v>43.8</v>
      </c>
      <c r="F1726" s="3325">
        <v>310</v>
      </c>
      <c r="G1726" s="3326">
        <v>41000</v>
      </c>
      <c r="H1726" s="3326">
        <v>41363</v>
      </c>
      <c r="I1726" s="3326">
        <v>41364</v>
      </c>
      <c r="J1726" s="3324"/>
    </row>
    <row r="1727" spans="1:12" s="3327" customFormat="1" ht="13.5" customHeight="1">
      <c r="A1727" s="3354"/>
      <c r="B1727" s="3324" t="s">
        <v>4263</v>
      </c>
      <c r="C1727" s="3324" t="s">
        <v>4293</v>
      </c>
      <c r="D1727" s="3324" t="s">
        <v>4294</v>
      </c>
      <c r="E1727" s="3325">
        <v>52.8</v>
      </c>
      <c r="F1727" s="3325">
        <v>300</v>
      </c>
      <c r="G1727" s="3326">
        <v>40264</v>
      </c>
      <c r="H1727" s="3326">
        <v>40632</v>
      </c>
      <c r="I1727" s="3326">
        <v>40632</v>
      </c>
      <c r="J1727" s="3324"/>
    </row>
    <row r="1728" spans="1:12" s="3327" customFormat="1" ht="13.5" customHeight="1">
      <c r="A1728" s="3355"/>
      <c r="B1728" s="3336" t="s">
        <v>4263</v>
      </c>
      <c r="C1728" s="3336" t="s">
        <v>4064</v>
      </c>
      <c r="D1728" s="3336" t="s">
        <v>4294</v>
      </c>
      <c r="E1728" s="3339">
        <v>52.8</v>
      </c>
      <c r="F1728" s="3339">
        <v>310</v>
      </c>
      <c r="G1728" s="3340">
        <v>41003</v>
      </c>
      <c r="H1728" s="3340">
        <v>41363</v>
      </c>
      <c r="I1728" s="3340">
        <v>41364</v>
      </c>
      <c r="J1728" s="3336"/>
    </row>
    <row r="1729" spans="1:12" s="3327" customFormat="1" ht="13.5" customHeight="1">
      <c r="A1729" s="3354"/>
      <c r="B1729" s="3324" t="s">
        <v>4263</v>
      </c>
      <c r="C1729" s="3324" t="s">
        <v>4051</v>
      </c>
      <c r="D1729" s="3324" t="s">
        <v>4295</v>
      </c>
      <c r="E1729" s="3325">
        <v>52.8</v>
      </c>
      <c r="F1729" s="3325">
        <v>310</v>
      </c>
      <c r="G1729" s="3326">
        <v>41375</v>
      </c>
      <c r="H1729" s="3326">
        <v>41686</v>
      </c>
      <c r="I1729" s="3326">
        <v>41729</v>
      </c>
      <c r="J1729" s="3324"/>
    </row>
    <row r="1730" spans="1:12" s="3327" customFormat="1" ht="13.5" customHeight="1">
      <c r="A1730" s="3355"/>
      <c r="B1730" s="3336" t="s">
        <v>4263</v>
      </c>
      <c r="C1730" s="3336" t="s">
        <v>4296</v>
      </c>
      <c r="D1730" s="3336" t="s">
        <v>4297</v>
      </c>
      <c r="E1730" s="3339">
        <v>34</v>
      </c>
      <c r="F1730" s="3339">
        <v>310</v>
      </c>
      <c r="G1730" s="3340">
        <v>41000</v>
      </c>
      <c r="H1730" s="3340">
        <v>41363</v>
      </c>
      <c r="I1730" s="3340">
        <v>41364</v>
      </c>
      <c r="J1730" s="3336"/>
    </row>
    <row r="1731" spans="1:12" s="3327" customFormat="1" ht="13.5" customHeight="1">
      <c r="A1731" s="3354"/>
      <c r="B1731" s="3324" t="s">
        <v>4263</v>
      </c>
      <c r="C1731" s="3324" t="s">
        <v>4298</v>
      </c>
      <c r="D1731" s="3324" t="s">
        <v>4299</v>
      </c>
      <c r="E1731" s="3325">
        <v>42.1</v>
      </c>
      <c r="F1731" s="3325">
        <v>300</v>
      </c>
      <c r="G1731" s="3326">
        <v>40264</v>
      </c>
      <c r="H1731" s="3326">
        <v>40632</v>
      </c>
      <c r="I1731" s="3326">
        <v>40632</v>
      </c>
      <c r="J1731" s="3324"/>
    </row>
    <row r="1732" spans="1:12" s="3327" customFormat="1" ht="13.5" customHeight="1">
      <c r="A1732" s="3355"/>
      <c r="B1732" s="3367" t="s">
        <v>4263</v>
      </c>
      <c r="C1732" s="3367" t="s">
        <v>4060</v>
      </c>
      <c r="D1732" s="3336" t="s">
        <v>4300</v>
      </c>
      <c r="E1732" s="3339">
        <v>112.5</v>
      </c>
      <c r="F1732" s="3339">
        <v>310</v>
      </c>
      <c r="G1732" s="3340">
        <v>41365</v>
      </c>
      <c r="H1732" s="3340">
        <v>41698</v>
      </c>
      <c r="I1732" s="3340">
        <v>41729</v>
      </c>
      <c r="J1732" s="3336"/>
    </row>
    <row r="1733" spans="1:12" s="3327" customFormat="1" ht="13.5" customHeight="1">
      <c r="A1733" s="3354"/>
      <c r="B1733" s="3324" t="s">
        <v>4263</v>
      </c>
      <c r="C1733" s="3324" t="s">
        <v>4301</v>
      </c>
      <c r="D1733" s="3344" t="s">
        <v>4302</v>
      </c>
      <c r="E1733" s="3325">
        <v>86.8</v>
      </c>
      <c r="F1733" s="3325">
        <v>320</v>
      </c>
      <c r="G1733" s="3326">
        <v>41699</v>
      </c>
      <c r="H1733" s="3326">
        <v>42093</v>
      </c>
      <c r="I1733" s="3326">
        <v>42094</v>
      </c>
      <c r="J1733" s="3324"/>
    </row>
    <row r="1734" spans="1:12" s="3327" customFormat="1" ht="13.5" customHeight="1">
      <c r="A1734" s="3354"/>
      <c r="B1734" s="3336" t="s">
        <v>4263</v>
      </c>
      <c r="C1734" s="3336" t="s">
        <v>4301</v>
      </c>
      <c r="D1734" s="3345" t="s">
        <v>4302</v>
      </c>
      <c r="E1734" s="3339">
        <v>86.8</v>
      </c>
      <c r="F1734" s="3339">
        <v>325</v>
      </c>
      <c r="G1734" s="3340">
        <v>42095</v>
      </c>
      <c r="H1734" s="3340">
        <v>42459</v>
      </c>
      <c r="I1734" s="3340">
        <v>42460</v>
      </c>
      <c r="J1734" s="3324"/>
    </row>
    <row r="1735" spans="1:12" s="3327" customFormat="1" ht="13.5" customHeight="1">
      <c r="A1735" s="3355"/>
      <c r="B1735" s="3372" t="s">
        <v>4263</v>
      </c>
      <c r="C1735" s="3372" t="s">
        <v>4068</v>
      </c>
      <c r="D1735" s="3336" t="s">
        <v>4303</v>
      </c>
      <c r="E1735" s="3339">
        <v>154</v>
      </c>
      <c r="F1735" s="3339">
        <v>200</v>
      </c>
      <c r="G1735" s="3340">
        <v>41000</v>
      </c>
      <c r="H1735" s="3340">
        <v>41363</v>
      </c>
      <c r="I1735" s="3340">
        <v>41364</v>
      </c>
      <c r="J1735" s="3336"/>
    </row>
    <row r="1736" spans="1:12" s="3327" customFormat="1" ht="13.5" customHeight="1">
      <c r="A1736" s="3354"/>
      <c r="B1736" s="3324" t="s">
        <v>4263</v>
      </c>
      <c r="C1736" s="3324" t="s">
        <v>4137</v>
      </c>
      <c r="D1736" s="3324" t="s">
        <v>4304</v>
      </c>
      <c r="E1736" s="3325">
        <v>226.1</v>
      </c>
      <c r="F1736" s="3325">
        <v>260</v>
      </c>
      <c r="G1736" s="3326">
        <v>41699</v>
      </c>
      <c r="H1736" s="3326">
        <v>42093</v>
      </c>
      <c r="I1736" s="3326">
        <v>42094</v>
      </c>
      <c r="J1736" s="3324"/>
    </row>
    <row r="1737" spans="1:12" s="3327" customFormat="1" ht="13.5" customHeight="1">
      <c r="A1737" s="3354"/>
      <c r="B1737" s="3336" t="s">
        <v>4263</v>
      </c>
      <c r="C1737" s="3336" t="s">
        <v>4137</v>
      </c>
      <c r="D1737" s="3336" t="s">
        <v>4304</v>
      </c>
      <c r="E1737" s="3339">
        <v>226.1</v>
      </c>
      <c r="F1737" s="3339">
        <v>266</v>
      </c>
      <c r="G1737" s="3340">
        <v>42095</v>
      </c>
      <c r="H1737" s="3340">
        <v>42459</v>
      </c>
      <c r="I1737" s="3340">
        <v>42460</v>
      </c>
      <c r="J1737" s="3324"/>
    </row>
    <row r="1738" spans="1:12" s="3327" customFormat="1" ht="13.5" customHeight="1">
      <c r="A1738" s="3355"/>
      <c r="B1738" s="3336" t="s">
        <v>4263</v>
      </c>
      <c r="C1738" s="3336" t="s">
        <v>4298</v>
      </c>
      <c r="D1738" s="3336" t="s">
        <v>4305</v>
      </c>
      <c r="E1738" s="3339">
        <v>37.299999999999997</v>
      </c>
      <c r="F1738" s="3339">
        <v>310</v>
      </c>
      <c r="G1738" s="3340">
        <v>41375</v>
      </c>
      <c r="H1738" s="3340">
        <v>41698</v>
      </c>
      <c r="I1738" s="3340">
        <v>41729</v>
      </c>
      <c r="J1738" s="3336"/>
    </row>
    <row r="1739" spans="1:12" s="3327" customFormat="1" ht="13.5" customHeight="1">
      <c r="A1739" s="3355"/>
      <c r="B1739" s="3336" t="s">
        <v>4263</v>
      </c>
      <c r="C1739" s="3336" t="s">
        <v>4306</v>
      </c>
      <c r="D1739" s="3336" t="s">
        <v>4307</v>
      </c>
      <c r="E1739" s="3339">
        <v>83.8</v>
      </c>
      <c r="F1739" s="3339">
        <v>310</v>
      </c>
      <c r="G1739" s="3340">
        <v>41000</v>
      </c>
      <c r="H1739" s="3340">
        <v>41363</v>
      </c>
      <c r="I1739" s="3340">
        <v>41364</v>
      </c>
      <c r="J1739" s="3336"/>
    </row>
    <row r="1740" spans="1:12" s="3327" customFormat="1" ht="13.5" customHeight="1">
      <c r="A1740" s="3354"/>
      <c r="B1740" s="3324" t="s">
        <v>4263</v>
      </c>
      <c r="C1740" s="3324" t="s">
        <v>4243</v>
      </c>
      <c r="D1740" s="3324" t="s">
        <v>4308</v>
      </c>
      <c r="E1740" s="3325">
        <v>105.5</v>
      </c>
      <c r="F1740" s="3325">
        <v>320</v>
      </c>
      <c r="G1740" s="3326">
        <v>41699</v>
      </c>
      <c r="H1740" s="3326">
        <v>41850</v>
      </c>
      <c r="I1740" s="3326">
        <v>42094</v>
      </c>
      <c r="J1740" s="3324"/>
    </row>
    <row r="1741" spans="1:12" s="3327" customFormat="1" ht="13.5" customHeight="1">
      <c r="A1741" s="3354"/>
      <c r="B1741" s="3324" t="s">
        <v>4263</v>
      </c>
      <c r="C1741" s="3324" t="s">
        <v>4243</v>
      </c>
      <c r="D1741" s="3324" t="s">
        <v>4308</v>
      </c>
      <c r="E1741" s="3325">
        <v>105.5</v>
      </c>
      <c r="F1741" s="3325">
        <v>320</v>
      </c>
      <c r="G1741" s="3326">
        <v>41852</v>
      </c>
      <c r="H1741" s="3326">
        <v>42093</v>
      </c>
      <c r="I1741" s="3326">
        <v>42094</v>
      </c>
      <c r="J1741" s="3324"/>
    </row>
    <row r="1742" spans="1:12" s="3327" customFormat="1" ht="13.5" customHeight="1">
      <c r="A1742" s="3354"/>
      <c r="B1742" s="3336" t="s">
        <v>4263</v>
      </c>
      <c r="C1742" s="3336" t="s">
        <v>4243</v>
      </c>
      <c r="D1742" s="3336" t="s">
        <v>4308</v>
      </c>
      <c r="E1742" s="3339">
        <v>105.5</v>
      </c>
      <c r="F1742" s="3339">
        <v>326</v>
      </c>
      <c r="G1742" s="3340">
        <v>42095</v>
      </c>
      <c r="H1742" s="3340">
        <v>42459</v>
      </c>
      <c r="I1742" s="3340">
        <v>42460</v>
      </c>
      <c r="J1742" s="3324"/>
    </row>
    <row r="1743" spans="1:12" s="3327" customFormat="1" ht="13.5" customHeight="1">
      <c r="A1743" s="3354"/>
      <c r="B1743" s="3336" t="s">
        <v>4263</v>
      </c>
      <c r="C1743" s="3336" t="s">
        <v>4137</v>
      </c>
      <c r="D1743" s="3336" t="s">
        <v>4309</v>
      </c>
      <c r="E1743" s="3339">
        <v>202.91</v>
      </c>
      <c r="F1743" s="3339">
        <v>325</v>
      </c>
      <c r="G1743" s="3340">
        <v>42461</v>
      </c>
      <c r="H1743" s="3340">
        <v>42824</v>
      </c>
      <c r="I1743" s="3340">
        <v>42825</v>
      </c>
      <c r="J1743" s="3324"/>
    </row>
    <row r="1744" spans="1:12" s="3327" customFormat="1" ht="13.5" customHeight="1">
      <c r="A1744" s="3354"/>
      <c r="B1744" s="3331" t="s">
        <v>4263</v>
      </c>
      <c r="C1744" s="3331" t="s">
        <v>4137</v>
      </c>
      <c r="D1744" s="3331" t="s">
        <v>4309</v>
      </c>
      <c r="E1744" s="3332">
        <v>202.91</v>
      </c>
      <c r="F1744" s="3332">
        <v>330</v>
      </c>
      <c r="G1744" s="3333">
        <v>42826</v>
      </c>
      <c r="H1744" s="3333">
        <v>42885</v>
      </c>
      <c r="I1744" s="3333">
        <v>43190</v>
      </c>
      <c r="J1744" s="3324"/>
      <c r="K1744" s="3334">
        <f t="shared" ref="K1744:K1748" si="231">E1744</f>
        <v>202.91</v>
      </c>
      <c r="L1744" s="3334">
        <f t="shared" ref="L1744:L1748" si="232">F1744/30</f>
        <v>11</v>
      </c>
    </row>
    <row r="1745" spans="1:12" s="3327" customFormat="1" ht="13.5" customHeight="1">
      <c r="A1745" s="3354"/>
      <c r="B1745" s="3331" t="s">
        <v>4263</v>
      </c>
      <c r="C1745" s="3331" t="s">
        <v>4137</v>
      </c>
      <c r="D1745" s="3331" t="s">
        <v>4309</v>
      </c>
      <c r="E1745" s="3332">
        <v>202.91</v>
      </c>
      <c r="F1745" s="3332">
        <v>330</v>
      </c>
      <c r="G1745" s="3333">
        <v>42887</v>
      </c>
      <c r="H1745" s="3333">
        <v>42898</v>
      </c>
      <c r="I1745" s="3333">
        <v>43190</v>
      </c>
      <c r="J1745" s="3324"/>
      <c r="K1745" s="3334">
        <f t="shared" si="231"/>
        <v>202.91</v>
      </c>
      <c r="L1745" s="3334">
        <f t="shared" si="232"/>
        <v>11</v>
      </c>
    </row>
    <row r="1746" spans="1:12" s="3327" customFormat="1" ht="13.5" customHeight="1">
      <c r="A1746" s="3354" t="s">
        <v>4275</v>
      </c>
      <c r="B1746" s="3331" t="s">
        <v>4263</v>
      </c>
      <c r="C1746" s="3331" t="s">
        <v>4137</v>
      </c>
      <c r="D1746" s="3331" t="s">
        <v>4309</v>
      </c>
      <c r="E1746" s="3332">
        <v>132.38</v>
      </c>
      <c r="F1746" s="3332">
        <v>330</v>
      </c>
      <c r="G1746" s="3333">
        <v>42899</v>
      </c>
      <c r="H1746" s="3333">
        <v>43130</v>
      </c>
      <c r="I1746" s="3333">
        <v>43190</v>
      </c>
      <c r="J1746" s="3324"/>
      <c r="K1746" s="3334">
        <f t="shared" si="231"/>
        <v>132.38</v>
      </c>
      <c r="L1746" s="3334">
        <f t="shared" si="232"/>
        <v>11</v>
      </c>
    </row>
    <row r="1747" spans="1:12" s="3327" customFormat="1" ht="13.5" customHeight="1">
      <c r="A1747" s="3354"/>
      <c r="B1747" s="3331" t="s">
        <v>4263</v>
      </c>
      <c r="C1747" s="3331" t="s">
        <v>3892</v>
      </c>
      <c r="D1747" s="3331" t="s">
        <v>4310</v>
      </c>
      <c r="E1747" s="3332">
        <v>286.02999999999997</v>
      </c>
      <c r="F1747" s="3332">
        <v>380</v>
      </c>
      <c r="G1747" s="3333">
        <v>42899</v>
      </c>
      <c r="H1747" s="3333">
        <v>43038</v>
      </c>
      <c r="I1747" s="3333">
        <v>43190</v>
      </c>
      <c r="J1747" s="3324"/>
      <c r="K1747" s="3334">
        <f t="shared" si="231"/>
        <v>286.02999999999997</v>
      </c>
      <c r="L1747" s="3334">
        <f t="shared" si="232"/>
        <v>12.666666666666666</v>
      </c>
    </row>
    <row r="1748" spans="1:12" s="3327" customFormat="1" ht="13.5" customHeight="1">
      <c r="A1748" s="3354" t="s">
        <v>4275</v>
      </c>
      <c r="B1748" s="3331" t="s">
        <v>4263</v>
      </c>
      <c r="C1748" s="3331" t="s">
        <v>3892</v>
      </c>
      <c r="D1748" s="3331" t="s">
        <v>4310</v>
      </c>
      <c r="E1748" s="3332">
        <v>286.02999999999997</v>
      </c>
      <c r="F1748" s="3332">
        <v>325</v>
      </c>
      <c r="G1748" s="3333">
        <v>43040</v>
      </c>
      <c r="H1748" s="3333">
        <v>43130</v>
      </c>
      <c r="I1748" s="3333">
        <v>43190</v>
      </c>
      <c r="J1748" s="3324"/>
      <c r="K1748" s="3334">
        <f t="shared" si="231"/>
        <v>286.02999999999997</v>
      </c>
      <c r="L1748" s="3334">
        <f t="shared" si="232"/>
        <v>10.833333333333334</v>
      </c>
    </row>
    <row r="1749" spans="1:12" s="3327" customFormat="1" ht="13.5" customHeight="1">
      <c r="A1749" s="3354"/>
      <c r="B1749" s="3336" t="s">
        <v>4263</v>
      </c>
      <c r="C1749" s="3336" t="s">
        <v>4241</v>
      </c>
      <c r="D1749" s="3336" t="s">
        <v>4311</v>
      </c>
      <c r="E1749" s="3339">
        <v>215.49</v>
      </c>
      <c r="F1749" s="3339">
        <v>325</v>
      </c>
      <c r="G1749" s="3340">
        <v>42461</v>
      </c>
      <c r="H1749" s="3340">
        <v>42551</v>
      </c>
      <c r="I1749" s="3340">
        <v>42825</v>
      </c>
      <c r="J1749" s="3324"/>
    </row>
    <row r="1750" spans="1:12" s="3327" customFormat="1" ht="13.5" customHeight="1">
      <c r="A1750" s="3354"/>
      <c r="B1750" s="3336" t="s">
        <v>4263</v>
      </c>
      <c r="C1750" s="3336" t="s">
        <v>4241</v>
      </c>
      <c r="D1750" s="3336" t="s">
        <v>4311</v>
      </c>
      <c r="E1750" s="3339">
        <v>125.28</v>
      </c>
      <c r="F1750" s="3339">
        <v>325</v>
      </c>
      <c r="G1750" s="3340">
        <v>42552</v>
      </c>
      <c r="H1750" s="3340">
        <v>42765</v>
      </c>
      <c r="I1750" s="3340">
        <v>42825</v>
      </c>
      <c r="J1750" s="3324"/>
    </row>
    <row r="1751" spans="1:12" s="3327" customFormat="1" ht="13.5" customHeight="1">
      <c r="A1751" s="3354"/>
      <c r="B1751" s="3336" t="s">
        <v>4263</v>
      </c>
      <c r="C1751" s="3336" t="s">
        <v>4312</v>
      </c>
      <c r="D1751" s="3336" t="s">
        <v>4311</v>
      </c>
      <c r="E1751" s="3339">
        <v>125.28</v>
      </c>
      <c r="F1751" s="3339">
        <v>325</v>
      </c>
      <c r="G1751" s="3340">
        <v>42767</v>
      </c>
      <c r="H1751" s="3340">
        <v>42824</v>
      </c>
      <c r="I1751" s="3340">
        <v>42825</v>
      </c>
      <c r="J1751" s="3324"/>
    </row>
    <row r="1752" spans="1:12" s="3327" customFormat="1" ht="13.5" customHeight="1">
      <c r="A1752" s="3354"/>
      <c r="B1752" s="3331" t="s">
        <v>4263</v>
      </c>
      <c r="C1752" s="3331" t="s">
        <v>4312</v>
      </c>
      <c r="D1752" s="3331" t="s">
        <v>4311</v>
      </c>
      <c r="E1752" s="3332">
        <v>125.28</v>
      </c>
      <c r="F1752" s="3332">
        <v>340</v>
      </c>
      <c r="G1752" s="3333">
        <v>42826</v>
      </c>
      <c r="H1752" s="3333">
        <v>42885</v>
      </c>
      <c r="I1752" s="3333">
        <v>42886</v>
      </c>
      <c r="J1752" s="3324"/>
      <c r="K1752" s="3334">
        <f t="shared" ref="K1752:K1753" si="233">E1752</f>
        <v>125.28</v>
      </c>
      <c r="L1752" s="3334">
        <f t="shared" ref="L1752:L1753" si="234">F1752/30</f>
        <v>11.333333333333334</v>
      </c>
    </row>
    <row r="1753" spans="1:12" s="3327" customFormat="1" ht="13.5" customHeight="1">
      <c r="A1753" s="3354"/>
      <c r="B1753" s="3331" t="s">
        <v>4263</v>
      </c>
      <c r="C1753" s="3331" t="s">
        <v>4312</v>
      </c>
      <c r="D1753" s="3331" t="s">
        <v>4311</v>
      </c>
      <c r="E1753" s="3332">
        <v>125.28</v>
      </c>
      <c r="F1753" s="3332">
        <v>340</v>
      </c>
      <c r="G1753" s="3333">
        <v>42887</v>
      </c>
      <c r="H1753" s="3333">
        <v>42898</v>
      </c>
      <c r="I1753" s="3333">
        <v>43190</v>
      </c>
      <c r="J1753" s="3324"/>
      <c r="K1753" s="3334">
        <f t="shared" si="233"/>
        <v>125.28</v>
      </c>
      <c r="L1753" s="3334">
        <f t="shared" si="234"/>
        <v>11.333333333333334</v>
      </c>
    </row>
    <row r="1754" spans="1:12" s="3327" customFormat="1" ht="13.5" customHeight="1">
      <c r="A1754" s="3354"/>
      <c r="B1754" s="3336" t="s">
        <v>4263</v>
      </c>
      <c r="C1754" s="3336" t="s">
        <v>4313</v>
      </c>
      <c r="D1754" s="3336" t="s">
        <v>4311</v>
      </c>
      <c r="E1754" s="3339">
        <v>90.21</v>
      </c>
      <c r="F1754" s="3339">
        <v>325</v>
      </c>
      <c r="G1754" s="3340">
        <v>42552</v>
      </c>
      <c r="H1754" s="3340">
        <v>42824</v>
      </c>
      <c r="I1754" s="3340">
        <v>42825</v>
      </c>
      <c r="J1754" s="3324"/>
    </row>
    <row r="1755" spans="1:12" s="3327" customFormat="1" ht="13.5" customHeight="1">
      <c r="A1755" s="3354"/>
      <c r="B1755" s="3331" t="s">
        <v>4263</v>
      </c>
      <c r="C1755" s="3331" t="s">
        <v>4313</v>
      </c>
      <c r="D1755" s="3331" t="s">
        <v>4311</v>
      </c>
      <c r="E1755" s="3332">
        <v>90.21</v>
      </c>
      <c r="F1755" s="3332">
        <v>290</v>
      </c>
      <c r="G1755" s="3333">
        <v>42826</v>
      </c>
      <c r="H1755" s="3333">
        <v>42885</v>
      </c>
      <c r="I1755" s="3333">
        <v>42886</v>
      </c>
      <c r="J1755" s="3324"/>
      <c r="K1755" s="3334">
        <f t="shared" ref="K1755:K1756" si="235">E1755</f>
        <v>90.21</v>
      </c>
      <c r="L1755" s="3334">
        <f t="shared" ref="L1755:L1756" si="236">F1755/30</f>
        <v>9.6666666666666661</v>
      </c>
    </row>
    <row r="1756" spans="1:12" s="3327" customFormat="1" ht="13.5" customHeight="1">
      <c r="A1756" s="3354"/>
      <c r="B1756" s="3331" t="s">
        <v>4263</v>
      </c>
      <c r="C1756" s="3331" t="s">
        <v>4313</v>
      </c>
      <c r="D1756" s="3331" t="s">
        <v>4311</v>
      </c>
      <c r="E1756" s="3332">
        <v>90.21</v>
      </c>
      <c r="F1756" s="3332">
        <v>290</v>
      </c>
      <c r="G1756" s="3333">
        <v>42887</v>
      </c>
      <c r="H1756" s="3333">
        <v>42898</v>
      </c>
      <c r="I1756" s="3333">
        <v>43190</v>
      </c>
      <c r="J1756" s="3324"/>
      <c r="K1756" s="3334">
        <f t="shared" si="235"/>
        <v>90.21</v>
      </c>
      <c r="L1756" s="3334">
        <f t="shared" si="236"/>
        <v>9.6666666666666661</v>
      </c>
    </row>
    <row r="1757" spans="1:12" s="3327" customFormat="1" ht="13.5" customHeight="1">
      <c r="A1757" s="3355"/>
      <c r="B1757" s="3336" t="s">
        <v>4263</v>
      </c>
      <c r="C1757" s="3336" t="s">
        <v>4226</v>
      </c>
      <c r="D1757" s="3336" t="s">
        <v>4314</v>
      </c>
      <c r="E1757" s="3339">
        <v>73.3</v>
      </c>
      <c r="F1757" s="3339">
        <v>330</v>
      </c>
      <c r="G1757" s="3340">
        <v>41000</v>
      </c>
      <c r="H1757" s="3340">
        <v>41363</v>
      </c>
      <c r="I1757" s="3340">
        <v>41364</v>
      </c>
      <c r="J1757" s="3336"/>
    </row>
    <row r="1758" spans="1:12" s="3343" customFormat="1" ht="13.5" customHeight="1">
      <c r="A1758" s="3355"/>
      <c r="B1758" s="3336" t="s">
        <v>4263</v>
      </c>
      <c r="C1758" s="3336" t="s">
        <v>4218</v>
      </c>
      <c r="D1758" s="3336" t="s">
        <v>4315</v>
      </c>
      <c r="E1758" s="3339">
        <v>53.2</v>
      </c>
      <c r="F1758" s="3339">
        <v>330</v>
      </c>
      <c r="G1758" s="3340">
        <v>41000</v>
      </c>
      <c r="H1758" s="3340">
        <v>41363</v>
      </c>
      <c r="I1758" s="3340">
        <v>41364</v>
      </c>
      <c r="J1758" s="3336"/>
    </row>
    <row r="1759" spans="1:12" s="3343" customFormat="1" ht="13.5" customHeight="1">
      <c r="A1759" s="3354"/>
      <c r="B1759" s="3324" t="s">
        <v>4263</v>
      </c>
      <c r="C1759" s="3324" t="s">
        <v>4160</v>
      </c>
      <c r="D1759" s="3324" t="s">
        <v>4316</v>
      </c>
      <c r="E1759" s="3325">
        <v>138.80000000000001</v>
      </c>
      <c r="F1759" s="3325">
        <v>340</v>
      </c>
      <c r="G1759" s="3326">
        <v>41699</v>
      </c>
      <c r="H1759" s="3326">
        <v>41942</v>
      </c>
      <c r="I1759" s="3326">
        <v>42094</v>
      </c>
      <c r="J1759" s="3324"/>
    </row>
    <row r="1760" spans="1:12" s="3343" customFormat="1" ht="13.5" customHeight="1">
      <c r="A1760" s="3354"/>
      <c r="B1760" s="3324" t="s">
        <v>4263</v>
      </c>
      <c r="C1760" s="3324" t="s">
        <v>4160</v>
      </c>
      <c r="D1760" s="3324" t="s">
        <v>4316</v>
      </c>
      <c r="E1760" s="3325">
        <v>138.80000000000001</v>
      </c>
      <c r="F1760" s="3325">
        <v>340</v>
      </c>
      <c r="G1760" s="3326">
        <v>41944</v>
      </c>
      <c r="H1760" s="3326">
        <v>42093</v>
      </c>
      <c r="I1760" s="3326">
        <v>42094</v>
      </c>
      <c r="J1760" s="3324"/>
    </row>
    <row r="1761" spans="1:12" s="3343" customFormat="1" ht="13.5" customHeight="1">
      <c r="A1761" s="3354"/>
      <c r="B1761" s="3336" t="s">
        <v>4263</v>
      </c>
      <c r="C1761" s="3336" t="s">
        <v>4160</v>
      </c>
      <c r="D1761" s="3336" t="s">
        <v>4316</v>
      </c>
      <c r="E1761" s="3339">
        <v>138.80000000000001</v>
      </c>
      <c r="F1761" s="3339">
        <v>346</v>
      </c>
      <c r="G1761" s="3340">
        <v>42095</v>
      </c>
      <c r="H1761" s="3340">
        <v>42285</v>
      </c>
      <c r="I1761" s="3340">
        <v>42460</v>
      </c>
      <c r="J1761" s="3324"/>
    </row>
    <row r="1762" spans="1:12" s="3343" customFormat="1" ht="13.5" customHeight="1">
      <c r="A1762" s="3354"/>
      <c r="B1762" s="3336" t="s">
        <v>4263</v>
      </c>
      <c r="C1762" s="3336" t="s">
        <v>4317</v>
      </c>
      <c r="D1762" s="3336" t="s">
        <v>4316</v>
      </c>
      <c r="E1762" s="3339">
        <v>138.80000000000001</v>
      </c>
      <c r="F1762" s="3339">
        <v>346</v>
      </c>
      <c r="G1762" s="3340">
        <v>42286</v>
      </c>
      <c r="H1762" s="3340">
        <v>42459</v>
      </c>
      <c r="I1762" s="3340">
        <v>42460</v>
      </c>
      <c r="J1762" s="3324"/>
    </row>
    <row r="1763" spans="1:12" s="3343" customFormat="1" ht="13.5" customHeight="1">
      <c r="A1763" s="3354"/>
      <c r="B1763" s="3336" t="s">
        <v>4263</v>
      </c>
      <c r="C1763" s="3336" t="s">
        <v>4317</v>
      </c>
      <c r="D1763" s="3336" t="s">
        <v>4316</v>
      </c>
      <c r="E1763" s="3339">
        <v>138.80000000000001</v>
      </c>
      <c r="F1763" s="3339">
        <v>360</v>
      </c>
      <c r="G1763" s="3340">
        <v>42461</v>
      </c>
      <c r="H1763" s="3340">
        <v>42824</v>
      </c>
      <c r="I1763" s="3340">
        <v>42825</v>
      </c>
      <c r="J1763" s="3324"/>
    </row>
    <row r="1764" spans="1:12" s="3343" customFormat="1" ht="13.5" customHeight="1">
      <c r="A1764" s="3354"/>
      <c r="B1764" s="3331" t="s">
        <v>4263</v>
      </c>
      <c r="C1764" s="3331" t="s">
        <v>4317</v>
      </c>
      <c r="D1764" s="3331" t="s">
        <v>4318</v>
      </c>
      <c r="E1764" s="3332">
        <v>138.80000000000001</v>
      </c>
      <c r="F1764" s="3332">
        <v>360</v>
      </c>
      <c r="G1764" s="3333">
        <v>42826</v>
      </c>
      <c r="H1764" s="3333">
        <v>42885</v>
      </c>
      <c r="I1764" s="3333">
        <v>43190</v>
      </c>
      <c r="J1764" s="3324"/>
      <c r="K1764" s="3334">
        <f t="shared" ref="K1764:K1766" si="237">E1764</f>
        <v>138.80000000000001</v>
      </c>
      <c r="L1764" s="3334">
        <f t="shared" ref="L1764:L1766" si="238">F1764/30</f>
        <v>12</v>
      </c>
    </row>
    <row r="1765" spans="1:12" s="3343" customFormat="1" ht="13.5" customHeight="1">
      <c r="A1765" s="3354"/>
      <c r="B1765" s="3331" t="s">
        <v>4263</v>
      </c>
      <c r="C1765" s="3331" t="s">
        <v>4317</v>
      </c>
      <c r="D1765" s="3331" t="s">
        <v>4318</v>
      </c>
      <c r="E1765" s="3332">
        <v>138.80000000000001</v>
      </c>
      <c r="F1765" s="3332">
        <v>380</v>
      </c>
      <c r="G1765" s="3333">
        <v>42887</v>
      </c>
      <c r="H1765" s="3333">
        <v>42957</v>
      </c>
      <c r="I1765" s="3333">
        <v>43190</v>
      </c>
      <c r="J1765" s="3324"/>
      <c r="K1765" s="3334">
        <f t="shared" si="237"/>
        <v>138.80000000000001</v>
      </c>
      <c r="L1765" s="3334">
        <f t="shared" si="238"/>
        <v>12.666666666666666</v>
      </c>
    </row>
    <row r="1766" spans="1:12" s="3343" customFormat="1" ht="13.5" customHeight="1">
      <c r="A1766" s="3354" t="s">
        <v>4275</v>
      </c>
      <c r="B1766" s="3331" t="s">
        <v>4263</v>
      </c>
      <c r="C1766" s="3331" t="s">
        <v>4319</v>
      </c>
      <c r="D1766" s="3331" t="s">
        <v>4318</v>
      </c>
      <c r="E1766" s="3332">
        <v>138.80000000000001</v>
      </c>
      <c r="F1766" s="3332">
        <v>380</v>
      </c>
      <c r="G1766" s="3333">
        <v>42958</v>
      </c>
      <c r="H1766" s="3333">
        <v>43130</v>
      </c>
      <c r="I1766" s="3333">
        <v>43190</v>
      </c>
      <c r="J1766" s="3324"/>
      <c r="K1766" s="3334">
        <f t="shared" si="237"/>
        <v>138.80000000000001</v>
      </c>
      <c r="L1766" s="3334">
        <f t="shared" si="238"/>
        <v>12.666666666666666</v>
      </c>
    </row>
    <row r="1767" spans="1:12" s="3327" customFormat="1" ht="13.5" customHeight="1">
      <c r="A1767" s="3354"/>
      <c r="B1767" s="3324" t="s">
        <v>4263</v>
      </c>
      <c r="C1767" s="3324" t="s">
        <v>4320</v>
      </c>
      <c r="D1767" s="3324" t="s">
        <v>4321</v>
      </c>
      <c r="E1767" s="3325">
        <v>101</v>
      </c>
      <c r="F1767" s="3325">
        <v>330</v>
      </c>
      <c r="G1767" s="3326">
        <v>41343</v>
      </c>
      <c r="H1767" s="3326">
        <v>41698</v>
      </c>
      <c r="I1767" s="3326">
        <v>41729</v>
      </c>
      <c r="J1767" s="3324"/>
    </row>
    <row r="1768" spans="1:12" s="3327" customFormat="1" ht="13.5" customHeight="1">
      <c r="A1768" s="3354"/>
      <c r="B1768" s="3324" t="s">
        <v>4263</v>
      </c>
      <c r="C1768" s="3324" t="s">
        <v>4322</v>
      </c>
      <c r="D1768" s="3324" t="s">
        <v>4323</v>
      </c>
      <c r="E1768" s="3325">
        <v>101</v>
      </c>
      <c r="F1768" s="3325">
        <v>340</v>
      </c>
      <c r="G1768" s="3326">
        <v>41699</v>
      </c>
      <c r="H1768" s="3326">
        <v>42093</v>
      </c>
      <c r="I1768" s="3326">
        <v>42094</v>
      </c>
      <c r="J1768" s="3324"/>
    </row>
    <row r="1769" spans="1:12" s="3327" customFormat="1" ht="13.5" customHeight="1">
      <c r="A1769" s="3354"/>
      <c r="B1769" s="3336" t="s">
        <v>4263</v>
      </c>
      <c r="C1769" s="3336" t="s">
        <v>4322</v>
      </c>
      <c r="D1769" s="3336" t="s">
        <v>4323</v>
      </c>
      <c r="E1769" s="3339">
        <v>101</v>
      </c>
      <c r="F1769" s="3339">
        <v>346</v>
      </c>
      <c r="G1769" s="3340">
        <v>42095</v>
      </c>
      <c r="H1769" s="3340">
        <v>42459</v>
      </c>
      <c r="I1769" s="3340">
        <v>42460</v>
      </c>
      <c r="J1769" s="3324"/>
    </row>
    <row r="1770" spans="1:12" s="3327" customFormat="1" ht="13.5" customHeight="1">
      <c r="A1770" s="3354"/>
      <c r="B1770" s="3336" t="s">
        <v>4263</v>
      </c>
      <c r="C1770" s="3336" t="s">
        <v>4322</v>
      </c>
      <c r="D1770" s="3336" t="s">
        <v>4323</v>
      </c>
      <c r="E1770" s="3339">
        <v>101</v>
      </c>
      <c r="F1770" s="3339">
        <v>360</v>
      </c>
      <c r="G1770" s="3340">
        <v>42461</v>
      </c>
      <c r="H1770" s="3340">
        <v>42551</v>
      </c>
      <c r="I1770" s="3340">
        <v>42825</v>
      </c>
      <c r="J1770" s="3324"/>
    </row>
    <row r="1771" spans="1:12" s="3327" customFormat="1" ht="13.5" customHeight="1">
      <c r="A1771" s="3354"/>
      <c r="B1771" s="3336" t="s">
        <v>4263</v>
      </c>
      <c r="C1771" s="3336" t="s">
        <v>4322</v>
      </c>
      <c r="D1771" s="3336" t="s">
        <v>4323</v>
      </c>
      <c r="E1771" s="3339">
        <v>101</v>
      </c>
      <c r="F1771" s="3339">
        <v>360</v>
      </c>
      <c r="G1771" s="3340">
        <v>42552</v>
      </c>
      <c r="H1771" s="3340">
        <v>42824</v>
      </c>
      <c r="I1771" s="3340">
        <v>42825</v>
      </c>
      <c r="J1771" s="3324"/>
    </row>
    <row r="1772" spans="1:12" s="3327" customFormat="1" ht="13.5" customHeight="1">
      <c r="A1772" s="3354" t="s">
        <v>4275</v>
      </c>
      <c r="B1772" s="3331" t="s">
        <v>4263</v>
      </c>
      <c r="C1772" s="3331" t="s">
        <v>4324</v>
      </c>
      <c r="D1772" s="3331" t="s">
        <v>4321</v>
      </c>
      <c r="E1772" s="3332">
        <v>101</v>
      </c>
      <c r="F1772" s="3332">
        <v>360</v>
      </c>
      <c r="G1772" s="3333">
        <v>42826</v>
      </c>
      <c r="H1772" s="3333">
        <v>43130</v>
      </c>
      <c r="I1772" s="3333">
        <v>43190</v>
      </c>
      <c r="J1772" s="3324"/>
      <c r="K1772" s="3334">
        <f t="shared" ref="K1772" si="239">E1772</f>
        <v>101</v>
      </c>
      <c r="L1772" s="3334">
        <f t="shared" ref="L1772" si="240">F1772/30</f>
        <v>12</v>
      </c>
    </row>
    <row r="1773" spans="1:12" s="3327" customFormat="1" ht="13.5" customHeight="1">
      <c r="A1773" s="3355"/>
      <c r="B1773" s="3336" t="s">
        <v>4263</v>
      </c>
      <c r="C1773" s="3336" t="s">
        <v>4147</v>
      </c>
      <c r="D1773" s="3336" t="s">
        <v>4325</v>
      </c>
      <c r="E1773" s="3339">
        <v>70.8</v>
      </c>
      <c r="F1773" s="3339">
        <v>330</v>
      </c>
      <c r="G1773" s="3340">
        <v>41000</v>
      </c>
      <c r="H1773" s="3340">
        <v>41363</v>
      </c>
      <c r="I1773" s="3340">
        <v>41364</v>
      </c>
      <c r="J1773" s="3336"/>
    </row>
    <row r="1774" spans="1:12" s="3327" customFormat="1" ht="13.5" customHeight="1">
      <c r="A1774" s="3354"/>
      <c r="B1774" s="3324" t="s">
        <v>4263</v>
      </c>
      <c r="C1774" s="3324" t="s">
        <v>4237</v>
      </c>
      <c r="D1774" s="3324" t="s">
        <v>4286</v>
      </c>
      <c r="E1774" s="3325">
        <v>41.8</v>
      </c>
      <c r="F1774" s="3325">
        <v>310</v>
      </c>
      <c r="G1774" s="3326">
        <v>41548</v>
      </c>
      <c r="H1774" s="3326">
        <v>41698</v>
      </c>
      <c r="I1774" s="3326">
        <v>41729</v>
      </c>
      <c r="J1774" s="3324"/>
    </row>
    <row r="1775" spans="1:12" s="3327" customFormat="1" ht="13.5" customHeight="1">
      <c r="A1775" s="3355"/>
      <c r="B1775" s="3336" t="s">
        <v>4263</v>
      </c>
      <c r="C1775" s="3336" t="s">
        <v>4326</v>
      </c>
      <c r="D1775" s="3336" t="s">
        <v>4327</v>
      </c>
      <c r="E1775" s="3339">
        <v>65</v>
      </c>
      <c r="F1775" s="3339">
        <v>310</v>
      </c>
      <c r="G1775" s="3340">
        <v>41000</v>
      </c>
      <c r="H1775" s="3340">
        <v>41363</v>
      </c>
      <c r="I1775" s="3340">
        <v>41364</v>
      </c>
      <c r="J1775" s="3336"/>
    </row>
    <row r="1776" spans="1:12" s="3327" customFormat="1" ht="13.5" customHeight="1">
      <c r="A1776" s="3354"/>
      <c r="B1776" s="3324" t="s">
        <v>4263</v>
      </c>
      <c r="C1776" s="3324" t="s">
        <v>4069</v>
      </c>
      <c r="D1776" s="3324" t="s">
        <v>4328</v>
      </c>
      <c r="E1776" s="3325">
        <v>221.2</v>
      </c>
      <c r="F1776" s="3325">
        <v>325</v>
      </c>
      <c r="G1776" s="3326">
        <v>41699</v>
      </c>
      <c r="H1776" s="3326">
        <v>42093</v>
      </c>
      <c r="I1776" s="3326">
        <v>42094</v>
      </c>
      <c r="J1776" s="3324"/>
    </row>
    <row r="1777" spans="1:12" s="3327" customFormat="1" ht="13.5" customHeight="1">
      <c r="A1777" s="3354"/>
      <c r="B1777" s="3336" t="s">
        <v>4263</v>
      </c>
      <c r="C1777" s="3336" t="s">
        <v>4069</v>
      </c>
      <c r="D1777" s="3336" t="s">
        <v>4328</v>
      </c>
      <c r="E1777" s="3339">
        <v>221.2</v>
      </c>
      <c r="F1777" s="3339">
        <v>331</v>
      </c>
      <c r="G1777" s="3340">
        <v>42095</v>
      </c>
      <c r="H1777" s="3340">
        <v>42459</v>
      </c>
      <c r="I1777" s="3340">
        <v>42460</v>
      </c>
      <c r="J1777" s="3324"/>
    </row>
    <row r="1778" spans="1:12" s="3327" customFormat="1" ht="13.5" customHeight="1">
      <c r="A1778" s="3354"/>
      <c r="B1778" s="3336" t="s">
        <v>4263</v>
      </c>
      <c r="C1778" s="3336" t="s">
        <v>4243</v>
      </c>
      <c r="D1778" s="3336" t="s">
        <v>4329</v>
      </c>
      <c r="E1778" s="3338">
        <v>111.05</v>
      </c>
      <c r="F1778" s="3339">
        <v>340</v>
      </c>
      <c r="G1778" s="3340">
        <v>42461</v>
      </c>
      <c r="H1778" s="3340">
        <v>42794</v>
      </c>
      <c r="I1778" s="3340">
        <v>42825</v>
      </c>
      <c r="J1778" s="3324"/>
    </row>
    <row r="1779" spans="1:12" s="3327" customFormat="1" ht="13.5" customHeight="1">
      <c r="A1779" s="3354"/>
      <c r="B1779" s="3336" t="s">
        <v>4263</v>
      </c>
      <c r="C1779" s="3336" t="s">
        <v>4330</v>
      </c>
      <c r="D1779" s="3336" t="s">
        <v>4329</v>
      </c>
      <c r="E1779" s="3338">
        <v>111.05</v>
      </c>
      <c r="F1779" s="3339">
        <v>340</v>
      </c>
      <c r="G1779" s="3340">
        <v>42795</v>
      </c>
      <c r="H1779" s="3340">
        <v>42824</v>
      </c>
      <c r="I1779" s="3340">
        <v>42825</v>
      </c>
      <c r="J1779" s="3324"/>
    </row>
    <row r="1780" spans="1:12" s="3327" customFormat="1" ht="13.5" customHeight="1">
      <c r="A1780" s="3354" t="s">
        <v>4275</v>
      </c>
      <c r="B1780" s="3331" t="s">
        <v>4263</v>
      </c>
      <c r="C1780" s="3331" t="s">
        <v>4330</v>
      </c>
      <c r="D1780" s="3331" t="s">
        <v>4329</v>
      </c>
      <c r="E1780" s="3332">
        <v>111.05</v>
      </c>
      <c r="F1780" s="3332">
        <v>340</v>
      </c>
      <c r="G1780" s="3333">
        <v>42826</v>
      </c>
      <c r="H1780" s="3333">
        <v>43130</v>
      </c>
      <c r="I1780" s="3333">
        <v>43190</v>
      </c>
      <c r="J1780" s="3324"/>
      <c r="K1780" s="3334">
        <f t="shared" ref="K1780" si="241">E1780</f>
        <v>111.05</v>
      </c>
      <c r="L1780" s="3334">
        <f t="shared" ref="L1780" si="242">F1780/30</f>
        <v>11.333333333333334</v>
      </c>
    </row>
    <row r="1781" spans="1:12" s="3327" customFormat="1" ht="13.5" customHeight="1">
      <c r="A1781" s="3354"/>
      <c r="B1781" s="3336" t="s">
        <v>4263</v>
      </c>
      <c r="C1781" s="3336" t="s">
        <v>4331</v>
      </c>
      <c r="D1781" s="3336" t="s">
        <v>4332</v>
      </c>
      <c r="E1781" s="3338">
        <v>113.35</v>
      </c>
      <c r="F1781" s="3339">
        <v>380</v>
      </c>
      <c r="G1781" s="3340">
        <v>42461</v>
      </c>
      <c r="H1781" s="3340">
        <v>42824</v>
      </c>
      <c r="I1781" s="3340">
        <v>42825</v>
      </c>
      <c r="J1781" s="3324"/>
    </row>
    <row r="1782" spans="1:12" s="3327" customFormat="1" ht="13.5" customHeight="1">
      <c r="A1782" s="3354" t="s">
        <v>4275</v>
      </c>
      <c r="B1782" s="3331" t="s">
        <v>4263</v>
      </c>
      <c r="C1782" s="3331" t="s">
        <v>4333</v>
      </c>
      <c r="D1782" s="3331" t="s">
        <v>4332</v>
      </c>
      <c r="E1782" s="3332">
        <v>113.35</v>
      </c>
      <c r="F1782" s="3332">
        <v>380</v>
      </c>
      <c r="G1782" s="3333">
        <v>42826</v>
      </c>
      <c r="H1782" s="3333">
        <v>43130</v>
      </c>
      <c r="I1782" s="3333">
        <v>43190</v>
      </c>
      <c r="J1782" s="3324"/>
      <c r="K1782" s="3334">
        <f t="shared" ref="K1782" si="243">E1782</f>
        <v>113.35</v>
      </c>
      <c r="L1782" s="3334">
        <f t="shared" ref="L1782" si="244">F1782/30</f>
        <v>12.666666666666666</v>
      </c>
    </row>
    <row r="1783" spans="1:12" s="3327" customFormat="1" ht="13.5" customHeight="1">
      <c r="A1783" s="3354"/>
      <c r="B1783" s="3324" t="s">
        <v>4263</v>
      </c>
      <c r="C1783" s="3324" t="s">
        <v>4334</v>
      </c>
      <c r="D1783" s="3344" t="s">
        <v>4335</v>
      </c>
      <c r="E1783" s="3325">
        <v>235.7</v>
      </c>
      <c r="F1783" s="3325">
        <v>350</v>
      </c>
      <c r="G1783" s="3326">
        <v>41699</v>
      </c>
      <c r="H1783" s="3326">
        <v>42093</v>
      </c>
      <c r="I1783" s="3326">
        <v>42094</v>
      </c>
      <c r="J1783" s="3324"/>
    </row>
    <row r="1784" spans="1:12" s="3327" customFormat="1" ht="13.5" customHeight="1">
      <c r="A1784" s="3354"/>
      <c r="B1784" s="3336" t="s">
        <v>4263</v>
      </c>
      <c r="C1784" s="3336" t="s">
        <v>4334</v>
      </c>
      <c r="D1784" s="3345" t="s">
        <v>4335</v>
      </c>
      <c r="E1784" s="3339">
        <v>235.7</v>
      </c>
      <c r="F1784" s="3339">
        <v>356</v>
      </c>
      <c r="G1784" s="3340">
        <v>42095</v>
      </c>
      <c r="H1784" s="3340">
        <v>42459</v>
      </c>
      <c r="I1784" s="3340">
        <v>42460</v>
      </c>
      <c r="J1784" s="3324"/>
    </row>
    <row r="1785" spans="1:12" s="3327" customFormat="1" ht="13.5" customHeight="1">
      <c r="A1785" s="3354"/>
      <c r="B1785" s="3336" t="s">
        <v>4263</v>
      </c>
      <c r="C1785" s="3336" t="s">
        <v>4334</v>
      </c>
      <c r="D1785" s="3345" t="s">
        <v>4335</v>
      </c>
      <c r="E1785" s="3339">
        <v>235.7</v>
      </c>
      <c r="F1785" s="3339">
        <v>356</v>
      </c>
      <c r="G1785" s="3340">
        <v>42461</v>
      </c>
      <c r="H1785" s="3340">
        <v>42824</v>
      </c>
      <c r="I1785" s="3340">
        <v>42825</v>
      </c>
      <c r="J1785" s="3324"/>
    </row>
    <row r="1786" spans="1:12" s="3327" customFormat="1" ht="13.5" customHeight="1">
      <c r="A1786" s="3354" t="s">
        <v>4275</v>
      </c>
      <c r="B1786" s="3331" t="s">
        <v>4263</v>
      </c>
      <c r="C1786" s="3331" t="s">
        <v>4334</v>
      </c>
      <c r="D1786" s="3346" t="s">
        <v>4336</v>
      </c>
      <c r="E1786" s="3347">
        <v>235.7</v>
      </c>
      <c r="F1786" s="3332">
        <v>356</v>
      </c>
      <c r="G1786" s="3333">
        <v>42826</v>
      </c>
      <c r="H1786" s="3333">
        <v>43130</v>
      </c>
      <c r="I1786" s="3333">
        <v>43190</v>
      </c>
      <c r="J1786" s="3324"/>
      <c r="K1786" s="3334">
        <f t="shared" ref="K1786" si="245">E1786</f>
        <v>235.7</v>
      </c>
      <c r="L1786" s="3334">
        <f t="shared" ref="L1786" si="246">F1786/30</f>
        <v>11.866666666666667</v>
      </c>
    </row>
    <row r="1787" spans="1:12" s="3327" customFormat="1" ht="13.5" customHeight="1">
      <c r="A1787" s="3355"/>
      <c r="B1787" s="3336" t="s">
        <v>4263</v>
      </c>
      <c r="C1787" s="3336" t="s">
        <v>4337</v>
      </c>
      <c r="D1787" s="3336" t="s">
        <v>4338</v>
      </c>
      <c r="E1787" s="3339">
        <v>110.8</v>
      </c>
      <c r="F1787" s="3339">
        <v>200</v>
      </c>
      <c r="G1787" s="3340">
        <v>40634</v>
      </c>
      <c r="H1787" s="3340">
        <v>40846</v>
      </c>
      <c r="I1787" s="3340">
        <v>40999</v>
      </c>
      <c r="J1787" s="3336"/>
    </row>
    <row r="1788" spans="1:12" s="3327" customFormat="1" ht="13.5" customHeight="1">
      <c r="A1788" s="3354"/>
      <c r="B1788" s="3324" t="s">
        <v>4263</v>
      </c>
      <c r="C1788" s="3324" t="s">
        <v>4339</v>
      </c>
      <c r="D1788" s="3324" t="s">
        <v>4338</v>
      </c>
      <c r="E1788" s="3325">
        <v>110.8</v>
      </c>
      <c r="F1788" s="3325">
        <v>200</v>
      </c>
      <c r="G1788" s="3326">
        <v>41268</v>
      </c>
      <c r="H1788" s="3326">
        <v>41273</v>
      </c>
      <c r="I1788" s="3326">
        <v>41364</v>
      </c>
      <c r="J1788" s="3324"/>
    </row>
    <row r="1789" spans="1:12" s="3327" customFormat="1" ht="13.5" customHeight="1">
      <c r="A1789" s="3354"/>
      <c r="B1789" s="3324" t="s">
        <v>4263</v>
      </c>
      <c r="C1789" s="3324" t="s">
        <v>4096</v>
      </c>
      <c r="D1789" s="3344" t="s">
        <v>4340</v>
      </c>
      <c r="E1789" s="3325">
        <v>135.4</v>
      </c>
      <c r="F1789" s="3325">
        <v>260</v>
      </c>
      <c r="G1789" s="3326">
        <v>41699</v>
      </c>
      <c r="H1789" s="3326">
        <v>42093</v>
      </c>
      <c r="I1789" s="3326">
        <v>42094</v>
      </c>
      <c r="J1789" s="3324"/>
    </row>
    <row r="1790" spans="1:12" s="3327" customFormat="1" ht="13.5" customHeight="1">
      <c r="A1790" s="3354"/>
      <c r="B1790" s="3336" t="s">
        <v>4263</v>
      </c>
      <c r="C1790" s="3336" t="s">
        <v>4096</v>
      </c>
      <c r="D1790" s="3345" t="s">
        <v>4340</v>
      </c>
      <c r="E1790" s="3339">
        <v>135.4</v>
      </c>
      <c r="F1790" s="3339">
        <v>266</v>
      </c>
      <c r="G1790" s="3340">
        <v>42095</v>
      </c>
      <c r="H1790" s="3340">
        <v>42459</v>
      </c>
      <c r="I1790" s="3340">
        <v>42460</v>
      </c>
      <c r="J1790" s="3324"/>
    </row>
    <row r="1791" spans="1:12" s="3327" customFormat="1" ht="13.5" customHeight="1">
      <c r="A1791" s="3354"/>
      <c r="B1791" s="3336" t="s">
        <v>4263</v>
      </c>
      <c r="C1791" s="3336" t="s">
        <v>4096</v>
      </c>
      <c r="D1791" s="3345" t="s">
        <v>4340</v>
      </c>
      <c r="E1791" s="3339">
        <v>135.4</v>
      </c>
      <c r="F1791" s="3339">
        <v>280</v>
      </c>
      <c r="G1791" s="3340">
        <v>42461</v>
      </c>
      <c r="H1791" s="3340">
        <v>42824</v>
      </c>
      <c r="I1791" s="3340">
        <v>42825</v>
      </c>
      <c r="J1791" s="3324"/>
    </row>
    <row r="1792" spans="1:12" s="3327" customFormat="1" ht="13.5" customHeight="1">
      <c r="A1792" s="3354"/>
      <c r="B1792" s="3331" t="s">
        <v>4263</v>
      </c>
      <c r="C1792" s="3331" t="s">
        <v>4096</v>
      </c>
      <c r="D1792" s="3346" t="s">
        <v>4341</v>
      </c>
      <c r="E1792" s="3332">
        <v>135.4</v>
      </c>
      <c r="F1792" s="3332">
        <v>300</v>
      </c>
      <c r="G1792" s="3333">
        <v>42826</v>
      </c>
      <c r="H1792" s="3333">
        <v>42916</v>
      </c>
      <c r="I1792" s="3333">
        <v>43190</v>
      </c>
      <c r="J1792" s="3324"/>
      <c r="K1792" s="3334">
        <f t="shared" ref="K1792:K1793" si="247">E1792</f>
        <v>135.4</v>
      </c>
      <c r="L1792" s="3334">
        <f t="shared" ref="L1792:L1793" si="248">F1792/30</f>
        <v>10</v>
      </c>
    </row>
    <row r="1793" spans="1:12" s="3327" customFormat="1" ht="13.5" customHeight="1">
      <c r="A1793" s="3354" t="s">
        <v>4275</v>
      </c>
      <c r="B1793" s="3331" t="s">
        <v>4263</v>
      </c>
      <c r="C1793" s="3331" t="s">
        <v>4096</v>
      </c>
      <c r="D1793" s="3346" t="s">
        <v>4341</v>
      </c>
      <c r="E1793" s="3332">
        <v>135.4</v>
      </c>
      <c r="F1793" s="3332">
        <v>300</v>
      </c>
      <c r="G1793" s="3333">
        <v>42917</v>
      </c>
      <c r="H1793" s="3333">
        <v>43130</v>
      </c>
      <c r="I1793" s="3333">
        <v>43190</v>
      </c>
      <c r="J1793" s="3324"/>
      <c r="K1793" s="3334">
        <f t="shared" si="247"/>
        <v>135.4</v>
      </c>
      <c r="L1793" s="3334">
        <f t="shared" si="248"/>
        <v>10</v>
      </c>
    </row>
    <row r="1794" spans="1:12" s="3327" customFormat="1" ht="13.5" customHeight="1">
      <c r="A1794" s="3355"/>
      <c r="B1794" s="3372" t="s">
        <v>4263</v>
      </c>
      <c r="C1794" s="3372" t="s">
        <v>4164</v>
      </c>
      <c r="D1794" s="3336" t="s">
        <v>4342</v>
      </c>
      <c r="E1794" s="3339">
        <v>60</v>
      </c>
      <c r="F1794" s="3339">
        <v>310</v>
      </c>
      <c r="G1794" s="3340">
        <v>41050</v>
      </c>
      <c r="H1794" s="3340">
        <v>41363</v>
      </c>
      <c r="I1794" s="3340">
        <v>41364</v>
      </c>
      <c r="J1794" s="3336"/>
    </row>
    <row r="1795" spans="1:12" s="3327" customFormat="1" ht="13.5" customHeight="1">
      <c r="A1795" s="3355"/>
      <c r="B1795" s="3367" t="s">
        <v>4263</v>
      </c>
      <c r="C1795" s="3367" t="s">
        <v>4343</v>
      </c>
      <c r="D1795" s="3336" t="s">
        <v>4283</v>
      </c>
      <c r="E1795" s="3339">
        <v>63.9</v>
      </c>
      <c r="F1795" s="3339">
        <v>310</v>
      </c>
      <c r="G1795" s="3340">
        <v>41374</v>
      </c>
      <c r="H1795" s="3340">
        <v>41698</v>
      </c>
      <c r="I1795" s="3340">
        <v>41729</v>
      </c>
      <c r="J1795" s="3336"/>
    </row>
    <row r="1796" spans="1:12" s="3327" customFormat="1" ht="13.5" customHeight="1">
      <c r="A1796" s="3354"/>
      <c r="B1796" s="3367" t="s">
        <v>4263</v>
      </c>
      <c r="C1796" s="3336" t="s">
        <v>4168</v>
      </c>
      <c r="D1796" s="3336" t="s">
        <v>4344</v>
      </c>
      <c r="E1796" s="3339">
        <v>94.3</v>
      </c>
      <c r="F1796" s="3339">
        <v>275</v>
      </c>
      <c r="G1796" s="3340">
        <v>41699</v>
      </c>
      <c r="H1796" s="3340">
        <v>42063</v>
      </c>
      <c r="I1796" s="3340">
        <v>42094</v>
      </c>
      <c r="J1796" s="3324"/>
    </row>
    <row r="1797" spans="1:12" s="3327" customFormat="1" ht="14.25" customHeight="1">
      <c r="A1797" s="3354"/>
      <c r="B1797" s="3324" t="s">
        <v>4263</v>
      </c>
      <c r="C1797" s="3324" t="s">
        <v>4345</v>
      </c>
      <c r="D1797" s="3324" t="s">
        <v>4344</v>
      </c>
      <c r="E1797" s="3325">
        <v>94.3</v>
      </c>
      <c r="F1797" s="3325">
        <v>280</v>
      </c>
      <c r="G1797" s="3326">
        <v>42064</v>
      </c>
      <c r="H1797" s="3326">
        <v>42093</v>
      </c>
      <c r="I1797" s="3326">
        <v>42094</v>
      </c>
      <c r="J1797" s="3324"/>
    </row>
    <row r="1798" spans="1:12" s="3327" customFormat="1" ht="13.5" customHeight="1">
      <c r="A1798" s="3354"/>
      <c r="B1798" s="3336" t="s">
        <v>4263</v>
      </c>
      <c r="C1798" s="3372" t="s">
        <v>4345</v>
      </c>
      <c r="D1798" s="3336" t="s">
        <v>4344</v>
      </c>
      <c r="E1798" s="3339">
        <v>94.3</v>
      </c>
      <c r="F1798" s="3339">
        <v>280</v>
      </c>
      <c r="G1798" s="3340">
        <v>42095</v>
      </c>
      <c r="H1798" s="3340">
        <v>42459</v>
      </c>
      <c r="I1798" s="3340">
        <v>42460</v>
      </c>
      <c r="J1798" s="3324"/>
    </row>
    <row r="1799" spans="1:12" s="3327" customFormat="1" ht="13.5" customHeight="1">
      <c r="A1799" s="3354"/>
      <c r="B1799" s="3379" t="s">
        <v>4263</v>
      </c>
      <c r="C1799" s="3379" t="s">
        <v>4346</v>
      </c>
      <c r="D1799" s="3324" t="s">
        <v>4347</v>
      </c>
      <c r="E1799" s="3325">
        <v>62.5</v>
      </c>
      <c r="F1799" s="3325">
        <v>300</v>
      </c>
      <c r="G1799" s="3326">
        <v>40406</v>
      </c>
      <c r="H1799" s="3326">
        <v>40632</v>
      </c>
      <c r="I1799" s="3326">
        <v>40632</v>
      </c>
      <c r="J1799" s="3324"/>
    </row>
    <row r="1800" spans="1:12" s="3327" customFormat="1" ht="13.5" customHeight="1">
      <c r="A1800" s="3354"/>
      <c r="B1800" s="3384" t="s">
        <v>4263</v>
      </c>
      <c r="C1800" s="3384" t="s">
        <v>4277</v>
      </c>
      <c r="D1800" s="3324" t="s">
        <v>4302</v>
      </c>
      <c r="E1800" s="3325">
        <v>62.5</v>
      </c>
      <c r="F1800" s="3325">
        <v>310</v>
      </c>
      <c r="G1800" s="3326">
        <v>41365</v>
      </c>
      <c r="H1800" s="3326">
        <v>41698</v>
      </c>
      <c r="I1800" s="3326">
        <v>41729</v>
      </c>
      <c r="J1800" s="3324"/>
    </row>
    <row r="1801" spans="1:12" s="3327" customFormat="1" ht="13.5" customHeight="1">
      <c r="A1801" s="3354"/>
      <c r="B1801" s="3324" t="s">
        <v>4263</v>
      </c>
      <c r="C1801" s="3324" t="s">
        <v>4110</v>
      </c>
      <c r="D1801" s="3324" t="s">
        <v>4348</v>
      </c>
      <c r="E1801" s="3325">
        <v>91.5</v>
      </c>
      <c r="F1801" s="3325">
        <v>300</v>
      </c>
      <c r="G1801" s="3326">
        <v>41699</v>
      </c>
      <c r="H1801" s="3326">
        <v>42093</v>
      </c>
      <c r="I1801" s="3326">
        <v>42094</v>
      </c>
      <c r="J1801" s="3324"/>
    </row>
    <row r="1802" spans="1:12" s="3327" customFormat="1" ht="12.75" customHeight="1">
      <c r="A1802" s="3354"/>
      <c r="B1802" s="3336" t="s">
        <v>4263</v>
      </c>
      <c r="C1802" s="3336" t="s">
        <v>4110</v>
      </c>
      <c r="D1802" s="3336" t="s">
        <v>4348</v>
      </c>
      <c r="E1802" s="3339">
        <v>91.5</v>
      </c>
      <c r="F1802" s="3339">
        <v>306</v>
      </c>
      <c r="G1802" s="3340">
        <v>42095</v>
      </c>
      <c r="H1802" s="3340">
        <v>42459</v>
      </c>
      <c r="I1802" s="3340">
        <v>42460</v>
      </c>
      <c r="J1802" s="3324"/>
    </row>
    <row r="1803" spans="1:12" s="3327" customFormat="1" ht="12.75" customHeight="1">
      <c r="A1803" s="3354"/>
      <c r="B1803" s="3336" t="s">
        <v>4263</v>
      </c>
      <c r="C1803" s="3336" t="s">
        <v>4345</v>
      </c>
      <c r="D1803" s="3336" t="s">
        <v>4349</v>
      </c>
      <c r="E1803" s="3339">
        <v>185.8</v>
      </c>
      <c r="F1803" s="3339">
        <v>300</v>
      </c>
      <c r="G1803" s="3326">
        <v>42461</v>
      </c>
      <c r="H1803" s="3326">
        <v>42824</v>
      </c>
      <c r="I1803" s="3326">
        <v>42825</v>
      </c>
      <c r="J1803" s="3324"/>
    </row>
    <row r="1804" spans="1:12" s="3327" customFormat="1" ht="14.25" customHeight="1">
      <c r="A1804" s="3354"/>
      <c r="B1804" s="3331" t="s">
        <v>4263</v>
      </c>
      <c r="C1804" s="3331" t="s">
        <v>4345</v>
      </c>
      <c r="D1804" s="3331" t="s">
        <v>4349</v>
      </c>
      <c r="E1804" s="3332">
        <v>185.8</v>
      </c>
      <c r="F1804" s="3332">
        <v>310</v>
      </c>
      <c r="G1804" s="3333">
        <v>42826</v>
      </c>
      <c r="H1804" s="3333">
        <v>42885</v>
      </c>
      <c r="I1804" s="3333">
        <v>43190</v>
      </c>
      <c r="J1804" s="3324"/>
      <c r="K1804" s="3334">
        <f t="shared" ref="K1804:K1806" si="249">E1804</f>
        <v>185.8</v>
      </c>
      <c r="L1804" s="3334">
        <f t="shared" ref="L1804:L1806" si="250">F1804/30</f>
        <v>10.333333333333334</v>
      </c>
    </row>
    <row r="1805" spans="1:12" s="3327" customFormat="1" ht="12.75" customHeight="1">
      <c r="A1805" s="3354" t="s">
        <v>4275</v>
      </c>
      <c r="B1805" s="3331" t="s">
        <v>4263</v>
      </c>
      <c r="C1805" s="3331" t="s">
        <v>4345</v>
      </c>
      <c r="D1805" s="3331" t="s">
        <v>4348</v>
      </c>
      <c r="E1805" s="3332">
        <v>85.61</v>
      </c>
      <c r="F1805" s="3332">
        <v>310</v>
      </c>
      <c r="G1805" s="3333">
        <v>42887</v>
      </c>
      <c r="H1805" s="3333">
        <v>43130</v>
      </c>
      <c r="I1805" s="3333">
        <v>43190</v>
      </c>
      <c r="J1805" s="3324"/>
      <c r="K1805" s="3334">
        <f t="shared" si="249"/>
        <v>85.61</v>
      </c>
      <c r="L1805" s="3334">
        <f t="shared" si="250"/>
        <v>10.333333333333334</v>
      </c>
    </row>
    <row r="1806" spans="1:12" s="3327" customFormat="1" ht="12.75" customHeight="1">
      <c r="A1806" s="3354" t="s">
        <v>4275</v>
      </c>
      <c r="B1806" s="3331" t="s">
        <v>4263</v>
      </c>
      <c r="C1806" s="3331" t="s">
        <v>4350</v>
      </c>
      <c r="D1806" s="3331" t="s">
        <v>4344</v>
      </c>
      <c r="E1806" s="3332">
        <v>100.18</v>
      </c>
      <c r="F1806" s="3332">
        <v>320</v>
      </c>
      <c r="G1806" s="3333">
        <v>42887</v>
      </c>
      <c r="H1806" s="3333">
        <v>43130</v>
      </c>
      <c r="I1806" s="3333">
        <v>43190</v>
      </c>
      <c r="J1806" s="3324"/>
      <c r="K1806" s="3334">
        <f t="shared" si="249"/>
        <v>100.18</v>
      </c>
      <c r="L1806" s="3334">
        <f t="shared" si="250"/>
        <v>10.666666666666666</v>
      </c>
    </row>
    <row r="1807" spans="1:12" s="3327" customFormat="1" ht="12.75" customHeight="1">
      <c r="A1807" s="3354"/>
      <c r="B1807" s="3324" t="s">
        <v>4263</v>
      </c>
      <c r="C1807" s="3324" t="s">
        <v>4351</v>
      </c>
      <c r="D1807" s="3324" t="s">
        <v>4304</v>
      </c>
      <c r="E1807" s="3325">
        <v>105.4</v>
      </c>
      <c r="F1807" s="3325">
        <v>300</v>
      </c>
      <c r="G1807" s="3326">
        <v>41365</v>
      </c>
      <c r="H1807" s="3326">
        <v>41686</v>
      </c>
      <c r="I1807" s="3326">
        <v>41729</v>
      </c>
      <c r="J1807" s="3324"/>
    </row>
    <row r="1808" spans="1:12" s="3327" customFormat="1" ht="12.75" customHeight="1">
      <c r="A1808" s="3354"/>
      <c r="B1808" s="3324" t="s">
        <v>4263</v>
      </c>
      <c r="C1808" s="3324" t="s">
        <v>4066</v>
      </c>
      <c r="D1808" s="3324" t="s">
        <v>4352</v>
      </c>
      <c r="E1808" s="3325">
        <v>199.9</v>
      </c>
      <c r="F1808" s="3325">
        <v>275</v>
      </c>
      <c r="G1808" s="3326">
        <v>41699</v>
      </c>
      <c r="H1808" s="3326">
        <v>42093</v>
      </c>
      <c r="I1808" s="3326">
        <v>42094</v>
      </c>
      <c r="J1808" s="3324"/>
    </row>
    <row r="1809" spans="1:12" s="3327" customFormat="1" ht="12.75" customHeight="1">
      <c r="A1809" s="3354"/>
      <c r="B1809" s="3336" t="s">
        <v>4263</v>
      </c>
      <c r="C1809" s="3336" t="s">
        <v>4269</v>
      </c>
      <c r="D1809" s="3336" t="s">
        <v>4352</v>
      </c>
      <c r="E1809" s="3339">
        <v>199.9</v>
      </c>
      <c r="F1809" s="3339">
        <v>280</v>
      </c>
      <c r="G1809" s="3340">
        <v>42117</v>
      </c>
      <c r="H1809" s="3340">
        <v>42261</v>
      </c>
      <c r="I1809" s="3340">
        <v>42460</v>
      </c>
      <c r="J1809" s="3324"/>
    </row>
    <row r="1810" spans="1:12" s="3327" customFormat="1" ht="12.75" customHeight="1">
      <c r="A1810" s="3354"/>
      <c r="B1810" s="3336" t="s">
        <v>4263</v>
      </c>
      <c r="C1810" s="3336" t="s">
        <v>4096</v>
      </c>
      <c r="D1810" s="3336" t="s">
        <v>4352</v>
      </c>
      <c r="E1810" s="3339">
        <v>199.9</v>
      </c>
      <c r="F1810" s="3339">
        <v>280</v>
      </c>
      <c r="G1810" s="3340">
        <v>42262</v>
      </c>
      <c r="H1810" s="3340">
        <v>42459</v>
      </c>
      <c r="I1810" s="3340">
        <v>42460</v>
      </c>
      <c r="J1810" s="3324"/>
    </row>
    <row r="1811" spans="1:12" s="3327" customFormat="1" ht="12.75" customHeight="1">
      <c r="A1811" s="3354"/>
      <c r="B1811" s="3336" t="s">
        <v>4263</v>
      </c>
      <c r="C1811" s="3336" t="s">
        <v>4096</v>
      </c>
      <c r="D1811" s="3336" t="s">
        <v>4352</v>
      </c>
      <c r="E1811" s="3339">
        <v>199.9</v>
      </c>
      <c r="F1811" s="3339">
        <v>298</v>
      </c>
      <c r="G1811" s="3340">
        <v>42461</v>
      </c>
      <c r="H1811" s="3340">
        <v>42526</v>
      </c>
      <c r="I1811" s="3340">
        <v>42825</v>
      </c>
      <c r="J1811" s="3324"/>
    </row>
    <row r="1812" spans="1:12" s="3327" customFormat="1" ht="12.75" customHeight="1">
      <c r="A1812" s="3354"/>
      <c r="B1812" s="3336" t="s">
        <v>4263</v>
      </c>
      <c r="C1812" s="3336" t="s">
        <v>4138</v>
      </c>
      <c r="D1812" s="3336" t="s">
        <v>4353</v>
      </c>
      <c r="E1812" s="3339">
        <v>199.9</v>
      </c>
      <c r="F1812" s="3339">
        <v>300</v>
      </c>
      <c r="G1812" s="3340">
        <v>42527</v>
      </c>
      <c r="H1812" s="3340">
        <v>42824</v>
      </c>
      <c r="I1812" s="3340">
        <v>42825</v>
      </c>
      <c r="J1812" s="3324"/>
    </row>
    <row r="1813" spans="1:12" s="3327" customFormat="1" ht="12.75" customHeight="1">
      <c r="A1813" s="3354"/>
      <c r="B1813" s="3331" t="s">
        <v>4263</v>
      </c>
      <c r="C1813" s="3331" t="s">
        <v>4138</v>
      </c>
      <c r="D1813" s="3331" t="s">
        <v>4354</v>
      </c>
      <c r="E1813" s="3332">
        <v>199.9</v>
      </c>
      <c r="F1813" s="3332">
        <v>300</v>
      </c>
      <c r="G1813" s="3333">
        <v>42826</v>
      </c>
      <c r="H1813" s="3333">
        <v>42983</v>
      </c>
      <c r="I1813" s="3333">
        <v>43190</v>
      </c>
      <c r="J1813" s="3324"/>
      <c r="K1813" s="3334">
        <f t="shared" ref="K1813:K1814" si="251">E1813</f>
        <v>199.9</v>
      </c>
      <c r="L1813" s="3334">
        <f t="shared" ref="L1813:L1814" si="252">F1813/30</f>
        <v>10</v>
      </c>
    </row>
    <row r="1814" spans="1:12" s="3327" customFormat="1" ht="12.75" customHeight="1">
      <c r="A1814" s="3354" t="s">
        <v>4275</v>
      </c>
      <c r="B1814" s="3331" t="s">
        <v>4263</v>
      </c>
      <c r="C1814" s="3331" t="s">
        <v>4138</v>
      </c>
      <c r="D1814" s="3331" t="s">
        <v>4354</v>
      </c>
      <c r="E1814" s="3332">
        <v>199.9</v>
      </c>
      <c r="F1814" s="3332">
        <v>300</v>
      </c>
      <c r="G1814" s="3333">
        <v>42984</v>
      </c>
      <c r="H1814" s="3333">
        <v>43130</v>
      </c>
      <c r="I1814" s="3333">
        <v>43190</v>
      </c>
      <c r="J1814" s="3324"/>
      <c r="K1814" s="3334">
        <f t="shared" si="251"/>
        <v>199.9</v>
      </c>
      <c r="L1814" s="3334">
        <f t="shared" si="252"/>
        <v>10</v>
      </c>
    </row>
    <row r="1815" spans="1:12" s="3327" customFormat="1" ht="13.5" customHeight="1">
      <c r="A1815" s="3355"/>
      <c r="B1815" s="3336" t="s">
        <v>4263</v>
      </c>
      <c r="C1815" s="3336" t="s">
        <v>3873</v>
      </c>
      <c r="D1815" s="3336" t="s">
        <v>4355</v>
      </c>
      <c r="E1815" s="3339">
        <v>51.9</v>
      </c>
      <c r="F1815" s="3339">
        <v>310</v>
      </c>
      <c r="G1815" s="3340">
        <v>41377</v>
      </c>
      <c r="H1815" s="3340">
        <v>41698</v>
      </c>
      <c r="I1815" s="3340">
        <v>41729</v>
      </c>
      <c r="J1815" s="3336"/>
    </row>
    <row r="1816" spans="1:12" s="3327" customFormat="1" ht="13.5" customHeight="1">
      <c r="A1816" s="3355"/>
      <c r="B1816" s="3336" t="s">
        <v>4263</v>
      </c>
      <c r="C1816" s="3336" t="s">
        <v>4210</v>
      </c>
      <c r="D1816" s="3336" t="s">
        <v>4354</v>
      </c>
      <c r="E1816" s="3339">
        <v>42</v>
      </c>
      <c r="F1816" s="3339">
        <v>310</v>
      </c>
      <c r="G1816" s="3340">
        <v>41379</v>
      </c>
      <c r="H1816" s="3340">
        <v>41698</v>
      </c>
      <c r="I1816" s="3340">
        <v>41729</v>
      </c>
      <c r="J1816" s="3336"/>
    </row>
    <row r="1817" spans="1:12" s="3327" customFormat="1" ht="13.5" customHeight="1">
      <c r="A1817" s="3355"/>
      <c r="B1817" s="3336" t="s">
        <v>4263</v>
      </c>
      <c r="C1817" s="3336" t="s">
        <v>4179</v>
      </c>
      <c r="D1817" s="3336" t="s">
        <v>4356</v>
      </c>
      <c r="E1817" s="3339">
        <v>175.6</v>
      </c>
      <c r="F1817" s="3339">
        <v>330</v>
      </c>
      <c r="G1817" s="3340">
        <v>41000</v>
      </c>
      <c r="H1817" s="3340">
        <v>41363</v>
      </c>
      <c r="I1817" s="3340">
        <v>41364</v>
      </c>
      <c r="J1817" s="3336"/>
    </row>
    <row r="1818" spans="1:12" s="3327" customFormat="1" ht="13.5" customHeight="1">
      <c r="A1818" s="3355"/>
      <c r="B1818" s="3336" t="s">
        <v>4263</v>
      </c>
      <c r="C1818" s="3336" t="s">
        <v>4132</v>
      </c>
      <c r="D1818" s="3336" t="s">
        <v>4357</v>
      </c>
      <c r="E1818" s="3339">
        <v>61.7</v>
      </c>
      <c r="F1818" s="3339">
        <v>330</v>
      </c>
      <c r="G1818" s="3340">
        <v>41000</v>
      </c>
      <c r="H1818" s="3340">
        <v>41363</v>
      </c>
      <c r="I1818" s="3340">
        <v>41364</v>
      </c>
      <c r="J1818" s="3336"/>
    </row>
    <row r="1819" spans="1:12" s="3327" customFormat="1" ht="13.5" customHeight="1">
      <c r="A1819" s="3355"/>
      <c r="B1819" s="3336" t="s">
        <v>4263</v>
      </c>
      <c r="C1819" s="3336" t="s">
        <v>4358</v>
      </c>
      <c r="D1819" s="3336" t="s">
        <v>4359</v>
      </c>
      <c r="E1819" s="3339">
        <v>62.8</v>
      </c>
      <c r="F1819" s="3339">
        <v>310</v>
      </c>
      <c r="G1819" s="3340">
        <v>41000</v>
      </c>
      <c r="H1819" s="3340">
        <v>41363</v>
      </c>
      <c r="I1819" s="3340">
        <v>41364</v>
      </c>
      <c r="J1819" s="3336"/>
    </row>
    <row r="1820" spans="1:12" s="3327" customFormat="1" ht="13.5" customHeight="1">
      <c r="A1820" s="3355"/>
      <c r="B1820" s="3336" t="s">
        <v>4263</v>
      </c>
      <c r="C1820" s="3336" t="s">
        <v>4230</v>
      </c>
      <c r="D1820" s="3336" t="s">
        <v>4360</v>
      </c>
      <c r="E1820" s="3339">
        <v>61.5</v>
      </c>
      <c r="F1820" s="3339">
        <v>310</v>
      </c>
      <c r="G1820" s="3340">
        <v>40634</v>
      </c>
      <c r="H1820" s="3340">
        <v>40877</v>
      </c>
      <c r="I1820" s="3340">
        <v>40999</v>
      </c>
      <c r="J1820" s="3336"/>
    </row>
    <row r="1821" spans="1:12" s="3327" customFormat="1" ht="13.5" customHeight="1">
      <c r="A1821" s="3355"/>
      <c r="B1821" s="3336" t="s">
        <v>4263</v>
      </c>
      <c r="C1821" s="3336" t="s">
        <v>4230</v>
      </c>
      <c r="D1821" s="3336" t="s">
        <v>4360</v>
      </c>
      <c r="E1821" s="3339">
        <v>61.5</v>
      </c>
      <c r="F1821" s="3339">
        <v>310</v>
      </c>
      <c r="G1821" s="3340">
        <v>41000</v>
      </c>
      <c r="H1821" s="3340">
        <v>41363</v>
      </c>
      <c r="I1821" s="3340">
        <v>41364</v>
      </c>
      <c r="J1821" s="3336"/>
    </row>
    <row r="1822" spans="1:12" s="3327" customFormat="1" ht="13.5" customHeight="1">
      <c r="A1822" s="3354"/>
      <c r="B1822" s="3324" t="s">
        <v>4263</v>
      </c>
      <c r="C1822" s="3324" t="s">
        <v>4104</v>
      </c>
      <c r="D1822" s="3324" t="s">
        <v>4361</v>
      </c>
      <c r="E1822" s="3325">
        <v>145.6</v>
      </c>
      <c r="F1822" s="3325">
        <v>300</v>
      </c>
      <c r="G1822" s="3326">
        <v>41699</v>
      </c>
      <c r="H1822" s="3326">
        <v>42093</v>
      </c>
      <c r="I1822" s="3326">
        <v>42094</v>
      </c>
      <c r="J1822" s="3324"/>
    </row>
    <row r="1823" spans="1:12" s="3327" customFormat="1" ht="12.75" customHeight="1">
      <c r="A1823" s="3354"/>
      <c r="B1823" s="3336" t="s">
        <v>4263</v>
      </c>
      <c r="C1823" s="3336" t="s">
        <v>4104</v>
      </c>
      <c r="D1823" s="3336" t="s">
        <v>4361</v>
      </c>
      <c r="E1823" s="3339">
        <v>145.6</v>
      </c>
      <c r="F1823" s="3339">
        <v>306</v>
      </c>
      <c r="G1823" s="3340">
        <v>42095</v>
      </c>
      <c r="H1823" s="3340">
        <v>42459</v>
      </c>
      <c r="I1823" s="3340">
        <v>42460</v>
      </c>
      <c r="J1823" s="3324"/>
    </row>
    <row r="1824" spans="1:12" s="3327" customFormat="1" ht="13.5" customHeight="1">
      <c r="A1824" s="3354"/>
      <c r="B1824" s="3336" t="s">
        <v>4263</v>
      </c>
      <c r="C1824" s="3336" t="s">
        <v>4104</v>
      </c>
      <c r="D1824" s="3336" t="s">
        <v>4361</v>
      </c>
      <c r="E1824" s="3339">
        <v>145.6</v>
      </c>
      <c r="F1824" s="3339">
        <v>315</v>
      </c>
      <c r="G1824" s="3340">
        <v>42461</v>
      </c>
      <c r="H1824" s="3340">
        <v>42824</v>
      </c>
      <c r="I1824" s="3340">
        <v>42825</v>
      </c>
      <c r="J1824" s="3324"/>
    </row>
    <row r="1825" spans="1:12" s="3327" customFormat="1" ht="13.5" customHeight="1">
      <c r="A1825" s="3354" t="s">
        <v>4275</v>
      </c>
      <c r="B1825" s="3331" t="s">
        <v>4263</v>
      </c>
      <c r="C1825" s="3331" t="s">
        <v>4362</v>
      </c>
      <c r="D1825" s="3331" t="s">
        <v>4363</v>
      </c>
      <c r="E1825" s="3332">
        <v>145.6</v>
      </c>
      <c r="F1825" s="3332">
        <v>320</v>
      </c>
      <c r="G1825" s="3333">
        <v>42826</v>
      </c>
      <c r="H1825" s="3333">
        <v>43130</v>
      </c>
      <c r="I1825" s="3333">
        <v>43190</v>
      </c>
      <c r="J1825" s="3324"/>
      <c r="K1825" s="3334">
        <f t="shared" ref="K1825" si="253">E1825</f>
        <v>145.6</v>
      </c>
      <c r="L1825" s="3334">
        <f t="shared" ref="L1825" si="254">F1825/30</f>
        <v>10.666666666666666</v>
      </c>
    </row>
    <row r="1826" spans="1:12" s="3327" customFormat="1" ht="13.5" customHeight="1">
      <c r="A1826" s="3355"/>
      <c r="B1826" s="3336" t="s">
        <v>4263</v>
      </c>
      <c r="C1826" s="3336" t="s">
        <v>4364</v>
      </c>
      <c r="D1826" s="3336" t="s">
        <v>4365</v>
      </c>
      <c r="E1826" s="3339">
        <v>63.5</v>
      </c>
      <c r="F1826" s="3339">
        <v>310</v>
      </c>
      <c r="G1826" s="3340">
        <v>41000</v>
      </c>
      <c r="H1826" s="3340">
        <v>41363</v>
      </c>
      <c r="I1826" s="3340">
        <v>41364</v>
      </c>
      <c r="J1826" s="3336"/>
    </row>
    <row r="1827" spans="1:12" s="3327" customFormat="1" ht="13.5" customHeight="1">
      <c r="A1827" s="3354"/>
      <c r="B1827" s="3324" t="s">
        <v>4263</v>
      </c>
      <c r="C1827" s="3324" t="s">
        <v>4364</v>
      </c>
      <c r="D1827" s="3324" t="s">
        <v>4366</v>
      </c>
      <c r="E1827" s="3325">
        <v>63.5</v>
      </c>
      <c r="F1827" s="3325">
        <v>310</v>
      </c>
      <c r="G1827" s="3326">
        <v>41365</v>
      </c>
      <c r="H1827" s="3326">
        <v>41698</v>
      </c>
      <c r="I1827" s="3326">
        <v>41729</v>
      </c>
      <c r="J1827" s="3324"/>
    </row>
    <row r="1828" spans="1:12" s="3327" customFormat="1" ht="13.5" customHeight="1">
      <c r="A1828" s="3355"/>
      <c r="B1828" s="3336" t="s">
        <v>4263</v>
      </c>
      <c r="C1828" s="3336" t="s">
        <v>4208</v>
      </c>
      <c r="D1828" s="3336" t="s">
        <v>4367</v>
      </c>
      <c r="E1828" s="3339">
        <v>113.3</v>
      </c>
      <c r="F1828" s="3339">
        <v>330</v>
      </c>
      <c r="G1828" s="3340">
        <v>41000</v>
      </c>
      <c r="H1828" s="3340">
        <v>41363</v>
      </c>
      <c r="I1828" s="3340">
        <v>41364</v>
      </c>
      <c r="J1828" s="3336"/>
    </row>
    <row r="1829" spans="1:12" s="3327" customFormat="1" ht="13.5" customHeight="1">
      <c r="A1829" s="3354"/>
      <c r="B1829" s="3324" t="s">
        <v>4263</v>
      </c>
      <c r="C1829" s="3324" t="s">
        <v>4368</v>
      </c>
      <c r="D1829" s="3324" t="s">
        <v>4369</v>
      </c>
      <c r="E1829" s="3325">
        <v>113.3</v>
      </c>
      <c r="F1829" s="3325">
        <v>350</v>
      </c>
      <c r="G1829" s="3326">
        <v>41699</v>
      </c>
      <c r="H1829" s="3326">
        <v>41942</v>
      </c>
      <c r="I1829" s="3326">
        <v>42094</v>
      </c>
      <c r="J1829" s="3324"/>
    </row>
    <row r="1830" spans="1:12" s="3327" customFormat="1" ht="13.5" customHeight="1">
      <c r="A1830" s="3354"/>
      <c r="B1830" s="3324" t="s">
        <v>4263</v>
      </c>
      <c r="C1830" s="3324" t="s">
        <v>4368</v>
      </c>
      <c r="D1830" s="3324" t="s">
        <v>4369</v>
      </c>
      <c r="E1830" s="3325">
        <v>113.3</v>
      </c>
      <c r="F1830" s="3325">
        <v>350</v>
      </c>
      <c r="G1830" s="3326">
        <v>41944</v>
      </c>
      <c r="H1830" s="3326">
        <v>42093</v>
      </c>
      <c r="I1830" s="3326">
        <v>42094</v>
      </c>
      <c r="J1830" s="3324"/>
    </row>
    <row r="1831" spans="1:12" s="3327" customFormat="1" ht="13.5" customHeight="1">
      <c r="A1831" s="3354"/>
      <c r="B1831" s="3336" t="s">
        <v>4263</v>
      </c>
      <c r="C1831" s="3336" t="s">
        <v>4368</v>
      </c>
      <c r="D1831" s="3336" t="s">
        <v>4369</v>
      </c>
      <c r="E1831" s="3339">
        <v>113.3</v>
      </c>
      <c r="F1831" s="3339">
        <v>356</v>
      </c>
      <c r="G1831" s="3340">
        <v>42095</v>
      </c>
      <c r="H1831" s="3340">
        <v>42246</v>
      </c>
      <c r="I1831" s="3340">
        <v>42460</v>
      </c>
      <c r="J1831" s="3324"/>
    </row>
    <row r="1832" spans="1:12" s="3327" customFormat="1" ht="13.5" customHeight="1">
      <c r="A1832" s="3354"/>
      <c r="B1832" s="3336" t="s">
        <v>4263</v>
      </c>
      <c r="C1832" s="3336" t="s">
        <v>4370</v>
      </c>
      <c r="D1832" s="3336" t="s">
        <v>4369</v>
      </c>
      <c r="E1832" s="3339">
        <v>113.3</v>
      </c>
      <c r="F1832" s="3339">
        <v>356</v>
      </c>
      <c r="G1832" s="3340">
        <v>42248</v>
      </c>
      <c r="H1832" s="3340">
        <v>42459</v>
      </c>
      <c r="I1832" s="3340">
        <v>42460</v>
      </c>
      <c r="J1832" s="3324"/>
    </row>
    <row r="1833" spans="1:12" s="3327" customFormat="1" ht="13.5" customHeight="1">
      <c r="A1833" s="3354"/>
      <c r="B1833" s="3336" t="s">
        <v>4263</v>
      </c>
      <c r="C1833" s="3336" t="s">
        <v>4370</v>
      </c>
      <c r="D1833" s="3336" t="s">
        <v>4369</v>
      </c>
      <c r="E1833" s="3339">
        <v>113.3</v>
      </c>
      <c r="F1833" s="3339">
        <v>360</v>
      </c>
      <c r="G1833" s="3340">
        <v>42461</v>
      </c>
      <c r="H1833" s="3340">
        <v>42581</v>
      </c>
      <c r="I1833" s="3340">
        <v>42825</v>
      </c>
      <c r="J1833" s="3324"/>
    </row>
    <row r="1834" spans="1:12" s="3327" customFormat="1" ht="13.5" customHeight="1">
      <c r="A1834" s="3354"/>
      <c r="B1834" s="3336" t="s">
        <v>4263</v>
      </c>
      <c r="C1834" s="3336" t="s">
        <v>4370</v>
      </c>
      <c r="D1834" s="3336" t="s">
        <v>4369</v>
      </c>
      <c r="E1834" s="3339">
        <v>113.3</v>
      </c>
      <c r="F1834" s="3339">
        <v>360</v>
      </c>
      <c r="G1834" s="3340">
        <v>42583</v>
      </c>
      <c r="H1834" s="3340">
        <v>42824</v>
      </c>
      <c r="I1834" s="3340">
        <v>42825</v>
      </c>
      <c r="J1834" s="3324"/>
    </row>
    <row r="1835" spans="1:12" s="3327" customFormat="1" ht="13.5" customHeight="1">
      <c r="A1835" s="3354" t="s">
        <v>4275</v>
      </c>
      <c r="B1835" s="3331" t="s">
        <v>4263</v>
      </c>
      <c r="C1835" s="3331" t="s">
        <v>4370</v>
      </c>
      <c r="D1835" s="3331" t="s">
        <v>4371</v>
      </c>
      <c r="E1835" s="3332">
        <v>113.3</v>
      </c>
      <c r="F1835" s="3332">
        <v>360</v>
      </c>
      <c r="G1835" s="3333">
        <v>42826</v>
      </c>
      <c r="H1835" s="3333">
        <v>43130</v>
      </c>
      <c r="I1835" s="3333">
        <v>43190</v>
      </c>
      <c r="J1835" s="3324"/>
      <c r="K1835" s="3334">
        <f t="shared" ref="K1835" si="255">E1835</f>
        <v>113.3</v>
      </c>
      <c r="L1835" s="3334">
        <f t="shared" ref="L1835" si="256">F1835/30</f>
        <v>12</v>
      </c>
    </row>
    <row r="1836" spans="1:12" s="3327" customFormat="1" ht="13.5" customHeight="1">
      <c r="A1836" s="3354"/>
      <c r="B1836" s="3324" t="s">
        <v>4263</v>
      </c>
      <c r="C1836" s="3324" t="s">
        <v>4372</v>
      </c>
      <c r="D1836" s="3324" t="s">
        <v>4373</v>
      </c>
      <c r="E1836" s="3325">
        <v>130.19999999999999</v>
      </c>
      <c r="F1836" s="3325">
        <v>300</v>
      </c>
      <c r="G1836" s="3326">
        <v>40360</v>
      </c>
      <c r="H1836" s="3326">
        <v>40632</v>
      </c>
      <c r="I1836" s="3326">
        <v>40632</v>
      </c>
      <c r="J1836" s="3324"/>
    </row>
    <row r="1837" spans="1:12" s="3327" customFormat="1" ht="13.5" customHeight="1">
      <c r="A1837" s="3355"/>
      <c r="B1837" s="3336" t="s">
        <v>4263</v>
      </c>
      <c r="C1837" s="3336" t="s">
        <v>4220</v>
      </c>
      <c r="D1837" s="3336" t="s">
        <v>4373</v>
      </c>
      <c r="E1837" s="3339">
        <v>130.19999999999999</v>
      </c>
      <c r="F1837" s="3339">
        <v>330</v>
      </c>
      <c r="G1837" s="3340">
        <v>41000</v>
      </c>
      <c r="H1837" s="3340">
        <v>41363</v>
      </c>
      <c r="I1837" s="3340">
        <v>41364</v>
      </c>
      <c r="J1837" s="3336"/>
    </row>
    <row r="1838" spans="1:12" s="3327" customFormat="1" ht="13.5" customHeight="1">
      <c r="A1838" s="3354"/>
      <c r="B1838" s="3324" t="s">
        <v>4263</v>
      </c>
      <c r="C1838" s="3324" t="s">
        <v>4374</v>
      </c>
      <c r="D1838" s="3324" t="s">
        <v>4318</v>
      </c>
      <c r="E1838" s="3325">
        <v>109.6</v>
      </c>
      <c r="F1838" s="3325">
        <v>340</v>
      </c>
      <c r="G1838" s="3326">
        <v>41699</v>
      </c>
      <c r="H1838" s="3326">
        <v>41800</v>
      </c>
      <c r="I1838" s="3326">
        <v>42094</v>
      </c>
      <c r="J1838" s="3324"/>
    </row>
    <row r="1839" spans="1:12" s="3327" customFormat="1" ht="13.5" customHeight="1">
      <c r="A1839" s="3354"/>
      <c r="B1839" s="3324" t="s">
        <v>4263</v>
      </c>
      <c r="C1839" s="3324" t="s">
        <v>4374</v>
      </c>
      <c r="D1839" s="3324" t="s">
        <v>4318</v>
      </c>
      <c r="E1839" s="3325">
        <v>109.6</v>
      </c>
      <c r="F1839" s="3325">
        <v>340</v>
      </c>
      <c r="G1839" s="3326">
        <v>41801</v>
      </c>
      <c r="H1839" s="3326">
        <v>42093</v>
      </c>
      <c r="I1839" s="3326">
        <v>42094</v>
      </c>
      <c r="J1839" s="3324"/>
    </row>
    <row r="1840" spans="1:12" s="3327" customFormat="1" ht="13.5" customHeight="1">
      <c r="A1840" s="3354"/>
      <c r="B1840" s="3336" t="s">
        <v>4263</v>
      </c>
      <c r="C1840" s="3336" t="s">
        <v>4374</v>
      </c>
      <c r="D1840" s="3336" t="s">
        <v>4318</v>
      </c>
      <c r="E1840" s="3339">
        <v>109.6</v>
      </c>
      <c r="F1840" s="3339">
        <v>346</v>
      </c>
      <c r="G1840" s="3340">
        <v>42095</v>
      </c>
      <c r="H1840" s="3340">
        <v>42459</v>
      </c>
      <c r="I1840" s="3340">
        <v>42460</v>
      </c>
      <c r="J1840" s="3324"/>
    </row>
    <row r="1841" spans="1:12" s="3327" customFormat="1" ht="13.5" customHeight="1">
      <c r="A1841" s="3354"/>
      <c r="B1841" s="3336" t="s">
        <v>4263</v>
      </c>
      <c r="C1841" s="3336" t="s">
        <v>4374</v>
      </c>
      <c r="D1841" s="3336" t="s">
        <v>4318</v>
      </c>
      <c r="E1841" s="3339">
        <v>109.6</v>
      </c>
      <c r="F1841" s="3339">
        <v>366</v>
      </c>
      <c r="G1841" s="3340">
        <v>42461</v>
      </c>
      <c r="H1841" s="3340">
        <v>42551</v>
      </c>
      <c r="I1841" s="3340">
        <v>42825</v>
      </c>
      <c r="J1841" s="3324"/>
    </row>
    <row r="1842" spans="1:12" s="3327" customFormat="1" ht="13.5" customHeight="1">
      <c r="A1842" s="3354"/>
      <c r="B1842" s="3336" t="s">
        <v>4263</v>
      </c>
      <c r="C1842" s="3336" t="s">
        <v>4374</v>
      </c>
      <c r="D1842" s="3336" t="s">
        <v>4318</v>
      </c>
      <c r="E1842" s="3339">
        <v>109.6</v>
      </c>
      <c r="F1842" s="3339">
        <v>366</v>
      </c>
      <c r="G1842" s="3340">
        <v>42552</v>
      </c>
      <c r="H1842" s="3340">
        <v>42824</v>
      </c>
      <c r="I1842" s="3340">
        <v>42825</v>
      </c>
      <c r="J1842" s="3324"/>
    </row>
    <row r="1843" spans="1:12" s="3327" customFormat="1" ht="13.5" customHeight="1">
      <c r="A1843" s="3354" t="s">
        <v>4275</v>
      </c>
      <c r="B1843" s="3331" t="s">
        <v>4263</v>
      </c>
      <c r="C1843" s="3331" t="s">
        <v>4374</v>
      </c>
      <c r="D1843" s="3331" t="s">
        <v>4375</v>
      </c>
      <c r="E1843" s="3332">
        <v>109.6</v>
      </c>
      <c r="F1843" s="3332">
        <v>360</v>
      </c>
      <c r="G1843" s="3333">
        <v>42826</v>
      </c>
      <c r="H1843" s="3333">
        <v>43130</v>
      </c>
      <c r="I1843" s="3333">
        <v>43190</v>
      </c>
      <c r="J1843" s="3324"/>
      <c r="K1843" s="3334">
        <f t="shared" ref="K1843" si="257">E1843</f>
        <v>109.6</v>
      </c>
      <c r="L1843" s="3334">
        <f t="shared" ref="L1843" si="258">F1843/30</f>
        <v>12</v>
      </c>
    </row>
    <row r="1844" spans="1:12" s="3327" customFormat="1" ht="13.5" customHeight="1">
      <c r="A1844" s="3355"/>
      <c r="B1844" s="3336" t="s">
        <v>4263</v>
      </c>
      <c r="C1844" s="3336" t="s">
        <v>4197</v>
      </c>
      <c r="D1844" s="3336" t="s">
        <v>4336</v>
      </c>
      <c r="E1844" s="3339">
        <v>152.30000000000001</v>
      </c>
      <c r="F1844" s="3339">
        <v>310</v>
      </c>
      <c r="G1844" s="3340">
        <v>41365</v>
      </c>
      <c r="H1844" s="3340">
        <v>41698</v>
      </c>
      <c r="I1844" s="3340">
        <v>41729</v>
      </c>
      <c r="J1844" s="3336"/>
    </row>
    <row r="1845" spans="1:12" s="3327" customFormat="1" ht="13.5" customHeight="1">
      <c r="A1845" s="3354"/>
      <c r="B1845" s="3324" t="s">
        <v>4263</v>
      </c>
      <c r="C1845" s="3324" t="s">
        <v>4376</v>
      </c>
      <c r="D1845" s="3324" t="s">
        <v>4321</v>
      </c>
      <c r="E1845" s="3325">
        <v>216.7</v>
      </c>
      <c r="F1845" s="3325">
        <v>350</v>
      </c>
      <c r="G1845" s="3326">
        <v>41699</v>
      </c>
      <c r="H1845" s="3326">
        <v>42093</v>
      </c>
      <c r="I1845" s="3326">
        <v>42094</v>
      </c>
      <c r="J1845" s="3324"/>
    </row>
    <row r="1846" spans="1:12" s="3327" customFormat="1" ht="13.5" customHeight="1">
      <c r="A1846" s="3354"/>
      <c r="B1846" s="3336" t="s">
        <v>4263</v>
      </c>
      <c r="C1846" s="3336" t="s">
        <v>4376</v>
      </c>
      <c r="D1846" s="3336" t="s">
        <v>4321</v>
      </c>
      <c r="E1846" s="3339">
        <v>216.7</v>
      </c>
      <c r="F1846" s="3339">
        <v>356</v>
      </c>
      <c r="G1846" s="3340">
        <v>42095</v>
      </c>
      <c r="H1846" s="3340">
        <v>42459</v>
      </c>
      <c r="I1846" s="3340">
        <v>42460</v>
      </c>
      <c r="J1846" s="3324"/>
    </row>
    <row r="1847" spans="1:12" s="3327" customFormat="1" ht="13.5" customHeight="1">
      <c r="A1847" s="3354"/>
      <c r="B1847" s="3336" t="s">
        <v>4263</v>
      </c>
      <c r="C1847" s="3336" t="s">
        <v>4376</v>
      </c>
      <c r="D1847" s="3336" t="s">
        <v>4321</v>
      </c>
      <c r="E1847" s="3338">
        <v>216.69</v>
      </c>
      <c r="F1847" s="3339">
        <v>366</v>
      </c>
      <c r="G1847" s="3340">
        <v>42461</v>
      </c>
      <c r="H1847" s="3340">
        <v>42824</v>
      </c>
      <c r="I1847" s="3340">
        <v>42825</v>
      </c>
      <c r="J1847" s="3324"/>
    </row>
    <row r="1848" spans="1:12" s="3327" customFormat="1" ht="13.5" customHeight="1">
      <c r="A1848" s="3354" t="s">
        <v>4275</v>
      </c>
      <c r="B1848" s="3331" t="s">
        <v>4263</v>
      </c>
      <c r="C1848" s="3331" t="s">
        <v>4377</v>
      </c>
      <c r="D1848" s="3331" t="s">
        <v>4378</v>
      </c>
      <c r="E1848" s="3332">
        <v>216.69</v>
      </c>
      <c r="F1848" s="3332">
        <v>366</v>
      </c>
      <c r="G1848" s="3333">
        <v>42826</v>
      </c>
      <c r="H1848" s="3333">
        <v>43130</v>
      </c>
      <c r="I1848" s="3333">
        <v>43190</v>
      </c>
      <c r="J1848" s="3324"/>
      <c r="K1848" s="3334">
        <f t="shared" ref="K1848" si="259">E1848</f>
        <v>216.69</v>
      </c>
      <c r="L1848" s="3334">
        <f t="shared" ref="L1848" si="260">F1848/30</f>
        <v>12.2</v>
      </c>
    </row>
    <row r="1849" spans="1:12" s="3327" customFormat="1" ht="13.5" customHeight="1">
      <c r="A1849" s="3355"/>
      <c r="B1849" s="3336" t="s">
        <v>4263</v>
      </c>
      <c r="C1849" s="3336" t="s">
        <v>4193</v>
      </c>
      <c r="D1849" s="3336" t="s">
        <v>4379</v>
      </c>
      <c r="E1849" s="3339">
        <v>171.7</v>
      </c>
      <c r="F1849" s="3339">
        <v>330</v>
      </c>
      <c r="G1849" s="3340">
        <v>41000</v>
      </c>
      <c r="H1849" s="3340">
        <v>41363</v>
      </c>
      <c r="I1849" s="3340">
        <v>41364</v>
      </c>
      <c r="J1849" s="3336"/>
    </row>
    <row r="1850" spans="1:12" s="3327" customFormat="1" ht="13.5" customHeight="1">
      <c r="A1850" s="3354"/>
      <c r="B1850" s="3324" t="s">
        <v>4263</v>
      </c>
      <c r="C1850" s="3324" t="s">
        <v>4193</v>
      </c>
      <c r="D1850" s="3324" t="s">
        <v>4380</v>
      </c>
      <c r="E1850" s="3325">
        <v>171.7</v>
      </c>
      <c r="F1850" s="3325">
        <v>330</v>
      </c>
      <c r="G1850" s="3326">
        <v>41365</v>
      </c>
      <c r="H1850" s="3326">
        <v>41698</v>
      </c>
      <c r="I1850" s="3326">
        <v>41729</v>
      </c>
      <c r="J1850" s="3324"/>
    </row>
    <row r="1851" spans="1:12" s="3327" customFormat="1" ht="13.5" customHeight="1">
      <c r="A1851" s="3354"/>
      <c r="B1851" s="3324" t="s">
        <v>4263</v>
      </c>
      <c r="C1851" s="3324" t="s">
        <v>4138</v>
      </c>
      <c r="D1851" s="3324" t="s">
        <v>4381</v>
      </c>
      <c r="E1851" s="3325">
        <v>253.8</v>
      </c>
      <c r="F1851" s="3325">
        <v>350</v>
      </c>
      <c r="G1851" s="3326">
        <v>41699</v>
      </c>
      <c r="H1851" s="3326">
        <v>42093</v>
      </c>
      <c r="I1851" s="3326">
        <v>42094</v>
      </c>
      <c r="J1851" s="3324"/>
    </row>
    <row r="1852" spans="1:12" s="3327" customFormat="1" ht="13.5" customHeight="1">
      <c r="A1852" s="3354"/>
      <c r="B1852" s="3336" t="s">
        <v>4263</v>
      </c>
      <c r="C1852" s="3336" t="s">
        <v>4138</v>
      </c>
      <c r="D1852" s="3336" t="s">
        <v>4381</v>
      </c>
      <c r="E1852" s="3339">
        <v>253.8</v>
      </c>
      <c r="F1852" s="3339">
        <v>356</v>
      </c>
      <c r="G1852" s="3340">
        <v>42095</v>
      </c>
      <c r="H1852" s="3340">
        <v>42459</v>
      </c>
      <c r="I1852" s="3340">
        <v>42460</v>
      </c>
      <c r="J1852" s="3324"/>
    </row>
    <row r="1853" spans="1:12" s="3327" customFormat="1" ht="13.5" customHeight="1">
      <c r="A1853" s="3354"/>
      <c r="B1853" s="3336" t="s">
        <v>4263</v>
      </c>
      <c r="C1853" s="3336" t="s">
        <v>4138</v>
      </c>
      <c r="D1853" s="3336" t="s">
        <v>4381</v>
      </c>
      <c r="E1853" s="3339">
        <v>253.8</v>
      </c>
      <c r="F1853" s="3339">
        <v>366</v>
      </c>
      <c r="G1853" s="3340">
        <v>42461</v>
      </c>
      <c r="H1853" s="3340">
        <v>42824</v>
      </c>
      <c r="I1853" s="3340">
        <v>42825</v>
      </c>
      <c r="J1853" s="3324"/>
    </row>
    <row r="1854" spans="1:12" s="3327" customFormat="1" ht="13.5" customHeight="1">
      <c r="A1854" s="3354" t="s">
        <v>4275</v>
      </c>
      <c r="B1854" s="3331" t="s">
        <v>4263</v>
      </c>
      <c r="C1854" s="3331" t="s">
        <v>4138</v>
      </c>
      <c r="D1854" s="3331" t="s">
        <v>4382</v>
      </c>
      <c r="E1854" s="3332">
        <v>253.8</v>
      </c>
      <c r="F1854" s="3332">
        <v>366</v>
      </c>
      <c r="G1854" s="3333">
        <v>42826</v>
      </c>
      <c r="H1854" s="3333">
        <v>43130</v>
      </c>
      <c r="I1854" s="3333">
        <v>43190</v>
      </c>
      <c r="J1854" s="3324"/>
      <c r="K1854" s="3334">
        <f t="shared" ref="K1854:K1855" si="261">E1854</f>
        <v>253.8</v>
      </c>
      <c r="L1854" s="3334">
        <f t="shared" ref="L1854:L1855" si="262">F1854/30</f>
        <v>12.2</v>
      </c>
    </row>
    <row r="1855" spans="1:12" s="3327" customFormat="1" ht="13.5" customHeight="1">
      <c r="A1855" s="3354" t="s">
        <v>4275</v>
      </c>
      <c r="B1855" s="3331" t="s">
        <v>4263</v>
      </c>
      <c r="C1855" s="3331" t="s">
        <v>4383</v>
      </c>
      <c r="D1855" s="3331"/>
      <c r="E1855" s="3332">
        <v>64.989999999999995</v>
      </c>
      <c r="F1855" s="3332">
        <v>461</v>
      </c>
      <c r="G1855" s="3333">
        <v>42948</v>
      </c>
      <c r="H1855" s="3333">
        <v>43130</v>
      </c>
      <c r="I1855" s="3333">
        <v>43190</v>
      </c>
      <c r="J1855" s="3324"/>
      <c r="K1855" s="3334">
        <f t="shared" si="261"/>
        <v>64.989999999999995</v>
      </c>
      <c r="L1855" s="3334">
        <f t="shared" si="262"/>
        <v>15.366666666666667</v>
      </c>
    </row>
    <row r="1856" spans="1:12" s="3327" customFormat="1" ht="13.5" customHeight="1">
      <c r="A1856" s="3355"/>
      <c r="B1856" s="3336" t="s">
        <v>4263</v>
      </c>
      <c r="C1856" s="3336" t="s">
        <v>4384</v>
      </c>
      <c r="D1856" s="3336" t="s">
        <v>4385</v>
      </c>
      <c r="E1856" s="3339">
        <v>233.1</v>
      </c>
      <c r="F1856" s="3339">
        <v>330</v>
      </c>
      <c r="G1856" s="3340">
        <v>41000</v>
      </c>
      <c r="H1856" s="3340">
        <v>41363</v>
      </c>
      <c r="I1856" s="3340">
        <v>41364</v>
      </c>
      <c r="J1856" s="3336"/>
    </row>
    <row r="1857" spans="1:12" s="3327" customFormat="1" ht="13.5" customHeight="1">
      <c r="A1857" s="3354"/>
      <c r="B1857" s="3324" t="s">
        <v>4263</v>
      </c>
      <c r="C1857" s="3324" t="s">
        <v>4384</v>
      </c>
      <c r="D1857" s="3324" t="s">
        <v>4386</v>
      </c>
      <c r="E1857" s="3325">
        <v>233.1</v>
      </c>
      <c r="F1857" s="3325">
        <v>330</v>
      </c>
      <c r="G1857" s="3326">
        <v>41365</v>
      </c>
      <c r="H1857" s="3326">
        <v>41698</v>
      </c>
      <c r="I1857" s="3326">
        <v>41729</v>
      </c>
      <c r="J1857" s="3324"/>
    </row>
    <row r="1858" spans="1:12" s="3327" customFormat="1" ht="13.5" customHeight="1">
      <c r="A1858" s="3354"/>
      <c r="B1858" s="3324" t="s">
        <v>4263</v>
      </c>
      <c r="C1858" s="3324" t="s">
        <v>4387</v>
      </c>
      <c r="D1858" s="3324" t="s">
        <v>4388</v>
      </c>
      <c r="E1858" s="3325">
        <v>294.5</v>
      </c>
      <c r="F1858" s="3325">
        <v>330</v>
      </c>
      <c r="G1858" s="3326">
        <v>41699</v>
      </c>
      <c r="H1858" s="3326">
        <v>41942</v>
      </c>
      <c r="I1858" s="3326">
        <v>42094</v>
      </c>
      <c r="J1858" s="3324"/>
    </row>
    <row r="1859" spans="1:12" s="3327" customFormat="1" ht="12.75" customHeight="1">
      <c r="A1859" s="3354"/>
      <c r="B1859" s="3324" t="s">
        <v>4263</v>
      </c>
      <c r="C1859" s="3324" t="s">
        <v>4387</v>
      </c>
      <c r="D1859" s="3324" t="s">
        <v>4388</v>
      </c>
      <c r="E1859" s="3325">
        <v>294.5</v>
      </c>
      <c r="F1859" s="3325">
        <v>330</v>
      </c>
      <c r="G1859" s="3326">
        <v>41944</v>
      </c>
      <c r="H1859" s="3326">
        <v>42093</v>
      </c>
      <c r="I1859" s="3326">
        <v>42094</v>
      </c>
      <c r="J1859" s="3324"/>
    </row>
    <row r="1860" spans="1:12" s="3327" customFormat="1" ht="12.75" customHeight="1">
      <c r="A1860" s="3354"/>
      <c r="B1860" s="3336" t="s">
        <v>4263</v>
      </c>
      <c r="C1860" s="3336" t="s">
        <v>4387</v>
      </c>
      <c r="D1860" s="3336" t="s">
        <v>4388</v>
      </c>
      <c r="E1860" s="3339">
        <v>294.5</v>
      </c>
      <c r="F1860" s="3339">
        <v>336</v>
      </c>
      <c r="G1860" s="3340">
        <v>42095</v>
      </c>
      <c r="H1860" s="3340">
        <v>42261</v>
      </c>
      <c r="I1860" s="3340">
        <v>42460</v>
      </c>
      <c r="J1860" s="3324"/>
    </row>
    <row r="1861" spans="1:12" s="3327" customFormat="1" ht="12.75" customHeight="1">
      <c r="A1861" s="3354"/>
      <c r="B1861" s="3336" t="s">
        <v>4263</v>
      </c>
      <c r="C1861" s="3336" t="s">
        <v>4387</v>
      </c>
      <c r="D1861" s="3336" t="s">
        <v>4388</v>
      </c>
      <c r="E1861" s="3339">
        <v>235.3</v>
      </c>
      <c r="F1861" s="3339">
        <v>330</v>
      </c>
      <c r="G1861" s="3340">
        <v>42262</v>
      </c>
      <c r="H1861" s="3340">
        <v>42459</v>
      </c>
      <c r="I1861" s="3340">
        <v>42460</v>
      </c>
      <c r="J1861" s="3324"/>
    </row>
    <row r="1862" spans="1:12" s="3327" customFormat="1" ht="12.75" customHeight="1">
      <c r="A1862" s="3354"/>
      <c r="B1862" s="3336" t="s">
        <v>4263</v>
      </c>
      <c r="C1862" s="3336" t="s">
        <v>4387</v>
      </c>
      <c r="D1862" s="3336" t="s">
        <v>4388</v>
      </c>
      <c r="E1862" s="3339">
        <v>235.3</v>
      </c>
      <c r="F1862" s="3339">
        <v>350</v>
      </c>
      <c r="G1862" s="3340">
        <v>42461</v>
      </c>
      <c r="H1862" s="3340">
        <v>42824</v>
      </c>
      <c r="I1862" s="3340">
        <v>42825</v>
      </c>
      <c r="J1862" s="3324"/>
    </row>
    <row r="1863" spans="1:12" s="3327" customFormat="1" ht="11.25">
      <c r="A1863" s="3354" t="s">
        <v>4275</v>
      </c>
      <c r="B1863" s="3331" t="s">
        <v>4263</v>
      </c>
      <c r="C1863" s="3394" t="s">
        <v>4389</v>
      </c>
      <c r="D1863" s="3331" t="s">
        <v>4390</v>
      </c>
      <c r="E1863" s="3332">
        <v>235.3</v>
      </c>
      <c r="F1863" s="3332">
        <v>360</v>
      </c>
      <c r="G1863" s="3333">
        <v>42826</v>
      </c>
      <c r="H1863" s="3333">
        <v>43130</v>
      </c>
      <c r="I1863" s="3333">
        <v>43190</v>
      </c>
      <c r="J1863" s="3324"/>
      <c r="K1863" s="3334">
        <f t="shared" ref="K1863" si="263">E1863</f>
        <v>235.3</v>
      </c>
      <c r="L1863" s="3334">
        <f t="shared" ref="L1863" si="264">F1863/30</f>
        <v>12</v>
      </c>
    </row>
    <row r="1864" spans="1:12" s="3327" customFormat="1" ht="12.75" customHeight="1">
      <c r="A1864" s="3354"/>
      <c r="B1864" s="3336" t="s">
        <v>4263</v>
      </c>
      <c r="C1864" s="3336" t="s">
        <v>4391</v>
      </c>
      <c r="D1864" s="3336" t="s">
        <v>4392</v>
      </c>
      <c r="E1864" s="3339">
        <v>167.3</v>
      </c>
      <c r="F1864" s="3339">
        <v>325</v>
      </c>
      <c r="G1864" s="3340">
        <v>42262</v>
      </c>
      <c r="H1864" s="3340">
        <v>42459</v>
      </c>
      <c r="I1864" s="3340">
        <v>42460</v>
      </c>
      <c r="J1864" s="3324"/>
    </row>
    <row r="1865" spans="1:12" s="3327" customFormat="1" ht="18" customHeight="1">
      <c r="A1865" s="3354"/>
      <c r="B1865" s="3336" t="s">
        <v>4263</v>
      </c>
      <c r="C1865" s="3336" t="s">
        <v>4391</v>
      </c>
      <c r="D1865" s="3336" t="s">
        <v>4392</v>
      </c>
      <c r="E1865" s="3339">
        <v>167.3</v>
      </c>
      <c r="F1865" s="3339">
        <v>295</v>
      </c>
      <c r="G1865" s="3340">
        <v>42461</v>
      </c>
      <c r="H1865" s="3340">
        <v>42824</v>
      </c>
      <c r="I1865" s="3340">
        <v>42825</v>
      </c>
      <c r="J1865" s="3324"/>
    </row>
    <row r="1866" spans="1:12" s="3327" customFormat="1" ht="11.25">
      <c r="A1866" s="3354" t="s">
        <v>4275</v>
      </c>
      <c r="B1866" s="3331" t="s">
        <v>4263</v>
      </c>
      <c r="C1866" s="3331" t="s">
        <v>4393</v>
      </c>
      <c r="D1866" s="3331" t="s">
        <v>4394</v>
      </c>
      <c r="E1866" s="3347">
        <v>167.3</v>
      </c>
      <c r="F1866" s="3332">
        <v>340</v>
      </c>
      <c r="G1866" s="3333">
        <v>42826</v>
      </c>
      <c r="H1866" s="3333">
        <v>43130</v>
      </c>
      <c r="I1866" s="3333">
        <v>43190</v>
      </c>
      <c r="J1866" s="3324"/>
      <c r="K1866" s="3334">
        <f t="shared" ref="K1866" si="265">E1866</f>
        <v>167.3</v>
      </c>
      <c r="L1866" s="3334">
        <f t="shared" ref="L1866" si="266">F1866/30</f>
        <v>11.333333333333334</v>
      </c>
    </row>
    <row r="1867" spans="1:12" s="3327" customFormat="1" ht="13.5" customHeight="1">
      <c r="A1867" s="3355"/>
      <c r="B1867" s="3336" t="s">
        <v>4263</v>
      </c>
      <c r="C1867" s="3336" t="s">
        <v>4395</v>
      </c>
      <c r="D1867" s="3336" t="s">
        <v>4396</v>
      </c>
      <c r="E1867" s="3339">
        <v>134.30000000000001</v>
      </c>
      <c r="F1867" s="3339">
        <v>330</v>
      </c>
      <c r="G1867" s="3340">
        <v>41000</v>
      </c>
      <c r="H1867" s="3340">
        <v>41363</v>
      </c>
      <c r="I1867" s="3340">
        <v>41364</v>
      </c>
      <c r="J1867" s="3336"/>
    </row>
    <row r="1868" spans="1:12" s="3327" customFormat="1" ht="13.5" customHeight="1">
      <c r="A1868" s="3354"/>
      <c r="B1868" s="3324" t="s">
        <v>4263</v>
      </c>
      <c r="C1868" s="3324" t="s">
        <v>3877</v>
      </c>
      <c r="D1868" s="3324" t="s">
        <v>4397</v>
      </c>
      <c r="E1868" s="3325">
        <v>113.9</v>
      </c>
      <c r="F1868" s="3325">
        <v>330</v>
      </c>
      <c r="G1868" s="3326">
        <v>41000</v>
      </c>
      <c r="H1868" s="3326">
        <v>41363</v>
      </c>
      <c r="I1868" s="3326">
        <v>41364</v>
      </c>
      <c r="J1868" s="3324"/>
    </row>
    <row r="1869" spans="1:12" s="3327" customFormat="1" ht="12.75" customHeight="1">
      <c r="A1869" s="3355"/>
      <c r="B1869" s="3336" t="s">
        <v>4263</v>
      </c>
      <c r="C1869" s="3336" t="s">
        <v>3877</v>
      </c>
      <c r="D1869" s="3336" t="s">
        <v>4398</v>
      </c>
      <c r="E1869" s="3339">
        <v>113.9</v>
      </c>
      <c r="F1869" s="3339">
        <v>330</v>
      </c>
      <c r="G1869" s="3340">
        <v>41372</v>
      </c>
      <c r="H1869" s="3340">
        <v>41698</v>
      </c>
      <c r="I1869" s="3340">
        <v>41729</v>
      </c>
      <c r="J1869" s="3336"/>
    </row>
    <row r="1870" spans="1:12" s="3327" customFormat="1" ht="13.5" customHeight="1">
      <c r="A1870" s="3354"/>
      <c r="B1870" s="3324" t="s">
        <v>4263</v>
      </c>
      <c r="C1870" s="3324" t="s">
        <v>4399</v>
      </c>
      <c r="D1870" s="3324" t="s">
        <v>4400</v>
      </c>
      <c r="E1870" s="3325">
        <v>107.3</v>
      </c>
      <c r="F1870" s="3325">
        <v>310</v>
      </c>
      <c r="G1870" s="3326">
        <v>41000</v>
      </c>
      <c r="H1870" s="3326">
        <v>41273</v>
      </c>
      <c r="I1870" s="3326">
        <v>41364</v>
      </c>
      <c r="J1870" s="3324"/>
    </row>
    <row r="1871" spans="1:12" s="3327" customFormat="1" ht="12.75" customHeight="1">
      <c r="A1871" s="3354"/>
      <c r="B1871" s="3324" t="s">
        <v>4263</v>
      </c>
      <c r="C1871" s="3324" t="s">
        <v>4239</v>
      </c>
      <c r="D1871" s="3324" t="s">
        <v>4401</v>
      </c>
      <c r="E1871" s="3325">
        <v>106.7</v>
      </c>
      <c r="F1871" s="3325">
        <v>290</v>
      </c>
      <c r="G1871" s="3326">
        <v>41699</v>
      </c>
      <c r="H1871" s="3326">
        <v>42093</v>
      </c>
      <c r="I1871" s="3326">
        <v>42094</v>
      </c>
      <c r="J1871" s="3324"/>
    </row>
    <row r="1872" spans="1:12" s="3327" customFormat="1" ht="12.75" customHeight="1">
      <c r="A1872" s="3354"/>
      <c r="B1872" s="3336" t="s">
        <v>4263</v>
      </c>
      <c r="C1872" s="3336" t="s">
        <v>4239</v>
      </c>
      <c r="D1872" s="3336" t="s">
        <v>4401</v>
      </c>
      <c r="E1872" s="3339">
        <v>106.7</v>
      </c>
      <c r="F1872" s="3339">
        <v>296</v>
      </c>
      <c r="G1872" s="3340">
        <v>42095</v>
      </c>
      <c r="H1872" s="3340">
        <v>42246</v>
      </c>
      <c r="I1872" s="3340">
        <v>42460</v>
      </c>
      <c r="J1872" s="3324"/>
    </row>
    <row r="1873" spans="1:12" s="3327" customFormat="1" ht="13.5" customHeight="1">
      <c r="A1873" s="3354"/>
      <c r="B1873" s="3324" t="s">
        <v>4263</v>
      </c>
      <c r="C1873" s="3324" t="s">
        <v>4402</v>
      </c>
      <c r="D1873" s="3324" t="s">
        <v>4403</v>
      </c>
      <c r="E1873" s="3325">
        <v>57.6</v>
      </c>
      <c r="F1873" s="3325">
        <v>300</v>
      </c>
      <c r="G1873" s="3326">
        <v>40634</v>
      </c>
      <c r="H1873" s="3326">
        <v>40785</v>
      </c>
      <c r="I1873" s="3326">
        <v>40999</v>
      </c>
      <c r="J1873" s="3324"/>
    </row>
    <row r="1874" spans="1:12" s="3327" customFormat="1" ht="13.5" customHeight="1">
      <c r="A1874" s="3355"/>
      <c r="B1874" s="3336" t="s">
        <v>4263</v>
      </c>
      <c r="C1874" s="3336" t="s">
        <v>4402</v>
      </c>
      <c r="D1874" s="3336" t="s">
        <v>4403</v>
      </c>
      <c r="E1874" s="3339">
        <v>57.6</v>
      </c>
      <c r="F1874" s="3339">
        <v>300</v>
      </c>
      <c r="G1874" s="3340">
        <v>41000</v>
      </c>
      <c r="H1874" s="3340">
        <v>41363</v>
      </c>
      <c r="I1874" s="3340">
        <v>41364</v>
      </c>
      <c r="J1874" s="3336"/>
    </row>
    <row r="1875" spans="1:12" s="3327" customFormat="1" ht="13.5" customHeight="1">
      <c r="A1875" s="3355"/>
      <c r="B1875" s="3336" t="s">
        <v>4263</v>
      </c>
      <c r="C1875" s="3336" t="s">
        <v>4404</v>
      </c>
      <c r="D1875" s="3336" t="s">
        <v>4405</v>
      </c>
      <c r="E1875" s="3339">
        <v>82.1</v>
      </c>
      <c r="F1875" s="3339">
        <v>310</v>
      </c>
      <c r="G1875" s="3340">
        <v>41000</v>
      </c>
      <c r="H1875" s="3340">
        <v>41363</v>
      </c>
      <c r="I1875" s="3340">
        <v>41364</v>
      </c>
      <c r="J1875" s="3336"/>
    </row>
    <row r="1876" spans="1:12" s="3327" customFormat="1" ht="13.5" customHeight="1">
      <c r="A1876" s="3355"/>
      <c r="B1876" s="3336" t="s">
        <v>4263</v>
      </c>
      <c r="C1876" s="3336" t="s">
        <v>4406</v>
      </c>
      <c r="D1876" s="3336" t="s">
        <v>4407</v>
      </c>
      <c r="E1876" s="3339">
        <v>176.2</v>
      </c>
      <c r="F1876" s="3339">
        <v>300</v>
      </c>
      <c r="G1876" s="3340">
        <v>40630</v>
      </c>
      <c r="H1876" s="3340">
        <v>40877</v>
      </c>
      <c r="I1876" s="3340">
        <v>40999</v>
      </c>
      <c r="J1876" s="3336"/>
    </row>
    <row r="1877" spans="1:12" s="3327" customFormat="1" ht="13.5" customHeight="1">
      <c r="A1877" s="3355"/>
      <c r="B1877" s="3336" t="s">
        <v>4263</v>
      </c>
      <c r="C1877" s="3336" t="s">
        <v>4408</v>
      </c>
      <c r="D1877" s="3336" t="s">
        <v>4409</v>
      </c>
      <c r="E1877" s="3339">
        <v>167</v>
      </c>
      <c r="F1877" s="3339">
        <v>280</v>
      </c>
      <c r="G1877" s="3340">
        <v>40634</v>
      </c>
      <c r="H1877" s="3340">
        <v>40877</v>
      </c>
      <c r="I1877" s="3340">
        <v>40999</v>
      </c>
      <c r="J1877" s="3336"/>
    </row>
    <row r="1878" spans="1:12" s="3327" customFormat="1" ht="13.5" customHeight="1">
      <c r="A1878" s="3355"/>
      <c r="B1878" s="3336" t="s">
        <v>4263</v>
      </c>
      <c r="C1878" s="3336" t="s">
        <v>4410</v>
      </c>
      <c r="D1878" s="3336" t="s">
        <v>4409</v>
      </c>
      <c r="E1878" s="3339">
        <v>343.2</v>
      </c>
      <c r="F1878" s="3339">
        <v>230</v>
      </c>
      <c r="G1878" s="3340">
        <v>41000</v>
      </c>
      <c r="H1878" s="3340">
        <v>41363</v>
      </c>
      <c r="I1878" s="3340">
        <v>41364</v>
      </c>
      <c r="J1878" s="3336"/>
    </row>
    <row r="1879" spans="1:12" s="3327" customFormat="1" ht="13.5" customHeight="1">
      <c r="A1879" s="3354"/>
      <c r="B1879" s="3324" t="s">
        <v>4263</v>
      </c>
      <c r="C1879" s="3324" t="s">
        <v>4411</v>
      </c>
      <c r="D1879" s="3324" t="s">
        <v>4412</v>
      </c>
      <c r="E1879" s="3325">
        <v>338.2</v>
      </c>
      <c r="F1879" s="3325">
        <v>235</v>
      </c>
      <c r="G1879" s="3326">
        <v>41730</v>
      </c>
      <c r="H1879" s="3326">
        <v>41907</v>
      </c>
      <c r="I1879" s="3326">
        <v>42094</v>
      </c>
      <c r="J1879" s="3324"/>
    </row>
    <row r="1880" spans="1:12" s="3327" customFormat="1" ht="13.5" customHeight="1">
      <c r="A1880" s="3354"/>
      <c r="B1880" s="3324" t="s">
        <v>4263</v>
      </c>
      <c r="C1880" s="3324" t="s">
        <v>4411</v>
      </c>
      <c r="D1880" s="3324" t="s">
        <v>4412</v>
      </c>
      <c r="E1880" s="3325">
        <v>338.2</v>
      </c>
      <c r="F1880" s="3325">
        <v>235</v>
      </c>
      <c r="G1880" s="3326">
        <v>41913</v>
      </c>
      <c r="H1880" s="3326">
        <v>42003</v>
      </c>
      <c r="I1880" s="3326">
        <v>42094</v>
      </c>
      <c r="J1880" s="3324"/>
    </row>
    <row r="1881" spans="1:12" s="3327" customFormat="1" ht="13.5" customHeight="1">
      <c r="A1881" s="3354"/>
      <c r="B1881" s="3350" t="s">
        <v>4263</v>
      </c>
      <c r="C1881" s="3351" t="s">
        <v>4411</v>
      </c>
      <c r="D1881" s="3351" t="s">
        <v>4412</v>
      </c>
      <c r="E1881" s="3352">
        <v>338.2</v>
      </c>
      <c r="F1881" s="3352">
        <v>235</v>
      </c>
      <c r="G1881" s="3353">
        <v>42005</v>
      </c>
      <c r="H1881" s="3353">
        <v>42021</v>
      </c>
      <c r="I1881" s="3353">
        <v>42094</v>
      </c>
      <c r="J1881" s="3324"/>
    </row>
    <row r="1882" spans="1:12" s="3327" customFormat="1" ht="13.5" customHeight="1">
      <c r="A1882" s="3354"/>
      <c r="B1882" s="3350" t="s">
        <v>4263</v>
      </c>
      <c r="C1882" s="3351" t="s">
        <v>4411</v>
      </c>
      <c r="D1882" s="3351" t="s">
        <v>4412</v>
      </c>
      <c r="E1882" s="3352">
        <v>338.2</v>
      </c>
      <c r="F1882" s="3352">
        <v>235</v>
      </c>
      <c r="G1882" s="3353">
        <v>42022</v>
      </c>
      <c r="H1882" s="3353">
        <v>42034</v>
      </c>
      <c r="I1882" s="3353">
        <v>42094</v>
      </c>
      <c r="J1882" s="3324"/>
    </row>
    <row r="1883" spans="1:12" s="3327" customFormat="1" ht="13.5" customHeight="1">
      <c r="A1883" s="3355"/>
      <c r="B1883" s="3336" t="s">
        <v>4263</v>
      </c>
      <c r="C1883" s="3336" t="s">
        <v>4313</v>
      </c>
      <c r="D1883" s="3336" t="s">
        <v>4412</v>
      </c>
      <c r="E1883" s="3339">
        <v>338.2</v>
      </c>
      <c r="F1883" s="3339">
        <v>230</v>
      </c>
      <c r="G1883" s="3340">
        <v>42036</v>
      </c>
      <c r="H1883" s="3340">
        <v>42277</v>
      </c>
      <c r="I1883" s="3340">
        <v>42277</v>
      </c>
      <c r="J1883" s="3324"/>
    </row>
    <row r="1884" spans="1:12" s="3327" customFormat="1" ht="13.5" customHeight="1">
      <c r="A1884" s="3355"/>
      <c r="B1884" s="3336" t="s">
        <v>4263</v>
      </c>
      <c r="C1884" s="3336" t="s">
        <v>4313</v>
      </c>
      <c r="D1884" s="3336" t="s">
        <v>4412</v>
      </c>
      <c r="E1884" s="3339">
        <v>338.2</v>
      </c>
      <c r="F1884" s="3339">
        <v>230</v>
      </c>
      <c r="G1884" s="3340">
        <v>42278</v>
      </c>
      <c r="H1884" s="3340">
        <v>42459</v>
      </c>
      <c r="I1884" s="3340">
        <v>42460</v>
      </c>
      <c r="J1884" s="3324"/>
    </row>
    <row r="1885" spans="1:12" s="3327" customFormat="1" ht="13.5" customHeight="1">
      <c r="A1885" s="3355"/>
      <c r="B1885" s="3336" t="s">
        <v>4263</v>
      </c>
      <c r="C1885" s="3336" t="s">
        <v>4313</v>
      </c>
      <c r="D1885" s="3336" t="s">
        <v>4412</v>
      </c>
      <c r="E1885" s="3339">
        <v>338.2</v>
      </c>
      <c r="F1885" s="3339">
        <v>205</v>
      </c>
      <c r="G1885" s="3340">
        <v>42461</v>
      </c>
      <c r="H1885" s="3340">
        <v>42520</v>
      </c>
      <c r="I1885" s="3340">
        <v>42825</v>
      </c>
      <c r="J1885" s="3324"/>
    </row>
    <row r="1886" spans="1:12" s="3327" customFormat="1" ht="13.5" customHeight="1">
      <c r="A1886" s="3355"/>
      <c r="B1886" s="3336" t="s">
        <v>4263</v>
      </c>
      <c r="C1886" s="3336" t="s">
        <v>4313</v>
      </c>
      <c r="D1886" s="3336" t="s">
        <v>4412</v>
      </c>
      <c r="E1886" s="3339">
        <v>338.2</v>
      </c>
      <c r="F1886" s="3339">
        <v>205</v>
      </c>
      <c r="G1886" s="3340">
        <v>42522</v>
      </c>
      <c r="H1886" s="3340">
        <v>42824</v>
      </c>
      <c r="I1886" s="3340">
        <v>42825</v>
      </c>
      <c r="J1886" s="3324"/>
    </row>
    <row r="1887" spans="1:12" s="3327" customFormat="1" ht="13.5" customHeight="1">
      <c r="A1887" s="3355"/>
      <c r="B1887" s="3331" t="s">
        <v>4263</v>
      </c>
      <c r="C1887" s="3331" t="s">
        <v>4313</v>
      </c>
      <c r="D1887" s="3331" t="s">
        <v>4412</v>
      </c>
      <c r="E1887" s="3332">
        <v>338.2</v>
      </c>
      <c r="F1887" s="3332">
        <v>300</v>
      </c>
      <c r="G1887" s="3333">
        <v>42826</v>
      </c>
      <c r="H1887" s="3333">
        <v>42855</v>
      </c>
      <c r="I1887" s="3333">
        <v>43190</v>
      </c>
      <c r="J1887" s="3324"/>
      <c r="K1887" s="3334">
        <f t="shared" ref="K1887:K1888" si="267">E1887</f>
        <v>338.2</v>
      </c>
      <c r="L1887" s="3334">
        <f t="shared" ref="L1887:L1888" si="268">F1887/30</f>
        <v>10</v>
      </c>
    </row>
    <row r="1888" spans="1:12" s="3327" customFormat="1" ht="13.5" customHeight="1">
      <c r="A1888" s="3355" t="s">
        <v>4275</v>
      </c>
      <c r="B1888" s="3331" t="s">
        <v>4263</v>
      </c>
      <c r="C1888" s="3331" t="s">
        <v>4413</v>
      </c>
      <c r="D1888" s="3331" t="s">
        <v>4412</v>
      </c>
      <c r="E1888" s="3332">
        <v>338.2</v>
      </c>
      <c r="F1888" s="3332">
        <v>330</v>
      </c>
      <c r="G1888" s="3333">
        <v>42856</v>
      </c>
      <c r="H1888" s="3333">
        <v>43130</v>
      </c>
      <c r="I1888" s="3333">
        <v>43190</v>
      </c>
      <c r="J1888" s="3324"/>
      <c r="K1888" s="3334">
        <f t="shared" si="267"/>
        <v>338.2</v>
      </c>
      <c r="L1888" s="3334">
        <f t="shared" si="268"/>
        <v>11</v>
      </c>
    </row>
    <row r="1889" spans="1:12" s="3327" customFormat="1" ht="13.5" customHeight="1">
      <c r="A1889" s="3355"/>
      <c r="B1889" s="3336" t="s">
        <v>4263</v>
      </c>
      <c r="C1889" s="3336" t="s">
        <v>4414</v>
      </c>
      <c r="D1889" s="3336" t="s">
        <v>4415</v>
      </c>
      <c r="E1889" s="3339">
        <v>261.39999999999998</v>
      </c>
      <c r="F1889" s="3339">
        <v>280</v>
      </c>
      <c r="G1889" s="3340">
        <v>40634</v>
      </c>
      <c r="H1889" s="3340">
        <v>40853</v>
      </c>
      <c r="I1889" s="3340">
        <v>40999</v>
      </c>
      <c r="J1889" s="3336"/>
    </row>
    <row r="1890" spans="1:12" s="3327" customFormat="1" ht="13.5" customHeight="1">
      <c r="A1890" s="3395"/>
      <c r="B1890" s="3336" t="s">
        <v>4263</v>
      </c>
      <c r="C1890" s="3336" t="s">
        <v>4416</v>
      </c>
      <c r="D1890" s="3336" t="s">
        <v>4415</v>
      </c>
      <c r="E1890" s="3339">
        <v>261.39999999999998</v>
      </c>
      <c r="F1890" s="3396">
        <v>224.94261667941899</v>
      </c>
      <c r="G1890" s="3340">
        <v>41000</v>
      </c>
      <c r="H1890" s="3340">
        <v>41363</v>
      </c>
      <c r="I1890" s="3340">
        <v>41364</v>
      </c>
      <c r="J1890" s="3336"/>
    </row>
    <row r="1891" spans="1:12" s="3327" customFormat="1" ht="13.5" customHeight="1">
      <c r="A1891" s="3354"/>
      <c r="B1891" s="3324" t="s">
        <v>4263</v>
      </c>
      <c r="C1891" s="3324" t="s">
        <v>4417</v>
      </c>
      <c r="D1891" s="3324" t="s">
        <v>4418</v>
      </c>
      <c r="E1891" s="3325">
        <v>256.39999999999998</v>
      </c>
      <c r="F1891" s="3325">
        <v>230</v>
      </c>
      <c r="G1891" s="3326">
        <v>41730</v>
      </c>
      <c r="H1891" s="3326">
        <v>41973</v>
      </c>
      <c r="I1891" s="3326">
        <v>42094</v>
      </c>
      <c r="J1891" s="3324"/>
    </row>
    <row r="1892" spans="1:12" s="3327" customFormat="1" ht="13.5" customHeight="1">
      <c r="A1892" s="3354"/>
      <c r="B1892" s="3324" t="s">
        <v>4263</v>
      </c>
      <c r="C1892" s="3324" t="s">
        <v>4419</v>
      </c>
      <c r="D1892" s="3324" t="s">
        <v>4418</v>
      </c>
      <c r="E1892" s="3325">
        <v>256.39999999999998</v>
      </c>
      <c r="F1892" s="3325">
        <v>230</v>
      </c>
      <c r="G1892" s="3326">
        <v>41974</v>
      </c>
      <c r="H1892" s="3326">
        <v>42093</v>
      </c>
      <c r="I1892" s="3326">
        <v>42094</v>
      </c>
      <c r="J1892" s="3324"/>
    </row>
    <row r="1893" spans="1:12" s="3327" customFormat="1" ht="13.5" customHeight="1">
      <c r="A1893" s="3354"/>
      <c r="B1893" s="3336" t="s">
        <v>4263</v>
      </c>
      <c r="C1893" s="3336" t="s">
        <v>4419</v>
      </c>
      <c r="D1893" s="3336" t="s">
        <v>4418</v>
      </c>
      <c r="E1893" s="3339">
        <v>256.39999999999998</v>
      </c>
      <c r="F1893" s="3339">
        <v>225</v>
      </c>
      <c r="G1893" s="3340">
        <v>42095</v>
      </c>
      <c r="H1893" s="3340">
        <v>42459</v>
      </c>
      <c r="I1893" s="3340">
        <v>42460</v>
      </c>
      <c r="J1893" s="3324"/>
    </row>
    <row r="1894" spans="1:12" s="3327" customFormat="1" ht="13.5" customHeight="1">
      <c r="A1894" s="3354"/>
      <c r="B1894" s="3336" t="s">
        <v>4263</v>
      </c>
      <c r="C1894" s="3336" t="s">
        <v>4420</v>
      </c>
      <c r="D1894" s="3336" t="s">
        <v>4418</v>
      </c>
      <c r="E1894" s="3338">
        <v>262.3</v>
      </c>
      <c r="F1894" s="3339">
        <v>220</v>
      </c>
      <c r="G1894" s="3340">
        <v>42461</v>
      </c>
      <c r="H1894" s="3340">
        <v>42824</v>
      </c>
      <c r="I1894" s="3340">
        <v>42825</v>
      </c>
      <c r="J1894" s="3324"/>
    </row>
    <row r="1895" spans="1:12" s="3327" customFormat="1" ht="13.5" customHeight="1">
      <c r="A1895" s="3354"/>
      <c r="B1895" s="3331" t="s">
        <v>4263</v>
      </c>
      <c r="C1895" s="3331" t="s">
        <v>4420</v>
      </c>
      <c r="D1895" s="3331" t="s">
        <v>4421</v>
      </c>
      <c r="E1895" s="3332">
        <v>262.3</v>
      </c>
      <c r="F1895" s="3332">
        <v>160</v>
      </c>
      <c r="G1895" s="3333">
        <v>42826</v>
      </c>
      <c r="H1895" s="3333">
        <v>42885</v>
      </c>
      <c r="I1895" s="3333">
        <v>42886</v>
      </c>
      <c r="J1895" s="3324"/>
      <c r="K1895" s="3334">
        <f t="shared" ref="K1895:K1896" si="269">E1895</f>
        <v>262.3</v>
      </c>
      <c r="L1895" s="3334">
        <f t="shared" ref="L1895:L1896" si="270">F1895/30</f>
        <v>5.333333333333333</v>
      </c>
    </row>
    <row r="1896" spans="1:12" s="3327" customFormat="1" ht="13.5" customHeight="1">
      <c r="A1896" s="3354" t="s">
        <v>4275</v>
      </c>
      <c r="B1896" s="3331" t="s">
        <v>4263</v>
      </c>
      <c r="C1896" s="3331" t="s">
        <v>4422</v>
      </c>
      <c r="D1896" s="3331" t="s">
        <v>4421</v>
      </c>
      <c r="E1896" s="3332">
        <v>262.3</v>
      </c>
      <c r="F1896" s="3332">
        <v>188</v>
      </c>
      <c r="G1896" s="3333">
        <v>42887</v>
      </c>
      <c r="H1896" s="3333">
        <v>43130</v>
      </c>
      <c r="I1896" s="3333">
        <v>43190</v>
      </c>
      <c r="J1896" s="3324"/>
      <c r="K1896" s="3334">
        <f t="shared" si="269"/>
        <v>262.3</v>
      </c>
      <c r="L1896" s="3334">
        <f t="shared" si="270"/>
        <v>6.2666666666666666</v>
      </c>
    </row>
    <row r="1897" spans="1:12" s="3327" customFormat="1" ht="13.5" customHeight="1">
      <c r="A1897" s="3355"/>
      <c r="B1897" s="3336" t="s">
        <v>4263</v>
      </c>
      <c r="C1897" s="3336" t="s">
        <v>4423</v>
      </c>
      <c r="D1897" s="3336" t="s">
        <v>4424</v>
      </c>
      <c r="E1897" s="3339">
        <v>157</v>
      </c>
      <c r="F1897" s="3339">
        <v>280</v>
      </c>
      <c r="G1897" s="3340">
        <v>41000</v>
      </c>
      <c r="H1897" s="3340">
        <v>41363</v>
      </c>
      <c r="I1897" s="3340">
        <v>41364</v>
      </c>
      <c r="J1897" s="3336"/>
    </row>
    <row r="1898" spans="1:12" s="3327" customFormat="1" ht="12.75" customHeight="1">
      <c r="A1898" s="3354"/>
      <c r="B1898" s="3324" t="s">
        <v>4263</v>
      </c>
      <c r="C1898" s="3324" t="s">
        <v>4423</v>
      </c>
      <c r="D1898" s="3324" t="s">
        <v>4425</v>
      </c>
      <c r="E1898" s="3325">
        <v>157</v>
      </c>
      <c r="F1898" s="3325">
        <v>290</v>
      </c>
      <c r="G1898" s="3326">
        <v>41730</v>
      </c>
      <c r="H1898" s="3326">
        <v>42093</v>
      </c>
      <c r="I1898" s="3326">
        <v>42094</v>
      </c>
      <c r="J1898" s="3324"/>
    </row>
    <row r="1899" spans="1:12" s="3327" customFormat="1" ht="13.5" customHeight="1">
      <c r="A1899" s="3354"/>
      <c r="B1899" s="3336" t="s">
        <v>4263</v>
      </c>
      <c r="C1899" s="3336" t="s">
        <v>4423</v>
      </c>
      <c r="D1899" s="3336" t="s">
        <v>4425</v>
      </c>
      <c r="E1899" s="3339">
        <v>157</v>
      </c>
      <c r="F1899" s="3339">
        <v>290</v>
      </c>
      <c r="G1899" s="3340">
        <v>42095</v>
      </c>
      <c r="H1899" s="3340">
        <v>42459</v>
      </c>
      <c r="I1899" s="3340">
        <v>42460</v>
      </c>
      <c r="J1899" s="3324"/>
    </row>
    <row r="1900" spans="1:12" s="3327" customFormat="1" ht="13.5" customHeight="1">
      <c r="A1900" s="3354"/>
      <c r="B1900" s="3336" t="s">
        <v>4263</v>
      </c>
      <c r="C1900" s="3336" t="s">
        <v>4423</v>
      </c>
      <c r="D1900" s="3336" t="s">
        <v>4425</v>
      </c>
      <c r="E1900" s="3339">
        <v>157</v>
      </c>
      <c r="F1900" s="3339">
        <v>290</v>
      </c>
      <c r="G1900" s="3340">
        <v>42461</v>
      </c>
      <c r="H1900" s="3340">
        <v>42824</v>
      </c>
      <c r="I1900" s="3340">
        <v>42825</v>
      </c>
      <c r="J1900" s="3324"/>
    </row>
    <row r="1901" spans="1:12" s="3327" customFormat="1" ht="13.5" customHeight="1">
      <c r="A1901" s="3354"/>
      <c r="B1901" s="3331" t="s">
        <v>4263</v>
      </c>
      <c r="C1901" s="3331" t="s">
        <v>4423</v>
      </c>
      <c r="D1901" s="3331" t="s">
        <v>4425</v>
      </c>
      <c r="E1901" s="3332">
        <v>157</v>
      </c>
      <c r="F1901" s="3332">
        <v>230</v>
      </c>
      <c r="G1901" s="3333">
        <v>42826</v>
      </c>
      <c r="H1901" s="3333">
        <v>42885</v>
      </c>
      <c r="I1901" s="3333">
        <v>43190</v>
      </c>
      <c r="J1901" s="3324"/>
      <c r="K1901" s="3334">
        <f t="shared" ref="K1901:K1903" si="271">E1901</f>
        <v>157</v>
      </c>
      <c r="L1901" s="3334">
        <f t="shared" ref="L1901:L1903" si="272">F1901/30</f>
        <v>7.666666666666667</v>
      </c>
    </row>
    <row r="1902" spans="1:12" s="3327" customFormat="1" ht="13.5" customHeight="1">
      <c r="A1902" s="3354"/>
      <c r="B1902" s="3331" t="s">
        <v>4263</v>
      </c>
      <c r="C1902" s="3331" t="s">
        <v>4423</v>
      </c>
      <c r="D1902" s="3331" t="s">
        <v>4425</v>
      </c>
      <c r="E1902" s="3332">
        <v>157</v>
      </c>
      <c r="F1902" s="3332">
        <v>310</v>
      </c>
      <c r="G1902" s="3333">
        <v>42887</v>
      </c>
      <c r="H1902" s="3333">
        <v>43044</v>
      </c>
      <c r="I1902" s="3333">
        <v>43190</v>
      </c>
      <c r="J1902" s="3324"/>
      <c r="K1902" s="3334">
        <f t="shared" si="271"/>
        <v>157</v>
      </c>
      <c r="L1902" s="3334">
        <f t="shared" si="272"/>
        <v>10.333333333333334</v>
      </c>
    </row>
    <row r="1903" spans="1:12" s="3327" customFormat="1" ht="13.5" customHeight="1">
      <c r="A1903" s="3354" t="s">
        <v>4275</v>
      </c>
      <c r="B1903" s="3331" t="s">
        <v>4263</v>
      </c>
      <c r="C1903" s="3331" t="s">
        <v>4426</v>
      </c>
      <c r="D1903" s="3331" t="s">
        <v>4425</v>
      </c>
      <c r="E1903" s="3332">
        <v>157</v>
      </c>
      <c r="F1903" s="3332">
        <v>250</v>
      </c>
      <c r="G1903" s="3333">
        <v>43045</v>
      </c>
      <c r="H1903" s="3333">
        <v>43130</v>
      </c>
      <c r="I1903" s="3333">
        <v>43190</v>
      </c>
      <c r="J1903" s="3324"/>
      <c r="K1903" s="3334">
        <f t="shared" si="271"/>
        <v>157</v>
      </c>
      <c r="L1903" s="3334">
        <f t="shared" si="272"/>
        <v>8.3333333333333339</v>
      </c>
    </row>
    <row r="1904" spans="1:12" s="3327" customFormat="1" ht="13.5" customHeight="1">
      <c r="A1904" s="3354"/>
      <c r="B1904" s="3324" t="s">
        <v>4263</v>
      </c>
      <c r="C1904" s="3324" t="s">
        <v>4427</v>
      </c>
      <c r="D1904" s="3324" t="s">
        <v>4428</v>
      </c>
      <c r="E1904" s="3325">
        <v>471.8</v>
      </c>
      <c r="F1904" s="3325">
        <v>160</v>
      </c>
      <c r="G1904" s="3326">
        <v>41730</v>
      </c>
      <c r="H1904" s="3326">
        <v>41973</v>
      </c>
      <c r="I1904" s="3326">
        <v>42094</v>
      </c>
      <c r="J1904" s="3324"/>
    </row>
    <row r="1905" spans="1:12" s="3327" customFormat="1" ht="13.5" customHeight="1">
      <c r="A1905" s="3354"/>
      <c r="B1905" s="3324" t="s">
        <v>4263</v>
      </c>
      <c r="C1905" s="3324" t="s">
        <v>4427</v>
      </c>
      <c r="D1905" s="3324" t="s">
        <v>4428</v>
      </c>
      <c r="E1905" s="3325">
        <v>471.8</v>
      </c>
      <c r="F1905" s="3325">
        <v>160</v>
      </c>
      <c r="G1905" s="3326">
        <v>41974</v>
      </c>
      <c r="H1905" s="3326">
        <v>42093</v>
      </c>
      <c r="I1905" s="3326">
        <v>42094</v>
      </c>
      <c r="J1905" s="3324"/>
    </row>
    <row r="1906" spans="1:12" s="3327" customFormat="1" ht="13.5" customHeight="1">
      <c r="A1906" s="3354"/>
      <c r="B1906" s="3336" t="s">
        <v>4263</v>
      </c>
      <c r="C1906" s="3336" t="s">
        <v>4427</v>
      </c>
      <c r="D1906" s="3336" t="s">
        <v>4428</v>
      </c>
      <c r="E1906" s="3339">
        <v>471.8</v>
      </c>
      <c r="F1906" s="3339">
        <v>160</v>
      </c>
      <c r="G1906" s="3340">
        <v>42095</v>
      </c>
      <c r="H1906" s="3340">
        <v>42459</v>
      </c>
      <c r="I1906" s="3340">
        <v>42460</v>
      </c>
      <c r="J1906" s="3324"/>
    </row>
    <row r="1907" spans="1:12" s="3327" customFormat="1" ht="13.5" customHeight="1">
      <c r="A1907" s="3354"/>
      <c r="B1907" s="3336" t="s">
        <v>4263</v>
      </c>
      <c r="C1907" s="3336" t="s">
        <v>4427</v>
      </c>
      <c r="D1907" s="3336" t="s">
        <v>4428</v>
      </c>
      <c r="E1907" s="3338">
        <v>667.8</v>
      </c>
      <c r="F1907" s="3339">
        <v>165</v>
      </c>
      <c r="G1907" s="3340">
        <v>42461</v>
      </c>
      <c r="H1907" s="3340">
        <v>42824</v>
      </c>
      <c r="I1907" s="3340">
        <v>42825</v>
      </c>
      <c r="J1907" s="3324"/>
    </row>
    <row r="1908" spans="1:12" s="3327" customFormat="1" ht="13.5" customHeight="1">
      <c r="A1908" s="3354"/>
      <c r="B1908" s="3331" t="s">
        <v>4263</v>
      </c>
      <c r="C1908" s="3331" t="s">
        <v>4427</v>
      </c>
      <c r="D1908" s="3331" t="s">
        <v>4428</v>
      </c>
      <c r="E1908" s="3332">
        <v>667.8</v>
      </c>
      <c r="F1908" s="3332">
        <v>126</v>
      </c>
      <c r="G1908" s="3333">
        <v>42826</v>
      </c>
      <c r="H1908" s="3333">
        <v>43069</v>
      </c>
      <c r="I1908" s="3333">
        <v>43190</v>
      </c>
      <c r="J1908" s="3324"/>
      <c r="K1908" s="3334">
        <f t="shared" ref="K1908:K1909" si="273">E1908</f>
        <v>667.8</v>
      </c>
      <c r="L1908" s="3334">
        <f t="shared" ref="L1908:L1909" si="274">F1908/30</f>
        <v>4.2</v>
      </c>
    </row>
    <row r="1909" spans="1:12" s="3327" customFormat="1" ht="13.5" customHeight="1">
      <c r="A1909" s="3354" t="s">
        <v>4429</v>
      </c>
      <c r="B1909" s="3331" t="s">
        <v>4263</v>
      </c>
      <c r="C1909" s="3331" t="s">
        <v>4430</v>
      </c>
      <c r="D1909" s="3331" t="s">
        <v>4428</v>
      </c>
      <c r="E1909" s="3332">
        <v>667.8</v>
      </c>
      <c r="F1909" s="3332">
        <v>126</v>
      </c>
      <c r="G1909" s="3333">
        <v>43070</v>
      </c>
      <c r="H1909" s="3333">
        <v>43130</v>
      </c>
      <c r="I1909" s="3333">
        <v>43190</v>
      </c>
      <c r="J1909" s="3324"/>
      <c r="K1909" s="3334">
        <f t="shared" si="273"/>
        <v>667.8</v>
      </c>
      <c r="L1909" s="3334">
        <f t="shared" si="274"/>
        <v>4.2</v>
      </c>
    </row>
    <row r="1910" spans="1:12" s="3327" customFormat="1" ht="13.5" customHeight="1">
      <c r="A1910" s="3354"/>
      <c r="B1910" s="3324" t="s">
        <v>4263</v>
      </c>
      <c r="C1910" s="3324" t="s">
        <v>4431</v>
      </c>
      <c r="D1910" s="3324" t="s">
        <v>4432</v>
      </c>
      <c r="E1910" s="3325">
        <v>79.400000000000006</v>
      </c>
      <c r="F1910" s="3325">
        <v>270</v>
      </c>
      <c r="G1910" s="3326">
        <v>40264</v>
      </c>
      <c r="H1910" s="3326">
        <v>40632</v>
      </c>
      <c r="I1910" s="3326">
        <v>40632</v>
      </c>
      <c r="J1910" s="3324"/>
    </row>
    <row r="1911" spans="1:12" s="3327" customFormat="1" ht="13.5" customHeight="1">
      <c r="A1911" s="3355"/>
      <c r="B1911" s="3336" t="s">
        <v>4263</v>
      </c>
      <c r="C1911" s="3336" t="s">
        <v>4433</v>
      </c>
      <c r="D1911" s="3336" t="s">
        <v>4432</v>
      </c>
      <c r="E1911" s="3339">
        <v>79.400000000000006</v>
      </c>
      <c r="F1911" s="3339">
        <v>270</v>
      </c>
      <c r="G1911" s="3340">
        <v>41000</v>
      </c>
      <c r="H1911" s="3340">
        <v>41304</v>
      </c>
      <c r="I1911" s="3340">
        <v>41364</v>
      </c>
      <c r="J1911" s="3336"/>
    </row>
    <row r="1912" spans="1:12" s="3327" customFormat="1" ht="13.5" customHeight="1">
      <c r="A1912" s="3354"/>
      <c r="B1912" s="3324" t="s">
        <v>4263</v>
      </c>
      <c r="C1912" s="3324" t="s">
        <v>4434</v>
      </c>
      <c r="D1912" s="3324" t="s">
        <v>4435</v>
      </c>
      <c r="E1912" s="3325">
        <v>61.3</v>
      </c>
      <c r="F1912" s="3325">
        <v>270</v>
      </c>
      <c r="G1912" s="3326">
        <v>41000</v>
      </c>
      <c r="H1912" s="3326">
        <v>41363</v>
      </c>
      <c r="I1912" s="3326">
        <v>41364</v>
      </c>
      <c r="J1912" s="3324"/>
    </row>
    <row r="1913" spans="1:12" s="3327" customFormat="1" ht="13.5" customHeight="1">
      <c r="A1913" s="3355"/>
      <c r="B1913" s="3336" t="s">
        <v>4263</v>
      </c>
      <c r="C1913" s="3336" t="s">
        <v>4301</v>
      </c>
      <c r="D1913" s="3336" t="s">
        <v>4436</v>
      </c>
      <c r="E1913" s="3339">
        <v>62.699999999999996</v>
      </c>
      <c r="F1913" s="3339">
        <v>280</v>
      </c>
      <c r="G1913" s="3340">
        <v>41000</v>
      </c>
      <c r="H1913" s="3340">
        <v>41363</v>
      </c>
      <c r="I1913" s="3340">
        <v>41364</v>
      </c>
      <c r="J1913" s="3336"/>
    </row>
    <row r="1914" spans="1:12" s="3327" customFormat="1" ht="13.5" customHeight="1">
      <c r="A1914" s="3354"/>
      <c r="B1914" s="3324" t="s">
        <v>4263</v>
      </c>
      <c r="C1914" s="3324" t="s">
        <v>3321</v>
      </c>
      <c r="D1914" s="3324" t="s">
        <v>4284</v>
      </c>
      <c r="E1914" s="3325">
        <v>21.6</v>
      </c>
      <c r="F1914" s="3325">
        <v>200</v>
      </c>
      <c r="G1914" s="3326">
        <v>41699</v>
      </c>
      <c r="H1914" s="3326">
        <v>41942</v>
      </c>
      <c r="I1914" s="3326">
        <v>42094</v>
      </c>
      <c r="J1914" s="3324"/>
    </row>
    <row r="1915" spans="1:12" s="3327" customFormat="1" ht="13.5" customHeight="1">
      <c r="A1915" s="3354"/>
      <c r="B1915" s="3324" t="s">
        <v>4263</v>
      </c>
      <c r="C1915" s="3324" t="s">
        <v>4437</v>
      </c>
      <c r="D1915" s="3324" t="s">
        <v>4284</v>
      </c>
      <c r="E1915" s="3325">
        <v>21.6</v>
      </c>
      <c r="F1915" s="3325">
        <v>200</v>
      </c>
      <c r="G1915" s="3326">
        <v>41944</v>
      </c>
      <c r="H1915" s="3326">
        <v>42093</v>
      </c>
      <c r="I1915" s="3326">
        <v>42094</v>
      </c>
      <c r="J1915" s="3324"/>
    </row>
    <row r="1916" spans="1:12" s="3327" customFormat="1" ht="13.5" customHeight="1">
      <c r="A1916" s="3354"/>
      <c r="B1916" s="3336" t="s">
        <v>4263</v>
      </c>
      <c r="C1916" s="3336" t="s">
        <v>4437</v>
      </c>
      <c r="D1916" s="3336" t="s">
        <v>4284</v>
      </c>
      <c r="E1916" s="3339">
        <v>21.6</v>
      </c>
      <c r="F1916" s="3339">
        <v>205</v>
      </c>
      <c r="G1916" s="3340">
        <v>42095</v>
      </c>
      <c r="H1916" s="3340">
        <v>42459</v>
      </c>
      <c r="I1916" s="3340">
        <v>42460</v>
      </c>
      <c r="J1916" s="3324"/>
    </row>
    <row r="1917" spans="1:12" s="3327" customFormat="1" ht="13.5" customHeight="1">
      <c r="A1917" s="3354"/>
      <c r="B1917" s="3336" t="s">
        <v>4263</v>
      </c>
      <c r="C1917" s="3336" t="s">
        <v>4437</v>
      </c>
      <c r="D1917" s="3336" t="s">
        <v>4284</v>
      </c>
      <c r="E1917" s="3339">
        <v>21.6</v>
      </c>
      <c r="F1917" s="3339">
        <v>220</v>
      </c>
      <c r="G1917" s="3340">
        <v>42461</v>
      </c>
      <c r="H1917" s="3340">
        <v>42824</v>
      </c>
      <c r="I1917" s="3340">
        <v>42825</v>
      </c>
      <c r="J1917" s="3324"/>
    </row>
    <row r="1918" spans="1:12" s="3327" customFormat="1" ht="13.5" customHeight="1">
      <c r="A1918" s="3354" t="s">
        <v>4275</v>
      </c>
      <c r="B1918" s="3331" t="s">
        <v>4263</v>
      </c>
      <c r="C1918" s="3331" t="s">
        <v>4437</v>
      </c>
      <c r="D1918" s="3331" t="s">
        <v>4438</v>
      </c>
      <c r="E1918" s="3332">
        <v>21.6</v>
      </c>
      <c r="F1918" s="3332">
        <v>240</v>
      </c>
      <c r="G1918" s="3333">
        <v>42826</v>
      </c>
      <c r="H1918" s="3333">
        <v>43130</v>
      </c>
      <c r="I1918" s="3333">
        <v>43190</v>
      </c>
      <c r="J1918" s="3324"/>
      <c r="K1918" s="3334">
        <f t="shared" ref="K1918" si="275">E1918</f>
        <v>21.6</v>
      </c>
      <c r="L1918" s="3334">
        <f t="shared" ref="L1918" si="276">F1918/30</f>
        <v>8</v>
      </c>
    </row>
    <row r="1919" spans="1:12" s="3327" customFormat="1" ht="13.5" customHeight="1">
      <c r="A1919" s="3354"/>
      <c r="B1919" s="3324" t="s">
        <v>4263</v>
      </c>
      <c r="C1919" s="3324" t="s">
        <v>3291</v>
      </c>
      <c r="D1919" s="3324" t="s">
        <v>4439</v>
      </c>
      <c r="E1919" s="3325">
        <v>66.7</v>
      </c>
      <c r="F1919" s="3325">
        <v>200</v>
      </c>
      <c r="G1919" s="3326">
        <v>41699</v>
      </c>
      <c r="H1919" s="3326">
        <v>42093</v>
      </c>
      <c r="I1919" s="3326">
        <v>42094</v>
      </c>
      <c r="J1919" s="3324"/>
    </row>
    <row r="1920" spans="1:12" s="3327" customFormat="1" ht="13.5" customHeight="1">
      <c r="A1920" s="3354"/>
      <c r="B1920" s="3336" t="s">
        <v>4263</v>
      </c>
      <c r="C1920" s="3336" t="s">
        <v>3291</v>
      </c>
      <c r="D1920" s="3336" t="s">
        <v>4439</v>
      </c>
      <c r="E1920" s="3339">
        <v>66.7</v>
      </c>
      <c r="F1920" s="3339">
        <v>205</v>
      </c>
      <c r="G1920" s="3340">
        <v>42095</v>
      </c>
      <c r="H1920" s="3340">
        <v>42459</v>
      </c>
      <c r="I1920" s="3340">
        <v>42460</v>
      </c>
      <c r="J1920" s="3324"/>
    </row>
    <row r="1921" spans="1:12" s="3327" customFormat="1" ht="13.5" customHeight="1">
      <c r="A1921" s="3354"/>
      <c r="B1921" s="3336" t="s">
        <v>4263</v>
      </c>
      <c r="C1921" s="3336" t="s">
        <v>3291</v>
      </c>
      <c r="D1921" s="3336" t="s">
        <v>4439</v>
      </c>
      <c r="E1921" s="3339">
        <v>66.7</v>
      </c>
      <c r="F1921" s="3339">
        <v>220</v>
      </c>
      <c r="G1921" s="3340">
        <v>42461</v>
      </c>
      <c r="H1921" s="3340">
        <v>42824</v>
      </c>
      <c r="I1921" s="3340">
        <v>42825</v>
      </c>
      <c r="J1921" s="3324"/>
    </row>
    <row r="1922" spans="1:12" s="3327" customFormat="1" ht="13.5" customHeight="1">
      <c r="A1922" s="3354" t="s">
        <v>4275</v>
      </c>
      <c r="B1922" s="3331" t="s">
        <v>4263</v>
      </c>
      <c r="C1922" s="3331" t="s">
        <v>3291</v>
      </c>
      <c r="D1922" s="3331" t="s">
        <v>4440</v>
      </c>
      <c r="E1922" s="3332">
        <v>66.7</v>
      </c>
      <c r="F1922" s="3332">
        <v>240</v>
      </c>
      <c r="G1922" s="3333">
        <v>42826</v>
      </c>
      <c r="H1922" s="3333">
        <v>43130</v>
      </c>
      <c r="I1922" s="3333">
        <v>43190</v>
      </c>
      <c r="J1922" s="3324"/>
      <c r="K1922" s="3334">
        <f t="shared" ref="K1922" si="277">E1922</f>
        <v>66.7</v>
      </c>
      <c r="L1922" s="3334">
        <f t="shared" ref="L1922" si="278">F1922/30</f>
        <v>8</v>
      </c>
    </row>
    <row r="1923" spans="1:12" s="3327" customFormat="1" ht="13.5" customHeight="1">
      <c r="A1923" s="3354"/>
      <c r="B1923" s="3324" t="s">
        <v>4263</v>
      </c>
      <c r="C1923" s="3324" t="s">
        <v>4441</v>
      </c>
      <c r="D1923" s="3324" t="s">
        <v>4428</v>
      </c>
      <c r="E1923" s="3325">
        <v>102.2</v>
      </c>
      <c r="F1923" s="3325">
        <v>200</v>
      </c>
      <c r="G1923" s="3326">
        <v>41699</v>
      </c>
      <c r="H1923" s="3326">
        <v>42093</v>
      </c>
      <c r="I1923" s="3326">
        <v>42094</v>
      </c>
      <c r="J1923" s="3324"/>
    </row>
    <row r="1924" spans="1:12" s="3327" customFormat="1" ht="13.5" customHeight="1">
      <c r="A1924" s="3354"/>
      <c r="B1924" s="3336" t="s">
        <v>4263</v>
      </c>
      <c r="C1924" s="3336" t="s">
        <v>4441</v>
      </c>
      <c r="D1924" s="3336" t="s">
        <v>4428</v>
      </c>
      <c r="E1924" s="3339">
        <v>102.2</v>
      </c>
      <c r="F1924" s="3339">
        <v>205</v>
      </c>
      <c r="G1924" s="3340">
        <v>42095</v>
      </c>
      <c r="H1924" s="3340">
        <v>42459</v>
      </c>
      <c r="I1924" s="3340">
        <v>42460</v>
      </c>
      <c r="J1924" s="3324"/>
    </row>
    <row r="1925" spans="1:12" s="3327" customFormat="1" ht="13.5" customHeight="1">
      <c r="A1925" s="3354"/>
      <c r="B1925" s="3336" t="s">
        <v>4263</v>
      </c>
      <c r="C1925" s="3336" t="s">
        <v>4441</v>
      </c>
      <c r="D1925" s="3336" t="s">
        <v>4428</v>
      </c>
      <c r="E1925" s="3339">
        <v>102.2</v>
      </c>
      <c r="F1925" s="3339">
        <v>215</v>
      </c>
      <c r="G1925" s="3340">
        <v>42461</v>
      </c>
      <c r="H1925" s="3340">
        <v>42824</v>
      </c>
      <c r="I1925" s="3340">
        <v>42825</v>
      </c>
      <c r="J1925" s="3324"/>
    </row>
    <row r="1926" spans="1:12" s="3327" customFormat="1" ht="13.5" customHeight="1">
      <c r="A1926" s="3354"/>
      <c r="B1926" s="3331" t="s">
        <v>4263</v>
      </c>
      <c r="C1926" s="3331" t="s">
        <v>4441</v>
      </c>
      <c r="D1926" s="3331" t="s">
        <v>4442</v>
      </c>
      <c r="E1926" s="3332">
        <v>102.2</v>
      </c>
      <c r="F1926" s="3332">
        <v>215</v>
      </c>
      <c r="G1926" s="3333">
        <v>42826</v>
      </c>
      <c r="H1926" s="3333">
        <v>42983</v>
      </c>
      <c r="I1926" s="3333">
        <v>43190</v>
      </c>
      <c r="J1926" s="3324"/>
      <c r="K1926" s="3334">
        <f t="shared" ref="K1926:K1927" si="279">E1926</f>
        <v>102.2</v>
      </c>
      <c r="L1926" s="3334">
        <f t="shared" ref="L1926:L1927" si="280">F1926/30</f>
        <v>7.166666666666667</v>
      </c>
    </row>
    <row r="1927" spans="1:12" s="3327" customFormat="1" ht="13.5" customHeight="1">
      <c r="A1927" s="3354" t="s">
        <v>4275</v>
      </c>
      <c r="B1927" s="3331" t="s">
        <v>4263</v>
      </c>
      <c r="C1927" s="3331" t="s">
        <v>4441</v>
      </c>
      <c r="D1927" s="3331" t="s">
        <v>4442</v>
      </c>
      <c r="E1927" s="3332">
        <v>102.2</v>
      </c>
      <c r="F1927" s="3332">
        <v>215</v>
      </c>
      <c r="G1927" s="3333">
        <v>42984</v>
      </c>
      <c r="H1927" s="3333">
        <v>43130</v>
      </c>
      <c r="I1927" s="3333">
        <v>43190</v>
      </c>
      <c r="J1927" s="3324"/>
      <c r="K1927" s="3334">
        <f t="shared" si="279"/>
        <v>102.2</v>
      </c>
      <c r="L1927" s="3334">
        <f t="shared" si="280"/>
        <v>7.166666666666667</v>
      </c>
    </row>
    <row r="1928" spans="1:12" s="3327" customFormat="1" ht="13.5" customHeight="1">
      <c r="A1928" s="3355"/>
      <c r="B1928" s="3336" t="s">
        <v>4263</v>
      </c>
      <c r="C1928" s="3336" t="s">
        <v>4443</v>
      </c>
      <c r="D1928" s="3336" t="s">
        <v>4444</v>
      </c>
      <c r="E1928" s="3339">
        <v>543</v>
      </c>
      <c r="F1928" s="3339">
        <v>230</v>
      </c>
      <c r="G1928" s="3340">
        <v>41030</v>
      </c>
      <c r="H1928" s="3340">
        <v>41363</v>
      </c>
      <c r="I1928" s="3340">
        <v>41364</v>
      </c>
      <c r="J1928" s="3336"/>
    </row>
    <row r="1929" spans="1:12" s="3327" customFormat="1" ht="13.5" customHeight="1">
      <c r="A1929" s="3355"/>
      <c r="B1929" s="3336" t="s">
        <v>4263</v>
      </c>
      <c r="C1929" s="3336" t="s">
        <v>4445</v>
      </c>
      <c r="D1929" s="3336" t="s">
        <v>4444</v>
      </c>
      <c r="E1929" s="3339">
        <v>178.4</v>
      </c>
      <c r="F1929" s="3339">
        <v>230</v>
      </c>
      <c r="G1929" s="3340">
        <v>41426</v>
      </c>
      <c r="H1929" s="3340">
        <v>41577</v>
      </c>
      <c r="I1929" s="3340">
        <v>41729</v>
      </c>
      <c r="J1929" s="3336"/>
    </row>
    <row r="1930" spans="1:12" s="3327" customFormat="1" ht="13.5" customHeight="1">
      <c r="A1930" s="3354"/>
      <c r="B1930" s="3324" t="s">
        <v>4263</v>
      </c>
      <c r="C1930" s="3324" t="s">
        <v>4446</v>
      </c>
      <c r="D1930" s="3324" t="s">
        <v>4447</v>
      </c>
      <c r="E1930" s="3325">
        <v>178.4</v>
      </c>
      <c r="F1930" s="3325">
        <v>230</v>
      </c>
      <c r="G1930" s="3326">
        <v>41609</v>
      </c>
      <c r="H1930" s="3326">
        <v>41698</v>
      </c>
      <c r="I1930" s="3326">
        <v>41729</v>
      </c>
      <c r="J1930" s="3324"/>
    </row>
    <row r="1931" spans="1:12" s="3327" customFormat="1" ht="13.5" customHeight="1">
      <c r="A1931" s="3354"/>
      <c r="B1931" s="3324" t="s">
        <v>4263</v>
      </c>
      <c r="C1931" s="3324" t="s">
        <v>3736</v>
      </c>
      <c r="D1931" s="3324" t="s">
        <v>4447</v>
      </c>
      <c r="E1931" s="3325">
        <v>179.2</v>
      </c>
      <c r="F1931" s="3325">
        <v>180</v>
      </c>
      <c r="G1931" s="3326">
        <v>41730</v>
      </c>
      <c r="H1931" s="3326">
        <v>42093</v>
      </c>
      <c r="I1931" s="3326">
        <v>42094</v>
      </c>
      <c r="J1931" s="3324"/>
    </row>
    <row r="1932" spans="1:12" s="3327" customFormat="1" ht="13.5" customHeight="1">
      <c r="A1932" s="3354"/>
      <c r="B1932" s="3336" t="s">
        <v>4263</v>
      </c>
      <c r="C1932" s="3336" t="s">
        <v>3736</v>
      </c>
      <c r="D1932" s="3336" t="s">
        <v>4447</v>
      </c>
      <c r="E1932" s="3339">
        <v>179.2</v>
      </c>
      <c r="F1932" s="3339">
        <v>186</v>
      </c>
      <c r="G1932" s="3340">
        <v>42095</v>
      </c>
      <c r="H1932" s="3340">
        <v>42459</v>
      </c>
      <c r="I1932" s="3340">
        <v>42460</v>
      </c>
      <c r="J1932" s="3324"/>
    </row>
    <row r="1933" spans="1:12" s="3327" customFormat="1" ht="13.5" customHeight="1">
      <c r="A1933" s="3354"/>
      <c r="B1933" s="3336" t="s">
        <v>4263</v>
      </c>
      <c r="C1933" s="3336" t="s">
        <v>3736</v>
      </c>
      <c r="D1933" s="3336" t="s">
        <v>4447</v>
      </c>
      <c r="E1933" s="3339">
        <v>179.2</v>
      </c>
      <c r="F1933" s="3339">
        <v>196</v>
      </c>
      <c r="G1933" s="3340">
        <v>42461</v>
      </c>
      <c r="H1933" s="3340">
        <v>42824</v>
      </c>
      <c r="I1933" s="3340">
        <v>42825</v>
      </c>
      <c r="J1933" s="3324"/>
    </row>
    <row r="1934" spans="1:12" s="3327" customFormat="1" ht="13.5" customHeight="1">
      <c r="A1934" s="3354" t="s">
        <v>4275</v>
      </c>
      <c r="B1934" s="3331" t="s">
        <v>4263</v>
      </c>
      <c r="C1934" s="3331" t="s">
        <v>4448</v>
      </c>
      <c r="D1934" s="3331" t="s">
        <v>4447</v>
      </c>
      <c r="E1934" s="3332">
        <v>179.2</v>
      </c>
      <c r="F1934" s="3332">
        <v>195</v>
      </c>
      <c r="G1934" s="3333">
        <v>42826</v>
      </c>
      <c r="H1934" s="3333">
        <v>43130</v>
      </c>
      <c r="I1934" s="3333">
        <v>43190</v>
      </c>
      <c r="J1934" s="3324"/>
      <c r="K1934" s="3334">
        <f t="shared" ref="K1934" si="281">E1934</f>
        <v>179.2</v>
      </c>
      <c r="L1934" s="3334">
        <f t="shared" ref="L1934" si="282">F1934/30</f>
        <v>6.5</v>
      </c>
    </row>
    <row r="1935" spans="1:12" s="3327" customFormat="1" ht="13.5" customHeight="1">
      <c r="A1935" s="3354"/>
      <c r="B1935" s="3324" t="s">
        <v>4263</v>
      </c>
      <c r="C1935" s="3324" t="s">
        <v>3355</v>
      </c>
      <c r="D1935" s="3324" t="s">
        <v>4300</v>
      </c>
      <c r="E1935" s="3325">
        <v>171.5</v>
      </c>
      <c r="F1935" s="3325">
        <v>160</v>
      </c>
      <c r="G1935" s="3326">
        <v>41699</v>
      </c>
      <c r="H1935" s="3326">
        <v>42093</v>
      </c>
      <c r="I1935" s="3326">
        <v>42094</v>
      </c>
      <c r="J1935" s="3324"/>
    </row>
    <row r="1936" spans="1:12" s="3327" customFormat="1" ht="13.5" customHeight="1">
      <c r="A1936" s="3354"/>
      <c r="B1936" s="3336" t="s">
        <v>4263</v>
      </c>
      <c r="C1936" s="3336" t="s">
        <v>3355</v>
      </c>
      <c r="D1936" s="3336" t="s">
        <v>4300</v>
      </c>
      <c r="E1936" s="3339">
        <v>171.5</v>
      </c>
      <c r="F1936" s="3339">
        <v>170</v>
      </c>
      <c r="G1936" s="3340">
        <v>42095</v>
      </c>
      <c r="H1936" s="3340">
        <v>42459</v>
      </c>
      <c r="I1936" s="3340">
        <v>42460</v>
      </c>
      <c r="J1936" s="3324"/>
    </row>
    <row r="1937" spans="1:12" s="3327" customFormat="1" ht="13.5" customHeight="1">
      <c r="A1937" s="3354"/>
      <c r="B1937" s="3336" t="s">
        <v>4263</v>
      </c>
      <c r="C1937" s="3336" t="s">
        <v>3355</v>
      </c>
      <c r="D1937" s="3336" t="s">
        <v>4300</v>
      </c>
      <c r="E1937" s="3338">
        <v>171.7</v>
      </c>
      <c r="F1937" s="3339">
        <v>178</v>
      </c>
      <c r="G1937" s="3340">
        <v>42461</v>
      </c>
      <c r="H1937" s="3340">
        <v>42824</v>
      </c>
      <c r="I1937" s="3340">
        <v>42825</v>
      </c>
      <c r="J1937" s="3324"/>
    </row>
    <row r="1938" spans="1:12" s="3327" customFormat="1" ht="13.5" customHeight="1">
      <c r="A1938" s="3354" t="s">
        <v>4275</v>
      </c>
      <c r="B1938" s="3331" t="s">
        <v>4263</v>
      </c>
      <c r="C1938" s="3331" t="s">
        <v>3355</v>
      </c>
      <c r="D1938" s="3331" t="s">
        <v>4449</v>
      </c>
      <c r="E1938" s="3332">
        <v>171.7</v>
      </c>
      <c r="F1938" s="3332">
        <v>180</v>
      </c>
      <c r="G1938" s="3333">
        <v>42826</v>
      </c>
      <c r="H1938" s="3333">
        <v>43130</v>
      </c>
      <c r="I1938" s="3333">
        <v>43190</v>
      </c>
      <c r="J1938" s="3324"/>
      <c r="K1938" s="3334">
        <f t="shared" ref="K1938" si="283">E1938</f>
        <v>171.7</v>
      </c>
      <c r="L1938" s="3334">
        <f t="shared" ref="L1938" si="284">F1938/30</f>
        <v>6</v>
      </c>
    </row>
    <row r="1939" spans="1:12" s="3327" customFormat="1" ht="13.5" customHeight="1">
      <c r="A1939" s="3354"/>
      <c r="B1939" s="3324" t="s">
        <v>4263</v>
      </c>
      <c r="C1939" s="3324" t="s">
        <v>3344</v>
      </c>
      <c r="D1939" s="3324" t="s">
        <v>4390</v>
      </c>
      <c r="E1939" s="3325">
        <v>197.2</v>
      </c>
      <c r="F1939" s="3325">
        <v>110</v>
      </c>
      <c r="G1939" s="3326">
        <v>41699</v>
      </c>
      <c r="H1939" s="3326">
        <v>42093</v>
      </c>
      <c r="I1939" s="3326">
        <v>42094</v>
      </c>
      <c r="J1939" s="3324"/>
    </row>
    <row r="1940" spans="1:12" s="3327" customFormat="1" ht="13.5" customHeight="1">
      <c r="A1940" s="3354"/>
      <c r="B1940" s="3336" t="s">
        <v>4263</v>
      </c>
      <c r="C1940" s="3336" t="s">
        <v>3344</v>
      </c>
      <c r="D1940" s="3336" t="s">
        <v>4390</v>
      </c>
      <c r="E1940" s="3339">
        <v>197.2</v>
      </c>
      <c r="F1940" s="3339">
        <v>140</v>
      </c>
      <c r="G1940" s="3340">
        <v>42095</v>
      </c>
      <c r="H1940" s="3340">
        <v>42459</v>
      </c>
      <c r="I1940" s="3340">
        <v>42460</v>
      </c>
      <c r="J1940" s="3324"/>
    </row>
    <row r="1941" spans="1:12" s="3327" customFormat="1" ht="13.5" customHeight="1">
      <c r="A1941" s="3354"/>
      <c r="B1941" s="3336" t="s">
        <v>4263</v>
      </c>
      <c r="C1941" s="3336" t="s">
        <v>3344</v>
      </c>
      <c r="D1941" s="3336" t="s">
        <v>4390</v>
      </c>
      <c r="E1941" s="3338">
        <v>200.8</v>
      </c>
      <c r="F1941" s="3339">
        <v>155</v>
      </c>
      <c r="G1941" s="3340">
        <v>42461</v>
      </c>
      <c r="H1941" s="3340">
        <v>42824</v>
      </c>
      <c r="I1941" s="3340">
        <v>42825</v>
      </c>
      <c r="J1941" s="3324"/>
    </row>
    <row r="1942" spans="1:12" s="3327" customFormat="1" ht="13.5" customHeight="1">
      <c r="A1942" s="3354" t="s">
        <v>4275</v>
      </c>
      <c r="B1942" s="3331" t="s">
        <v>4263</v>
      </c>
      <c r="C1942" s="3331" t="s">
        <v>3344</v>
      </c>
      <c r="D1942" s="3331" t="s">
        <v>4450</v>
      </c>
      <c r="E1942" s="3332">
        <v>200.8</v>
      </c>
      <c r="F1942" s="3332">
        <v>160</v>
      </c>
      <c r="G1942" s="3333">
        <v>42826</v>
      </c>
      <c r="H1942" s="3333">
        <v>43130</v>
      </c>
      <c r="I1942" s="3333">
        <v>43190</v>
      </c>
      <c r="J1942" s="3324"/>
      <c r="K1942" s="3334">
        <f t="shared" ref="K1942" si="285">E1942</f>
        <v>200.8</v>
      </c>
      <c r="L1942" s="3334">
        <f t="shared" ref="L1942" si="286">F1942/30</f>
        <v>5.333333333333333</v>
      </c>
    </row>
    <row r="1943" spans="1:12" s="3327" customFormat="1" ht="13.5" customHeight="1">
      <c r="A1943" s="3355"/>
      <c r="B1943" s="3336" t="s">
        <v>4263</v>
      </c>
      <c r="C1943" s="3336" t="s">
        <v>4451</v>
      </c>
      <c r="D1943" s="3336" t="s">
        <v>4452</v>
      </c>
      <c r="E1943" s="3339">
        <v>227.2</v>
      </c>
      <c r="F1943" s="3339">
        <v>270</v>
      </c>
      <c r="G1943" s="3340">
        <v>41000</v>
      </c>
      <c r="H1943" s="3340">
        <v>41363</v>
      </c>
      <c r="I1943" s="3340">
        <v>41364</v>
      </c>
      <c r="J1943" s="3336"/>
    </row>
    <row r="1944" spans="1:12" s="3327" customFormat="1" ht="13.5" customHeight="1">
      <c r="A1944" s="3354"/>
      <c r="B1944" s="3324" t="s">
        <v>4263</v>
      </c>
      <c r="C1944" s="3324" t="s">
        <v>4451</v>
      </c>
      <c r="D1944" s="3324" t="s">
        <v>4453</v>
      </c>
      <c r="E1944" s="3325">
        <v>222.2</v>
      </c>
      <c r="F1944" s="3325">
        <v>275</v>
      </c>
      <c r="G1944" s="3326">
        <v>41730</v>
      </c>
      <c r="H1944" s="3326">
        <v>41820</v>
      </c>
      <c r="I1944" s="3326">
        <v>41364</v>
      </c>
      <c r="J1944" s="3324"/>
    </row>
    <row r="1945" spans="1:12" s="3327" customFormat="1" ht="13.5" customHeight="1">
      <c r="A1945" s="3354"/>
      <c r="B1945" s="3324" t="s">
        <v>4263</v>
      </c>
      <c r="C1945" s="3324" t="s">
        <v>4451</v>
      </c>
      <c r="D1945" s="3324" t="s">
        <v>4453</v>
      </c>
      <c r="E1945" s="3325">
        <v>222.2</v>
      </c>
      <c r="F1945" s="3325">
        <v>275</v>
      </c>
      <c r="G1945" s="3326">
        <v>41821</v>
      </c>
      <c r="H1945" s="3326">
        <v>41942</v>
      </c>
      <c r="I1945" s="3326">
        <v>42094</v>
      </c>
      <c r="J1945" s="3324"/>
    </row>
    <row r="1946" spans="1:12" s="3327" customFormat="1" ht="13.5" customHeight="1">
      <c r="A1946" s="3354"/>
      <c r="B1946" s="3324" t="s">
        <v>4263</v>
      </c>
      <c r="C1946" s="3324" t="s">
        <v>4451</v>
      </c>
      <c r="D1946" s="3324" t="s">
        <v>4453</v>
      </c>
      <c r="E1946" s="3325">
        <v>222.2</v>
      </c>
      <c r="F1946" s="3325">
        <v>275</v>
      </c>
      <c r="G1946" s="3326">
        <v>41944</v>
      </c>
      <c r="H1946" s="3326">
        <v>42039</v>
      </c>
      <c r="I1946" s="3326">
        <v>42094</v>
      </c>
      <c r="J1946" s="3324"/>
    </row>
    <row r="1947" spans="1:12" s="3327" customFormat="1" ht="13.5" customHeight="1">
      <c r="A1947" s="3354"/>
      <c r="B1947" s="3324" t="s">
        <v>4263</v>
      </c>
      <c r="C1947" s="3324" t="s">
        <v>4451</v>
      </c>
      <c r="D1947" s="3324" t="s">
        <v>4453</v>
      </c>
      <c r="E1947" s="3325">
        <v>222.2</v>
      </c>
      <c r="F1947" s="3325">
        <v>275</v>
      </c>
      <c r="G1947" s="3326">
        <v>42067</v>
      </c>
      <c r="H1947" s="3326">
        <v>42093</v>
      </c>
      <c r="I1947" s="3326">
        <v>42094</v>
      </c>
      <c r="J1947" s="3324"/>
    </row>
    <row r="1948" spans="1:12" s="3327" customFormat="1" ht="13.5" customHeight="1">
      <c r="A1948" s="3354"/>
      <c r="B1948" s="3336" t="s">
        <v>4263</v>
      </c>
      <c r="C1948" s="3336" t="s">
        <v>4076</v>
      </c>
      <c r="D1948" s="3336" t="s">
        <v>4454</v>
      </c>
      <c r="E1948" s="3339">
        <v>111.1</v>
      </c>
      <c r="F1948" s="3339">
        <v>270</v>
      </c>
      <c r="G1948" s="3340">
        <v>42117</v>
      </c>
      <c r="H1948" s="3340">
        <v>42459</v>
      </c>
      <c r="I1948" s="3340">
        <v>42460</v>
      </c>
      <c r="J1948" s="3324"/>
    </row>
    <row r="1949" spans="1:12" s="3327" customFormat="1" ht="13.5" customHeight="1">
      <c r="A1949" s="3354"/>
      <c r="B1949" s="3336" t="s">
        <v>4263</v>
      </c>
      <c r="C1949" s="3336" t="s">
        <v>4076</v>
      </c>
      <c r="D1949" s="3336" t="s">
        <v>4454</v>
      </c>
      <c r="E1949" s="3338">
        <v>113.1</v>
      </c>
      <c r="F1949" s="3339">
        <v>180</v>
      </c>
      <c r="G1949" s="3340">
        <v>42461</v>
      </c>
      <c r="H1949" s="3340">
        <v>42824</v>
      </c>
      <c r="I1949" s="3340">
        <v>42825</v>
      </c>
      <c r="J1949" s="3324"/>
    </row>
    <row r="1950" spans="1:12" s="3327" customFormat="1" ht="13.5" customHeight="1">
      <c r="A1950" s="3354"/>
      <c r="B1950" s="3331" t="s">
        <v>4263</v>
      </c>
      <c r="C1950" s="3331" t="s">
        <v>4076</v>
      </c>
      <c r="D1950" s="3331" t="s">
        <v>4454</v>
      </c>
      <c r="E1950" s="3332">
        <v>113.1</v>
      </c>
      <c r="F1950" s="3332">
        <v>240</v>
      </c>
      <c r="G1950" s="3333">
        <v>42826</v>
      </c>
      <c r="H1950" s="3333">
        <v>42885</v>
      </c>
      <c r="I1950" s="3333">
        <v>43190</v>
      </c>
      <c r="J1950" s="3324"/>
      <c r="K1950" s="3334">
        <f t="shared" ref="K1950:K1951" si="287">E1950</f>
        <v>113.1</v>
      </c>
      <c r="L1950" s="3334">
        <f t="shared" ref="L1950:L1951" si="288">F1950/30</f>
        <v>8</v>
      </c>
    </row>
    <row r="1951" spans="1:12" s="3327" customFormat="1" ht="13.5" customHeight="1">
      <c r="A1951" s="3354" t="s">
        <v>4275</v>
      </c>
      <c r="B1951" s="3331" t="s">
        <v>4263</v>
      </c>
      <c r="C1951" s="3331" t="s">
        <v>4455</v>
      </c>
      <c r="D1951" s="3331" t="s">
        <v>4454</v>
      </c>
      <c r="E1951" s="3332">
        <v>113.1</v>
      </c>
      <c r="F1951" s="3332">
        <v>240</v>
      </c>
      <c r="G1951" s="3333">
        <v>42887</v>
      </c>
      <c r="H1951" s="3333">
        <v>43130</v>
      </c>
      <c r="I1951" s="3333">
        <v>43190</v>
      </c>
      <c r="J1951" s="3324"/>
      <c r="K1951" s="3334">
        <f t="shared" si="287"/>
        <v>113.1</v>
      </c>
      <c r="L1951" s="3334">
        <f t="shared" si="288"/>
        <v>8</v>
      </c>
    </row>
    <row r="1952" spans="1:12" s="3327" customFormat="1" ht="13.5" customHeight="1">
      <c r="A1952" s="3354"/>
      <c r="B1952" s="3336" t="s">
        <v>4263</v>
      </c>
      <c r="C1952" s="3336" t="s">
        <v>4080</v>
      </c>
      <c r="D1952" s="3336" t="s">
        <v>4456</v>
      </c>
      <c r="E1952" s="3339">
        <v>111.1</v>
      </c>
      <c r="F1952" s="3339">
        <v>270</v>
      </c>
      <c r="G1952" s="3340">
        <v>42117</v>
      </c>
      <c r="H1952" s="3340">
        <v>42459</v>
      </c>
      <c r="I1952" s="3340">
        <v>42460</v>
      </c>
      <c r="J1952" s="3324"/>
    </row>
    <row r="1953" spans="1:12" s="3327" customFormat="1" ht="11.25">
      <c r="A1953" s="3354"/>
      <c r="B1953" s="3336" t="s">
        <v>4263</v>
      </c>
      <c r="C1953" s="3336" t="s">
        <v>4080</v>
      </c>
      <c r="D1953" s="3336" t="s">
        <v>4456</v>
      </c>
      <c r="E1953" s="3338">
        <v>113.1</v>
      </c>
      <c r="F1953" s="3339">
        <v>180</v>
      </c>
      <c r="G1953" s="3340">
        <v>42461</v>
      </c>
      <c r="H1953" s="3340">
        <v>42824</v>
      </c>
      <c r="I1953" s="3340">
        <v>42825</v>
      </c>
      <c r="J1953" s="3324"/>
    </row>
    <row r="1954" spans="1:12" s="3327" customFormat="1" ht="13.5" customHeight="1">
      <c r="A1954" s="3354"/>
      <c r="B1954" s="3331" t="s">
        <v>4263</v>
      </c>
      <c r="C1954" s="3331" t="s">
        <v>4080</v>
      </c>
      <c r="D1954" s="3331" t="s">
        <v>4453</v>
      </c>
      <c r="E1954" s="3332">
        <v>113.1</v>
      </c>
      <c r="F1954" s="3332">
        <v>240</v>
      </c>
      <c r="G1954" s="3333">
        <v>42826</v>
      </c>
      <c r="H1954" s="3333">
        <v>42885</v>
      </c>
      <c r="I1954" s="3333">
        <v>43190</v>
      </c>
      <c r="J1954" s="3324"/>
      <c r="K1954" s="3334">
        <f t="shared" ref="K1954:K1956" si="289">E1954</f>
        <v>113.1</v>
      </c>
      <c r="L1954" s="3334">
        <f t="shared" ref="L1954:L1956" si="290">F1954/30</f>
        <v>8</v>
      </c>
    </row>
    <row r="1955" spans="1:12" s="3327" customFormat="1" ht="13.5" customHeight="1">
      <c r="A1955" s="3354"/>
      <c r="B1955" s="3331" t="s">
        <v>4263</v>
      </c>
      <c r="C1955" s="3331" t="s">
        <v>4457</v>
      </c>
      <c r="D1955" s="3331" t="s">
        <v>4453</v>
      </c>
      <c r="E1955" s="3332">
        <v>113.1</v>
      </c>
      <c r="F1955" s="3332">
        <v>240</v>
      </c>
      <c r="G1955" s="3333">
        <v>42887</v>
      </c>
      <c r="H1955" s="3333">
        <v>43083</v>
      </c>
      <c r="I1955" s="3333">
        <v>43190</v>
      </c>
      <c r="J1955" s="3324"/>
      <c r="K1955" s="3334">
        <f t="shared" si="289"/>
        <v>113.1</v>
      </c>
      <c r="L1955" s="3334">
        <f t="shared" si="290"/>
        <v>8</v>
      </c>
    </row>
    <row r="1956" spans="1:12" s="3327" customFormat="1" ht="13.5" customHeight="1">
      <c r="A1956" s="3354" t="s">
        <v>4275</v>
      </c>
      <c r="B1956" s="3331" t="s">
        <v>4263</v>
      </c>
      <c r="C1956" s="3331" t="s">
        <v>4458</v>
      </c>
      <c r="D1956" s="3331" t="s">
        <v>4453</v>
      </c>
      <c r="E1956" s="3332">
        <v>113.1</v>
      </c>
      <c r="F1956" s="3332">
        <v>250</v>
      </c>
      <c r="G1956" s="3333">
        <v>43084</v>
      </c>
      <c r="H1956" s="3333">
        <v>43130</v>
      </c>
      <c r="I1956" s="3333">
        <v>43190</v>
      </c>
      <c r="J1956" s="3324"/>
      <c r="K1956" s="3334">
        <f t="shared" si="289"/>
        <v>113.1</v>
      </c>
      <c r="L1956" s="3334">
        <f t="shared" si="290"/>
        <v>8.3333333333333339</v>
      </c>
    </row>
    <row r="1957" spans="1:12" s="3327" customFormat="1" ht="13.5" customHeight="1">
      <c r="A1957" s="3354"/>
      <c r="B1957" s="3324" t="s">
        <v>4263</v>
      </c>
      <c r="C1957" s="3324" t="s">
        <v>4058</v>
      </c>
      <c r="D1957" s="3324" t="s">
        <v>4459</v>
      </c>
      <c r="E1957" s="3325">
        <v>164.3</v>
      </c>
      <c r="F1957" s="3325">
        <v>200</v>
      </c>
      <c r="G1957" s="3326">
        <v>41730</v>
      </c>
      <c r="H1957" s="3326">
        <v>42093</v>
      </c>
      <c r="I1957" s="3326">
        <v>42094</v>
      </c>
      <c r="J1957" s="3324"/>
    </row>
    <row r="1958" spans="1:12" s="3327" customFormat="1" ht="13.5" customHeight="1">
      <c r="A1958" s="3354"/>
      <c r="B1958" s="3336" t="s">
        <v>4263</v>
      </c>
      <c r="C1958" s="3336" t="s">
        <v>4058</v>
      </c>
      <c r="D1958" s="3336" t="s">
        <v>4459</v>
      </c>
      <c r="E1958" s="3339">
        <v>164.3</v>
      </c>
      <c r="F1958" s="3339">
        <v>200</v>
      </c>
      <c r="G1958" s="3340">
        <v>42095</v>
      </c>
      <c r="H1958" s="3340">
        <v>42459</v>
      </c>
      <c r="I1958" s="3340">
        <v>42460</v>
      </c>
      <c r="J1958" s="3324"/>
    </row>
    <row r="1959" spans="1:12" s="3327" customFormat="1" ht="13.5" customHeight="1">
      <c r="A1959" s="3355"/>
      <c r="B1959" s="3336" t="s">
        <v>4263</v>
      </c>
      <c r="C1959" s="3336" t="s">
        <v>4460</v>
      </c>
      <c r="D1959" s="3336" t="s">
        <v>4461</v>
      </c>
      <c r="E1959" s="3339">
        <v>197.7</v>
      </c>
      <c r="F1959" s="3339">
        <v>275</v>
      </c>
      <c r="G1959" s="3340">
        <v>40634</v>
      </c>
      <c r="H1959" s="3340">
        <v>40724</v>
      </c>
      <c r="I1959" s="3340">
        <v>40999</v>
      </c>
      <c r="J1959" s="3336"/>
    </row>
    <row r="1960" spans="1:12" s="3327" customFormat="1" ht="13.5" customHeight="1">
      <c r="A1960" s="3354"/>
      <c r="B1960" s="3324" t="s">
        <v>4263</v>
      </c>
      <c r="C1960" s="3324" t="s">
        <v>4462</v>
      </c>
      <c r="D1960" s="3324" t="s">
        <v>4461</v>
      </c>
      <c r="E1960" s="3325">
        <v>197.7</v>
      </c>
      <c r="F1960" s="3325">
        <v>275</v>
      </c>
      <c r="G1960" s="3326">
        <v>40732</v>
      </c>
      <c r="H1960" s="3326">
        <v>40846</v>
      </c>
      <c r="I1960" s="3326">
        <v>40999</v>
      </c>
      <c r="J1960" s="3324"/>
    </row>
    <row r="1961" spans="1:12" s="3327" customFormat="1" ht="13.5" customHeight="1">
      <c r="A1961" s="3354"/>
      <c r="B1961" s="3324" t="s">
        <v>4263</v>
      </c>
      <c r="C1961" s="3324" t="s">
        <v>4463</v>
      </c>
      <c r="D1961" s="3324" t="s">
        <v>4464</v>
      </c>
      <c r="E1961" s="3325">
        <v>197.7</v>
      </c>
      <c r="F1961" s="3325">
        <v>275</v>
      </c>
      <c r="G1961" s="3326">
        <v>41365</v>
      </c>
      <c r="H1961" s="3326">
        <v>41728</v>
      </c>
      <c r="I1961" s="3326">
        <v>41729</v>
      </c>
      <c r="J1961" s="3324"/>
    </row>
    <row r="1962" spans="1:12" s="3327" customFormat="1" ht="13.5" customHeight="1">
      <c r="A1962" s="3354"/>
      <c r="B1962" s="3324" t="s">
        <v>4263</v>
      </c>
      <c r="C1962" s="3324" t="s">
        <v>4054</v>
      </c>
      <c r="D1962" s="3324" t="s">
        <v>4464</v>
      </c>
      <c r="E1962" s="3325">
        <v>197.7</v>
      </c>
      <c r="F1962" s="3325">
        <v>275</v>
      </c>
      <c r="G1962" s="3326">
        <v>41730</v>
      </c>
      <c r="H1962" s="3326">
        <v>42093</v>
      </c>
      <c r="I1962" s="3326">
        <v>42094</v>
      </c>
      <c r="J1962" s="3324"/>
    </row>
    <row r="1963" spans="1:12" s="3327" customFormat="1" ht="13.5" customHeight="1">
      <c r="A1963" s="3354"/>
      <c r="B1963" s="3336" t="s">
        <v>4263</v>
      </c>
      <c r="C1963" s="3336" t="s">
        <v>4054</v>
      </c>
      <c r="D1963" s="3336" t="s">
        <v>4464</v>
      </c>
      <c r="E1963" s="3339">
        <v>197.7</v>
      </c>
      <c r="F1963" s="3339">
        <v>280</v>
      </c>
      <c r="G1963" s="3340">
        <v>42095</v>
      </c>
      <c r="H1963" s="3340">
        <v>42246</v>
      </c>
      <c r="I1963" s="3340">
        <v>42460</v>
      </c>
      <c r="J1963" s="3324"/>
    </row>
    <row r="1964" spans="1:12" s="3327" customFormat="1" ht="13.5" customHeight="1">
      <c r="A1964" s="3354"/>
      <c r="B1964" s="3336" t="s">
        <v>4263</v>
      </c>
      <c r="C1964" s="3336" t="s">
        <v>4465</v>
      </c>
      <c r="D1964" s="3336" t="s">
        <v>4464</v>
      </c>
      <c r="E1964" s="3339">
        <v>197.7</v>
      </c>
      <c r="F1964" s="3339">
        <v>280</v>
      </c>
      <c r="G1964" s="3340">
        <v>42267</v>
      </c>
      <c r="H1964" s="3340">
        <v>42459</v>
      </c>
      <c r="I1964" s="3340">
        <v>42460</v>
      </c>
      <c r="J1964" s="3324"/>
    </row>
    <row r="1965" spans="1:12" s="3327" customFormat="1" ht="13.5" customHeight="1">
      <c r="A1965" s="3354"/>
      <c r="B1965" s="3336" t="s">
        <v>4263</v>
      </c>
      <c r="C1965" s="3336" t="s">
        <v>4083</v>
      </c>
      <c r="D1965" s="3336" t="s">
        <v>4466</v>
      </c>
      <c r="E1965" s="3338">
        <v>365.51</v>
      </c>
      <c r="F1965" s="3339">
        <v>300</v>
      </c>
      <c r="G1965" s="3340">
        <v>42461</v>
      </c>
      <c r="H1965" s="3340">
        <v>42824</v>
      </c>
      <c r="I1965" s="3340">
        <v>42825</v>
      </c>
      <c r="J1965" s="3324"/>
    </row>
    <row r="1966" spans="1:12" s="3327" customFormat="1" ht="13.5" customHeight="1">
      <c r="A1966" s="3354"/>
      <c r="B1966" s="3331" t="s">
        <v>4263</v>
      </c>
      <c r="C1966" s="3331" t="s">
        <v>3735</v>
      </c>
      <c r="D1966" s="3331" t="s">
        <v>4466</v>
      </c>
      <c r="E1966" s="3332">
        <v>365.51</v>
      </c>
      <c r="F1966" s="3332">
        <v>300</v>
      </c>
      <c r="G1966" s="3333">
        <v>42826</v>
      </c>
      <c r="H1966" s="3333">
        <v>43008</v>
      </c>
      <c r="I1966" s="3333">
        <v>43190</v>
      </c>
      <c r="J1966" s="3324"/>
      <c r="K1966" s="3334">
        <f t="shared" ref="K1966:K1967" si="291">E1966</f>
        <v>365.51</v>
      </c>
      <c r="L1966" s="3334">
        <f t="shared" ref="L1966:L1967" si="292">F1966/30</f>
        <v>10</v>
      </c>
    </row>
    <row r="1967" spans="1:12" s="3327" customFormat="1" ht="13.5" customHeight="1">
      <c r="A1967" s="3354" t="s">
        <v>4275</v>
      </c>
      <c r="B1967" s="3331" t="s">
        <v>4263</v>
      </c>
      <c r="C1967" s="3331" t="s">
        <v>3735</v>
      </c>
      <c r="D1967" s="3331" t="s">
        <v>4466</v>
      </c>
      <c r="E1967" s="3332">
        <v>365.51</v>
      </c>
      <c r="F1967" s="3332">
        <v>300</v>
      </c>
      <c r="G1967" s="3333">
        <v>43009</v>
      </c>
      <c r="H1967" s="3333">
        <v>43130</v>
      </c>
      <c r="I1967" s="3333">
        <v>43190</v>
      </c>
      <c r="J1967" s="3324"/>
      <c r="K1967" s="3334">
        <f t="shared" si="291"/>
        <v>365.51</v>
      </c>
      <c r="L1967" s="3334">
        <f t="shared" si="292"/>
        <v>10</v>
      </c>
    </row>
    <row r="1968" spans="1:12" s="3327" customFormat="1" ht="13.5" customHeight="1">
      <c r="A1968" s="3355"/>
      <c r="B1968" s="3336" t="s">
        <v>4263</v>
      </c>
      <c r="C1968" s="3336" t="s">
        <v>4467</v>
      </c>
      <c r="D1968" s="3336" t="s">
        <v>4468</v>
      </c>
      <c r="E1968" s="3339">
        <v>270.3</v>
      </c>
      <c r="F1968" s="3339">
        <v>310</v>
      </c>
      <c r="G1968" s="3340">
        <v>41000</v>
      </c>
      <c r="H1968" s="3340">
        <v>41363</v>
      </c>
      <c r="I1968" s="3340">
        <v>41364</v>
      </c>
      <c r="J1968" s="3336"/>
    </row>
    <row r="1969" spans="1:12" s="3327" customFormat="1" ht="13.5" customHeight="1">
      <c r="A1969" s="3354"/>
      <c r="B1969" s="3324" t="s">
        <v>4263</v>
      </c>
      <c r="C1969" s="3324" t="s">
        <v>4467</v>
      </c>
      <c r="D1969" s="3324" t="s">
        <v>4469</v>
      </c>
      <c r="E1969" s="3325">
        <v>270.3</v>
      </c>
      <c r="F1969" s="3325">
        <v>320</v>
      </c>
      <c r="G1969" s="3326">
        <v>41730</v>
      </c>
      <c r="H1969" s="3326">
        <v>42093</v>
      </c>
      <c r="I1969" s="3326">
        <v>42094</v>
      </c>
      <c r="J1969" s="3324"/>
    </row>
    <row r="1970" spans="1:12" s="3327" customFormat="1" ht="13.5" customHeight="1">
      <c r="A1970" s="3354"/>
      <c r="B1970" s="3336" t="s">
        <v>4263</v>
      </c>
      <c r="C1970" s="3336" t="s">
        <v>4467</v>
      </c>
      <c r="D1970" s="3336" t="s">
        <v>4469</v>
      </c>
      <c r="E1970" s="3339">
        <v>270.3</v>
      </c>
      <c r="F1970" s="3339">
        <v>311</v>
      </c>
      <c r="G1970" s="3340">
        <v>42095</v>
      </c>
      <c r="H1970" s="3340">
        <v>42459</v>
      </c>
      <c r="I1970" s="3340">
        <v>42460</v>
      </c>
      <c r="J1970" s="3324"/>
    </row>
    <row r="1971" spans="1:12" s="3327" customFormat="1" ht="13.5" customHeight="1">
      <c r="A1971" s="3354"/>
      <c r="B1971" s="3336" t="s">
        <v>4263</v>
      </c>
      <c r="C1971" s="3336" t="s">
        <v>4467</v>
      </c>
      <c r="D1971" s="3336" t="s">
        <v>4469</v>
      </c>
      <c r="E1971" s="3339">
        <v>270.3</v>
      </c>
      <c r="F1971" s="3339">
        <v>320</v>
      </c>
      <c r="G1971" s="3340">
        <v>42461</v>
      </c>
      <c r="H1971" s="3340">
        <v>42824</v>
      </c>
      <c r="I1971" s="3340">
        <v>42825</v>
      </c>
      <c r="J1971" s="3324"/>
    </row>
    <row r="1972" spans="1:12" s="3327" customFormat="1" ht="13.5" customHeight="1">
      <c r="A1972" s="3354" t="s">
        <v>4275</v>
      </c>
      <c r="B1972" s="3331" t="s">
        <v>4263</v>
      </c>
      <c r="C1972" s="3331" t="s">
        <v>4470</v>
      </c>
      <c r="D1972" s="3331" t="s">
        <v>4469</v>
      </c>
      <c r="E1972" s="3332">
        <v>270.3</v>
      </c>
      <c r="F1972" s="3332">
        <v>320</v>
      </c>
      <c r="G1972" s="3333">
        <v>42826</v>
      </c>
      <c r="H1972" s="3333">
        <v>43130</v>
      </c>
      <c r="I1972" s="3333">
        <v>43190</v>
      </c>
      <c r="J1972" s="3324"/>
      <c r="K1972" s="3334">
        <f t="shared" ref="K1972" si="293">E1972</f>
        <v>270.3</v>
      </c>
      <c r="L1972" s="3334">
        <f t="shared" ref="L1972" si="294">F1972/30</f>
        <v>10.666666666666666</v>
      </c>
    </row>
    <row r="1973" spans="1:12" s="3327" customFormat="1" ht="13.5" customHeight="1">
      <c r="A1973" s="3355"/>
      <c r="B1973" s="3336" t="s">
        <v>4263</v>
      </c>
      <c r="C1973" s="3336" t="s">
        <v>4471</v>
      </c>
      <c r="D1973" s="3336" t="s">
        <v>4472</v>
      </c>
      <c r="E1973" s="3339">
        <v>321.7</v>
      </c>
      <c r="F1973" s="3339">
        <v>330</v>
      </c>
      <c r="G1973" s="3340">
        <v>41000</v>
      </c>
      <c r="H1973" s="3340">
        <v>41363</v>
      </c>
      <c r="I1973" s="3340">
        <v>41364</v>
      </c>
      <c r="J1973" s="3336"/>
    </row>
    <row r="1974" spans="1:12" s="3327" customFormat="1" ht="13.5" customHeight="1">
      <c r="A1974" s="3354"/>
      <c r="B1974" s="3324" t="s">
        <v>4263</v>
      </c>
      <c r="C1974" s="3324" t="s">
        <v>4471</v>
      </c>
      <c r="D1974" s="3324" t="s">
        <v>4473</v>
      </c>
      <c r="E1974" s="3325">
        <v>321.7</v>
      </c>
      <c r="F1974" s="3325">
        <v>335</v>
      </c>
      <c r="G1974" s="3326">
        <v>41730</v>
      </c>
      <c r="H1974" s="3326">
        <v>42093</v>
      </c>
      <c r="I1974" s="3326">
        <v>42094</v>
      </c>
      <c r="J1974" s="3324"/>
    </row>
    <row r="1975" spans="1:12" s="3327" customFormat="1" ht="13.5" customHeight="1">
      <c r="A1975" s="3354"/>
      <c r="B1975" s="3336" t="s">
        <v>4263</v>
      </c>
      <c r="C1975" s="3336" t="s">
        <v>4471</v>
      </c>
      <c r="D1975" s="3336" t="s">
        <v>4473</v>
      </c>
      <c r="E1975" s="3339">
        <v>321.7</v>
      </c>
      <c r="F1975" s="3339">
        <v>341</v>
      </c>
      <c r="G1975" s="3340">
        <v>42095</v>
      </c>
      <c r="H1975" s="3340">
        <v>42459</v>
      </c>
      <c r="I1975" s="3340">
        <v>42460</v>
      </c>
      <c r="J1975" s="3324"/>
    </row>
    <row r="1976" spans="1:12" s="3327" customFormat="1" ht="13.5" customHeight="1">
      <c r="A1976" s="3354"/>
      <c r="B1976" s="3336" t="s">
        <v>4263</v>
      </c>
      <c r="C1976" s="3336" t="s">
        <v>4474</v>
      </c>
      <c r="D1976" s="3336" t="s">
        <v>4473</v>
      </c>
      <c r="E1976" s="3339">
        <v>321.7</v>
      </c>
      <c r="F1976" s="3339">
        <v>350</v>
      </c>
      <c r="G1976" s="3340">
        <v>42461</v>
      </c>
      <c r="H1976" s="3340">
        <v>42824</v>
      </c>
      <c r="I1976" s="3340">
        <v>42825</v>
      </c>
      <c r="J1976" s="3324"/>
    </row>
    <row r="1977" spans="1:12" s="3327" customFormat="1" ht="13.5" customHeight="1">
      <c r="A1977" s="3354" t="s">
        <v>4275</v>
      </c>
      <c r="B1977" s="3331" t="s">
        <v>4263</v>
      </c>
      <c r="C1977" s="3331" t="s">
        <v>4474</v>
      </c>
      <c r="D1977" s="3331" t="s">
        <v>4473</v>
      </c>
      <c r="E1977" s="3332">
        <v>321.7</v>
      </c>
      <c r="F1977" s="3332">
        <v>350</v>
      </c>
      <c r="G1977" s="3333">
        <v>42826</v>
      </c>
      <c r="H1977" s="3333">
        <v>43130</v>
      </c>
      <c r="I1977" s="3333">
        <v>43190</v>
      </c>
      <c r="J1977" s="3324"/>
      <c r="K1977" s="3334">
        <f t="shared" ref="K1977" si="295">E1977</f>
        <v>321.7</v>
      </c>
      <c r="L1977" s="3334">
        <f t="shared" ref="L1977" si="296">F1977/30</f>
        <v>11.666666666666666</v>
      </c>
    </row>
    <row r="1978" spans="1:12" s="3327" customFormat="1" ht="13.5" customHeight="1">
      <c r="A1978" s="3355"/>
      <c r="B1978" s="3336" t="s">
        <v>4263</v>
      </c>
      <c r="C1978" s="3336" t="s">
        <v>4475</v>
      </c>
      <c r="D1978" s="3336" t="s">
        <v>4476</v>
      </c>
      <c r="E1978" s="3339">
        <v>270.89999999999998</v>
      </c>
      <c r="F1978" s="3339">
        <v>330</v>
      </c>
      <c r="G1978" s="3340">
        <v>41000</v>
      </c>
      <c r="H1978" s="3340">
        <v>41363</v>
      </c>
      <c r="I1978" s="3340">
        <v>41364</v>
      </c>
      <c r="J1978" s="3336"/>
    </row>
    <row r="1979" spans="1:12" s="3327" customFormat="1" ht="13.5" customHeight="1">
      <c r="A1979" s="3354"/>
      <c r="B1979" s="3324" t="s">
        <v>4263</v>
      </c>
      <c r="C1979" s="3324" t="s">
        <v>4475</v>
      </c>
      <c r="D1979" s="3324" t="s">
        <v>4477</v>
      </c>
      <c r="E1979" s="3325">
        <v>270.89999999999998</v>
      </c>
      <c r="F1979" s="3325">
        <v>350</v>
      </c>
      <c r="G1979" s="3326">
        <v>41730</v>
      </c>
      <c r="H1979" s="3326">
        <v>42093</v>
      </c>
      <c r="I1979" s="3326">
        <v>42094</v>
      </c>
      <c r="J1979" s="3324"/>
    </row>
    <row r="1980" spans="1:12" s="3327" customFormat="1" ht="13.5" customHeight="1">
      <c r="A1980" s="3354"/>
      <c r="B1980" s="3336" t="s">
        <v>4263</v>
      </c>
      <c r="C1980" s="3336" t="s">
        <v>4475</v>
      </c>
      <c r="D1980" s="3336" t="s">
        <v>4477</v>
      </c>
      <c r="E1980" s="3339">
        <v>270.89999999999998</v>
      </c>
      <c r="F1980" s="3339">
        <v>356</v>
      </c>
      <c r="G1980" s="3340">
        <v>42095</v>
      </c>
      <c r="H1980" s="3340">
        <v>42459</v>
      </c>
      <c r="I1980" s="3340">
        <v>42460</v>
      </c>
      <c r="J1980" s="3324"/>
    </row>
    <row r="1981" spans="1:12" s="3327" customFormat="1" ht="13.5" customHeight="1">
      <c r="A1981" s="3354"/>
      <c r="B1981" s="3336" t="s">
        <v>4263</v>
      </c>
      <c r="C1981" s="3336" t="s">
        <v>4475</v>
      </c>
      <c r="D1981" s="3336" t="s">
        <v>4477</v>
      </c>
      <c r="E1981" s="3339">
        <v>270.91000000000003</v>
      </c>
      <c r="F1981" s="3339">
        <v>366</v>
      </c>
      <c r="G1981" s="3340">
        <v>42461</v>
      </c>
      <c r="H1981" s="3340">
        <v>42824</v>
      </c>
      <c r="I1981" s="3340">
        <v>42825</v>
      </c>
      <c r="J1981" s="3324"/>
    </row>
    <row r="1982" spans="1:12" s="3327" customFormat="1" ht="13.5" customHeight="1">
      <c r="A1982" s="3354" t="s">
        <v>4275</v>
      </c>
      <c r="B1982" s="3331" t="s">
        <v>4263</v>
      </c>
      <c r="C1982" s="3331" t="s">
        <v>4478</v>
      </c>
      <c r="D1982" s="3331" t="s">
        <v>4479</v>
      </c>
      <c r="E1982" s="3332">
        <v>270.91000000000003</v>
      </c>
      <c r="F1982" s="3332">
        <v>366</v>
      </c>
      <c r="G1982" s="3333">
        <v>42826</v>
      </c>
      <c r="H1982" s="3333">
        <v>43130</v>
      </c>
      <c r="I1982" s="3333">
        <v>43190</v>
      </c>
      <c r="J1982" s="3324"/>
      <c r="K1982" s="3334">
        <f t="shared" ref="K1982" si="297">E1982</f>
        <v>270.91000000000003</v>
      </c>
      <c r="L1982" s="3334">
        <f t="shared" ref="L1982" si="298">F1982/30</f>
        <v>12.2</v>
      </c>
    </row>
    <row r="1983" spans="1:12" s="3327" customFormat="1" ht="13.5" customHeight="1">
      <c r="A1983" s="3355"/>
      <c r="B1983" s="3336" t="s">
        <v>4263</v>
      </c>
      <c r="C1983" s="3336" t="s">
        <v>4480</v>
      </c>
      <c r="D1983" s="3336" t="s">
        <v>4481</v>
      </c>
      <c r="E1983" s="3339">
        <v>283.2</v>
      </c>
      <c r="F1983" s="3339">
        <v>260</v>
      </c>
      <c r="G1983" s="3340">
        <v>41030</v>
      </c>
      <c r="H1983" s="3340">
        <v>41363</v>
      </c>
      <c r="I1983" s="3340">
        <v>41364</v>
      </c>
      <c r="J1983" s="3336"/>
    </row>
    <row r="1984" spans="1:12" s="3327" customFormat="1" ht="13.5" customHeight="1">
      <c r="A1984" s="3354"/>
      <c r="B1984" s="3324" t="s">
        <v>4263</v>
      </c>
      <c r="C1984" s="3324" t="s">
        <v>4480</v>
      </c>
      <c r="D1984" s="3324" t="s">
        <v>4482</v>
      </c>
      <c r="E1984" s="3325">
        <v>283.2</v>
      </c>
      <c r="F1984" s="3325">
        <v>260</v>
      </c>
      <c r="G1984" s="3326">
        <v>41365</v>
      </c>
      <c r="H1984" s="3326">
        <v>41698</v>
      </c>
      <c r="I1984" s="3326">
        <v>41729</v>
      </c>
      <c r="J1984" s="3324"/>
    </row>
    <row r="1985" spans="1:12" s="3327" customFormat="1" ht="13.5" customHeight="1">
      <c r="A1985" s="3354"/>
      <c r="B1985" s="3324" t="s">
        <v>4263</v>
      </c>
      <c r="C1985" s="3324" t="s">
        <v>4483</v>
      </c>
      <c r="D1985" s="3324" t="s">
        <v>4274</v>
      </c>
      <c r="E1985" s="3325">
        <v>211</v>
      </c>
      <c r="F1985" s="3325">
        <v>200</v>
      </c>
      <c r="G1985" s="3326">
        <v>41699</v>
      </c>
      <c r="H1985" s="3326">
        <v>42093</v>
      </c>
      <c r="I1985" s="3326">
        <v>42094</v>
      </c>
      <c r="J1985" s="3324"/>
    </row>
    <row r="1986" spans="1:12" s="3327" customFormat="1" ht="14.25" customHeight="1">
      <c r="A1986" s="3354"/>
      <c r="B1986" s="3336" t="s">
        <v>4263</v>
      </c>
      <c r="C1986" s="3336" t="s">
        <v>4483</v>
      </c>
      <c r="D1986" s="3336" t="s">
        <v>4274</v>
      </c>
      <c r="E1986" s="3339">
        <v>211</v>
      </c>
      <c r="F1986" s="3339">
        <v>205</v>
      </c>
      <c r="G1986" s="3340">
        <v>42095</v>
      </c>
      <c r="H1986" s="3340">
        <v>42246</v>
      </c>
      <c r="I1986" s="3340">
        <v>42460</v>
      </c>
      <c r="J1986" s="3324"/>
    </row>
    <row r="1987" spans="1:12" s="3327" customFormat="1" ht="13.5" customHeight="1">
      <c r="A1987" s="3354"/>
      <c r="B1987" s="3336" t="s">
        <v>4263</v>
      </c>
      <c r="C1987" s="3336" t="s">
        <v>4301</v>
      </c>
      <c r="D1987" s="3336" t="s">
        <v>4484</v>
      </c>
      <c r="E1987" s="3339">
        <v>283.2</v>
      </c>
      <c r="F1987" s="3339">
        <v>195</v>
      </c>
      <c r="G1987" s="3340">
        <v>42263</v>
      </c>
      <c r="H1987" s="3340">
        <v>42459</v>
      </c>
      <c r="I1987" s="3340">
        <v>42460</v>
      </c>
      <c r="J1987" s="3324"/>
    </row>
    <row r="1988" spans="1:12" s="3327" customFormat="1" ht="13.5" customHeight="1">
      <c r="A1988" s="3354"/>
      <c r="B1988" s="3336" t="s">
        <v>4263</v>
      </c>
      <c r="C1988" s="3336" t="s">
        <v>4301</v>
      </c>
      <c r="D1988" s="3336" t="s">
        <v>4485</v>
      </c>
      <c r="E1988" s="3338">
        <v>285.7</v>
      </c>
      <c r="F1988" s="3339">
        <v>200</v>
      </c>
      <c r="G1988" s="3340">
        <v>42461</v>
      </c>
      <c r="H1988" s="3340">
        <v>42824</v>
      </c>
      <c r="I1988" s="3340">
        <v>42825</v>
      </c>
      <c r="J1988" s="3324"/>
    </row>
    <row r="1989" spans="1:12" s="3327" customFormat="1" ht="13.5" customHeight="1">
      <c r="A1989" s="3354" t="s">
        <v>4275</v>
      </c>
      <c r="B1989" s="3331" t="s">
        <v>4263</v>
      </c>
      <c r="C1989" s="3331" t="s">
        <v>4301</v>
      </c>
      <c r="D1989" s="3331" t="s">
        <v>4482</v>
      </c>
      <c r="E1989" s="3332">
        <v>285.7</v>
      </c>
      <c r="F1989" s="3332">
        <v>195</v>
      </c>
      <c r="G1989" s="3333">
        <v>42826</v>
      </c>
      <c r="H1989" s="3333">
        <v>43130</v>
      </c>
      <c r="I1989" s="3333">
        <v>43190</v>
      </c>
      <c r="J1989" s="3324"/>
      <c r="K1989" s="3334">
        <f t="shared" ref="K1989" si="299">E1989</f>
        <v>285.7</v>
      </c>
      <c r="L1989" s="3334">
        <f t="shared" ref="L1989" si="300">F1989/30</f>
        <v>6.5</v>
      </c>
    </row>
    <row r="1990" spans="1:12" s="3327" customFormat="1" ht="13.5" customHeight="1">
      <c r="A1990" s="3354"/>
      <c r="B1990" s="3324" t="s">
        <v>4263</v>
      </c>
      <c r="C1990" s="3324" t="s">
        <v>4486</v>
      </c>
      <c r="D1990" s="3324" t="s">
        <v>4295</v>
      </c>
      <c r="E1990" s="3325">
        <v>72.2</v>
      </c>
      <c r="F1990" s="3325">
        <v>160</v>
      </c>
      <c r="G1990" s="3326">
        <v>41714</v>
      </c>
      <c r="H1990" s="3326">
        <v>42093</v>
      </c>
      <c r="I1990" s="3326">
        <v>42094</v>
      </c>
      <c r="J1990" s="3324"/>
    </row>
    <row r="1991" spans="1:12" s="3327" customFormat="1" ht="13.5" customHeight="1">
      <c r="A1991" s="3354"/>
      <c r="B1991" s="3336" t="s">
        <v>4263</v>
      </c>
      <c r="C1991" s="3336" t="s">
        <v>4486</v>
      </c>
      <c r="D1991" s="3336" t="s">
        <v>4295</v>
      </c>
      <c r="E1991" s="3339">
        <v>72.2</v>
      </c>
      <c r="F1991" s="3339">
        <v>165</v>
      </c>
      <c r="G1991" s="3340">
        <v>42095</v>
      </c>
      <c r="H1991" s="3340">
        <v>42262</v>
      </c>
      <c r="I1991" s="3340">
        <v>42460</v>
      </c>
      <c r="J1991" s="3324"/>
    </row>
    <row r="1992" spans="1:12" s="3327" customFormat="1" ht="13.5" customHeight="1">
      <c r="A1992" s="3355"/>
      <c r="B1992" s="3336" t="s">
        <v>4263</v>
      </c>
      <c r="C1992" s="3336" t="s">
        <v>4487</v>
      </c>
      <c r="D1992" s="3336" t="s">
        <v>4488</v>
      </c>
      <c r="E1992" s="3339">
        <v>310.60000000000002</v>
      </c>
      <c r="F1992" s="3339">
        <v>310</v>
      </c>
      <c r="G1992" s="3340">
        <v>41000</v>
      </c>
      <c r="H1992" s="3340">
        <v>41363</v>
      </c>
      <c r="I1992" s="3340">
        <v>41364</v>
      </c>
      <c r="J1992" s="3336"/>
    </row>
    <row r="1993" spans="1:12" s="3327" customFormat="1" ht="14.25" customHeight="1">
      <c r="A1993" s="3354"/>
      <c r="B1993" s="3324" t="s">
        <v>4263</v>
      </c>
      <c r="C1993" s="3324" t="s">
        <v>4489</v>
      </c>
      <c r="D1993" s="3324" t="s">
        <v>4490</v>
      </c>
      <c r="E1993" s="3325">
        <v>373.3</v>
      </c>
      <c r="F1993" s="3325">
        <v>345</v>
      </c>
      <c r="G1993" s="3326">
        <v>41730</v>
      </c>
      <c r="H1993" s="3326">
        <v>42093</v>
      </c>
      <c r="I1993" s="3326">
        <v>42094</v>
      </c>
      <c r="J1993" s="3324"/>
    </row>
    <row r="1994" spans="1:12" s="3327" customFormat="1" ht="13.5" customHeight="1">
      <c r="A1994" s="3354"/>
      <c r="B1994" s="3336" t="s">
        <v>4263</v>
      </c>
      <c r="C1994" s="3336" t="s">
        <v>4489</v>
      </c>
      <c r="D1994" s="3336" t="s">
        <v>4490</v>
      </c>
      <c r="E1994" s="3339">
        <v>373.3</v>
      </c>
      <c r="F1994" s="3339">
        <v>351</v>
      </c>
      <c r="G1994" s="3340">
        <v>42095</v>
      </c>
      <c r="H1994" s="3340">
        <v>42459</v>
      </c>
      <c r="I1994" s="3340">
        <v>42460</v>
      </c>
      <c r="J1994" s="3324"/>
    </row>
    <row r="1995" spans="1:12" s="3327" customFormat="1" ht="13.5" customHeight="1">
      <c r="A1995" s="3354"/>
      <c r="B1995" s="3336" t="s">
        <v>4263</v>
      </c>
      <c r="C1995" s="3336" t="s">
        <v>4489</v>
      </c>
      <c r="D1995" s="3336" t="s">
        <v>4490</v>
      </c>
      <c r="E1995" s="3339">
        <v>373.3</v>
      </c>
      <c r="F1995" s="3339">
        <v>360</v>
      </c>
      <c r="G1995" s="3340">
        <v>42461</v>
      </c>
      <c r="H1995" s="3340">
        <v>42824</v>
      </c>
      <c r="I1995" s="3340">
        <v>42825</v>
      </c>
      <c r="J1995" s="3324"/>
    </row>
    <row r="1996" spans="1:12" s="3327" customFormat="1" ht="13.5" customHeight="1">
      <c r="A1996" s="3354" t="s">
        <v>4275</v>
      </c>
      <c r="B1996" s="3331" t="s">
        <v>4263</v>
      </c>
      <c r="C1996" s="3331" t="s">
        <v>4489</v>
      </c>
      <c r="D1996" s="3331" t="s">
        <v>4491</v>
      </c>
      <c r="E1996" s="3332">
        <v>373.3</v>
      </c>
      <c r="F1996" s="3332">
        <v>370</v>
      </c>
      <c r="G1996" s="3333">
        <v>42826</v>
      </c>
      <c r="H1996" s="3333">
        <v>43130</v>
      </c>
      <c r="I1996" s="3333">
        <v>43190</v>
      </c>
      <c r="J1996" s="3324"/>
      <c r="K1996" s="3334">
        <f t="shared" ref="K1996" si="301">E1996</f>
        <v>373.3</v>
      </c>
      <c r="L1996" s="3334">
        <f t="shared" ref="L1996" si="302">F1996/30</f>
        <v>12.333333333333334</v>
      </c>
    </row>
    <row r="1997" spans="1:12" s="3327" customFormat="1" ht="13.5" customHeight="1">
      <c r="A1997" s="3354"/>
      <c r="B1997" s="3324" t="s">
        <v>4263</v>
      </c>
      <c r="C1997" s="3324" t="s">
        <v>4266</v>
      </c>
      <c r="D1997" s="3324" t="s">
        <v>4490</v>
      </c>
      <c r="E1997" s="3325">
        <v>197.6</v>
      </c>
      <c r="F1997" s="3325">
        <v>325</v>
      </c>
      <c r="G1997" s="3326">
        <v>41699</v>
      </c>
      <c r="H1997" s="3326">
        <v>41820</v>
      </c>
      <c r="I1997" s="3326">
        <v>41364</v>
      </c>
      <c r="J1997" s="3324"/>
    </row>
    <row r="1998" spans="1:12" s="3327" customFormat="1" ht="13.5" customHeight="1">
      <c r="A1998" s="3354"/>
      <c r="B1998" s="3324" t="s">
        <v>4263</v>
      </c>
      <c r="C1998" s="3324" t="s">
        <v>4266</v>
      </c>
      <c r="D1998" s="3324" t="s">
        <v>4490</v>
      </c>
      <c r="E1998" s="3325">
        <v>197.6</v>
      </c>
      <c r="F1998" s="3325">
        <v>325</v>
      </c>
      <c r="G1998" s="3326">
        <v>41831</v>
      </c>
      <c r="H1998" s="3326">
        <v>42093</v>
      </c>
      <c r="I1998" s="3326">
        <v>42094</v>
      </c>
      <c r="J1998" s="3324"/>
    </row>
    <row r="1999" spans="1:12" s="3327" customFormat="1" ht="13.5" customHeight="1">
      <c r="A1999" s="3354"/>
      <c r="B1999" s="3336" t="s">
        <v>4263</v>
      </c>
      <c r="C1999" s="3336" t="s">
        <v>4266</v>
      </c>
      <c r="D1999" s="3336" t="s">
        <v>4490</v>
      </c>
      <c r="E1999" s="3339">
        <v>197.6</v>
      </c>
      <c r="F1999" s="3339">
        <v>325</v>
      </c>
      <c r="G1999" s="3340">
        <v>42095</v>
      </c>
      <c r="H1999" s="3340">
        <v>42459</v>
      </c>
      <c r="I1999" s="3340">
        <v>42460</v>
      </c>
      <c r="J1999" s="3324"/>
    </row>
    <row r="2000" spans="1:12" s="3327" customFormat="1" ht="13.5" customHeight="1">
      <c r="A2000" s="3354"/>
      <c r="B2000" s="3336" t="s">
        <v>4263</v>
      </c>
      <c r="C2000" s="3336" t="s">
        <v>4266</v>
      </c>
      <c r="D2000" s="3336" t="s">
        <v>4490</v>
      </c>
      <c r="E2000" s="3339">
        <v>197.6</v>
      </c>
      <c r="F2000" s="3339">
        <v>295</v>
      </c>
      <c r="G2000" s="3340">
        <v>42461</v>
      </c>
      <c r="H2000" s="3340">
        <v>42520</v>
      </c>
      <c r="I2000" s="3340">
        <v>42825</v>
      </c>
      <c r="J2000" s="3324"/>
    </row>
    <row r="2001" spans="1:12" s="3327" customFormat="1" ht="13.5" customHeight="1">
      <c r="A2001" s="3354"/>
      <c r="B2001" s="3336" t="s">
        <v>4263</v>
      </c>
      <c r="C2001" s="3336" t="s">
        <v>4266</v>
      </c>
      <c r="D2001" s="3336" t="s">
        <v>4490</v>
      </c>
      <c r="E2001" s="3339">
        <v>197.6</v>
      </c>
      <c r="F2001" s="3339">
        <v>295</v>
      </c>
      <c r="G2001" s="3340">
        <v>42522</v>
      </c>
      <c r="H2001" s="3340">
        <v>42824</v>
      </c>
      <c r="I2001" s="3340">
        <v>42825</v>
      </c>
      <c r="J2001" s="3324"/>
    </row>
    <row r="2002" spans="1:12" s="3327" customFormat="1" ht="13.5" customHeight="1">
      <c r="A2002" s="3354"/>
      <c r="B2002" s="3331" t="s">
        <v>4263</v>
      </c>
      <c r="C2002" s="3331" t="s">
        <v>4266</v>
      </c>
      <c r="D2002" s="3331" t="s">
        <v>4490</v>
      </c>
      <c r="E2002" s="3332">
        <v>197.6</v>
      </c>
      <c r="F2002" s="3332">
        <v>290</v>
      </c>
      <c r="G2002" s="3333">
        <v>42826</v>
      </c>
      <c r="H2002" s="3333">
        <v>42885</v>
      </c>
      <c r="I2002" s="3333">
        <v>42886</v>
      </c>
      <c r="J2002" s="3324"/>
      <c r="K2002" s="3334">
        <f t="shared" ref="K2002:K2003" si="303">E2002</f>
        <v>197.6</v>
      </c>
      <c r="L2002" s="3334">
        <f t="shared" ref="L2002:L2003" si="304">F2002/30</f>
        <v>9.6666666666666661</v>
      </c>
    </row>
    <row r="2003" spans="1:12" s="3327" customFormat="1" ht="13.5" customHeight="1">
      <c r="A2003" s="3354" t="s">
        <v>4275</v>
      </c>
      <c r="B2003" s="3331" t="s">
        <v>4263</v>
      </c>
      <c r="C2003" s="3331" t="s">
        <v>4266</v>
      </c>
      <c r="D2003" s="3331" t="s">
        <v>4490</v>
      </c>
      <c r="E2003" s="3332">
        <v>197.6</v>
      </c>
      <c r="F2003" s="3332">
        <v>320</v>
      </c>
      <c r="G2003" s="3333">
        <v>42887</v>
      </c>
      <c r="H2003" s="3333">
        <v>43130</v>
      </c>
      <c r="I2003" s="3333">
        <v>43190</v>
      </c>
      <c r="J2003" s="3324"/>
      <c r="K2003" s="3334">
        <f t="shared" si="303"/>
        <v>197.6</v>
      </c>
      <c r="L2003" s="3334">
        <f t="shared" si="304"/>
        <v>10.666666666666666</v>
      </c>
    </row>
    <row r="2004" spans="1:12" s="3327" customFormat="1" ht="13.5" customHeight="1">
      <c r="A2004" s="3355"/>
      <c r="B2004" s="3336" t="s">
        <v>4263</v>
      </c>
      <c r="C2004" s="3336" t="s">
        <v>4489</v>
      </c>
      <c r="D2004" s="3336" t="s">
        <v>4492</v>
      </c>
      <c r="E2004" s="3339">
        <v>260.3</v>
      </c>
      <c r="F2004" s="3339">
        <v>330</v>
      </c>
      <c r="G2004" s="3340">
        <v>41000</v>
      </c>
      <c r="H2004" s="3340">
        <v>41363</v>
      </c>
      <c r="I2004" s="3340">
        <v>41364</v>
      </c>
      <c r="J2004" s="3336"/>
    </row>
    <row r="2005" spans="1:12" s="3327" customFormat="1" ht="13.5" customHeight="1">
      <c r="A2005" s="3355"/>
      <c r="B2005" s="3336" t="s">
        <v>4263</v>
      </c>
      <c r="C2005" s="3336" t="s">
        <v>4493</v>
      </c>
      <c r="D2005" s="3336" t="s">
        <v>4494</v>
      </c>
      <c r="E2005" s="3339">
        <v>266.2</v>
      </c>
      <c r="F2005" s="3339">
        <v>270</v>
      </c>
      <c r="G2005" s="3340">
        <v>41030</v>
      </c>
      <c r="H2005" s="3340">
        <v>41363</v>
      </c>
      <c r="I2005" s="3340">
        <v>41364</v>
      </c>
      <c r="J2005" s="3336"/>
    </row>
    <row r="2006" spans="1:12" s="3327" customFormat="1" ht="13.5" customHeight="1">
      <c r="A2006" s="3354"/>
      <c r="B2006" s="3324" t="s">
        <v>4263</v>
      </c>
      <c r="C2006" s="3324" t="s">
        <v>4493</v>
      </c>
      <c r="D2006" s="3324" t="s">
        <v>4495</v>
      </c>
      <c r="E2006" s="3325">
        <v>266.2</v>
      </c>
      <c r="F2006" s="3325">
        <v>280</v>
      </c>
      <c r="G2006" s="3326">
        <v>41730</v>
      </c>
      <c r="H2006" s="3326">
        <v>41942</v>
      </c>
      <c r="I2006" s="3326">
        <v>42094</v>
      </c>
      <c r="J2006" s="3324"/>
    </row>
    <row r="2007" spans="1:12" s="3327" customFormat="1" ht="13.5" customHeight="1">
      <c r="A2007" s="3354"/>
      <c r="B2007" s="3324" t="s">
        <v>4263</v>
      </c>
      <c r="C2007" s="3324" t="s">
        <v>4417</v>
      </c>
      <c r="D2007" s="3324" t="s">
        <v>4495</v>
      </c>
      <c r="E2007" s="3325">
        <v>266.2</v>
      </c>
      <c r="F2007" s="3325">
        <v>280</v>
      </c>
      <c r="G2007" s="3326">
        <v>41994</v>
      </c>
      <c r="H2007" s="3326">
        <v>42030</v>
      </c>
      <c r="I2007" s="3326">
        <v>42094</v>
      </c>
      <c r="J2007" s="3324"/>
    </row>
    <row r="2008" spans="1:12" s="3327" customFormat="1" ht="13.5" customHeight="1">
      <c r="A2008" s="3354"/>
      <c r="B2008" s="3350" t="s">
        <v>4263</v>
      </c>
      <c r="C2008" s="3351" t="s">
        <v>4417</v>
      </c>
      <c r="D2008" s="3351" t="s">
        <v>4495</v>
      </c>
      <c r="E2008" s="3352">
        <v>266.2</v>
      </c>
      <c r="F2008" s="3352">
        <v>270</v>
      </c>
      <c r="G2008" s="3353">
        <v>42031</v>
      </c>
      <c r="H2008" s="3353">
        <v>42062</v>
      </c>
      <c r="I2008" s="3353">
        <v>42094</v>
      </c>
      <c r="J2008" s="3324"/>
    </row>
    <row r="2009" spans="1:12" s="3327" customFormat="1" ht="13.5" customHeight="1">
      <c r="A2009" s="3354"/>
      <c r="B2009" s="3331" t="s">
        <v>4263</v>
      </c>
      <c r="C2009" s="3324" t="s">
        <v>4496</v>
      </c>
      <c r="D2009" s="3324" t="s">
        <v>4495</v>
      </c>
      <c r="E2009" s="3325">
        <v>266.2</v>
      </c>
      <c r="F2009" s="3325">
        <v>245</v>
      </c>
      <c r="G2009" s="3326">
        <v>42064</v>
      </c>
      <c r="H2009" s="3326">
        <v>42116</v>
      </c>
      <c r="I2009" s="3326">
        <v>42277</v>
      </c>
      <c r="J2009" s="3324"/>
    </row>
    <row r="2010" spans="1:12" s="3327" customFormat="1" ht="13.5" customHeight="1">
      <c r="A2010" s="3354"/>
      <c r="B2010" s="3336" t="s">
        <v>4263</v>
      </c>
      <c r="C2010" s="3336" t="s">
        <v>4088</v>
      </c>
      <c r="D2010" s="3336" t="s">
        <v>4497</v>
      </c>
      <c r="E2010" s="3339">
        <v>133.1</v>
      </c>
      <c r="F2010" s="3339">
        <v>245</v>
      </c>
      <c r="G2010" s="3340">
        <v>42117</v>
      </c>
      <c r="H2010" s="3340">
        <v>42459</v>
      </c>
      <c r="I2010" s="3340">
        <v>42460</v>
      </c>
      <c r="J2010" s="3324"/>
    </row>
    <row r="2011" spans="1:12" s="3327" customFormat="1" ht="13.5" customHeight="1">
      <c r="A2011" s="3354"/>
      <c r="B2011" s="3336" t="s">
        <v>4263</v>
      </c>
      <c r="C2011" s="3336" t="s">
        <v>4088</v>
      </c>
      <c r="D2011" s="3336" t="s">
        <v>4497</v>
      </c>
      <c r="E2011" s="3339">
        <v>133.1</v>
      </c>
      <c r="F2011" s="3339">
        <v>180</v>
      </c>
      <c r="G2011" s="3340">
        <v>42461</v>
      </c>
      <c r="H2011" s="3340">
        <v>42824</v>
      </c>
      <c r="I2011" s="3340">
        <v>42825</v>
      </c>
      <c r="J2011" s="3324"/>
    </row>
    <row r="2012" spans="1:12" s="3327" customFormat="1" ht="13.5" customHeight="1">
      <c r="A2012" s="3354"/>
      <c r="B2012" s="3331" t="s">
        <v>4263</v>
      </c>
      <c r="C2012" s="3331" t="s">
        <v>4498</v>
      </c>
      <c r="D2012" s="3331" t="s">
        <v>4497</v>
      </c>
      <c r="E2012" s="3332">
        <v>133.1</v>
      </c>
      <c r="F2012" s="3332">
        <v>188</v>
      </c>
      <c r="G2012" s="3333">
        <v>42826</v>
      </c>
      <c r="H2012" s="3333">
        <v>42885</v>
      </c>
      <c r="I2012" s="3333">
        <v>43190</v>
      </c>
      <c r="J2012" s="3324"/>
      <c r="K2012" s="3334">
        <f t="shared" ref="K2012" si="305">E2012</f>
        <v>133.1</v>
      </c>
      <c r="L2012" s="3334">
        <f t="shared" ref="L2012" si="306">F2012/30</f>
        <v>6.2666666666666666</v>
      </c>
    </row>
    <row r="2013" spans="1:12" s="3327" customFormat="1" ht="13.5" customHeight="1">
      <c r="A2013" s="3354"/>
      <c r="B2013" s="3336" t="s">
        <v>4263</v>
      </c>
      <c r="C2013" s="3336" t="s">
        <v>4091</v>
      </c>
      <c r="D2013" s="3336" t="s">
        <v>4499</v>
      </c>
      <c r="E2013" s="3339">
        <v>133.1</v>
      </c>
      <c r="F2013" s="3339">
        <v>245</v>
      </c>
      <c r="G2013" s="3340">
        <v>42117</v>
      </c>
      <c r="H2013" s="3340">
        <v>42459</v>
      </c>
      <c r="I2013" s="3340">
        <v>42460</v>
      </c>
      <c r="J2013" s="3324"/>
    </row>
    <row r="2014" spans="1:12" s="3327" customFormat="1" ht="13.5" customHeight="1">
      <c r="A2014" s="3354"/>
      <c r="B2014" s="3336" t="s">
        <v>4263</v>
      </c>
      <c r="C2014" s="3336" t="s">
        <v>4091</v>
      </c>
      <c r="D2014" s="3336" t="s">
        <v>4499</v>
      </c>
      <c r="E2014" s="3339">
        <v>133.1</v>
      </c>
      <c r="F2014" s="3339">
        <v>180</v>
      </c>
      <c r="G2014" s="3340">
        <v>42461</v>
      </c>
      <c r="H2014" s="3340">
        <v>42520</v>
      </c>
      <c r="I2014" s="3340">
        <v>42825</v>
      </c>
      <c r="J2014" s="3324"/>
    </row>
    <row r="2015" spans="1:12" s="3327" customFormat="1" ht="13.5" customHeight="1">
      <c r="A2015" s="3354"/>
      <c r="B2015" s="3336" t="s">
        <v>4263</v>
      </c>
      <c r="C2015" s="3336" t="s">
        <v>4091</v>
      </c>
      <c r="D2015" s="3336" t="s">
        <v>4499</v>
      </c>
      <c r="E2015" s="3339">
        <v>133.1</v>
      </c>
      <c r="F2015" s="3339">
        <v>180</v>
      </c>
      <c r="G2015" s="3340">
        <v>42522</v>
      </c>
      <c r="H2015" s="3340">
        <v>42824</v>
      </c>
      <c r="I2015" s="3340">
        <v>42825</v>
      </c>
      <c r="J2015" s="3324"/>
    </row>
    <row r="2016" spans="1:12" s="3327" customFormat="1" ht="13.5" customHeight="1">
      <c r="A2016" s="3354"/>
      <c r="B2016" s="3331" t="s">
        <v>4263</v>
      </c>
      <c r="C2016" s="3331" t="s">
        <v>4091</v>
      </c>
      <c r="D2016" s="3331" t="s">
        <v>4495</v>
      </c>
      <c r="E2016" s="3332">
        <v>133.1</v>
      </c>
      <c r="F2016" s="3332">
        <v>188</v>
      </c>
      <c r="G2016" s="3333">
        <v>42826</v>
      </c>
      <c r="H2016" s="3333">
        <v>42885</v>
      </c>
      <c r="I2016" s="3333">
        <v>43190</v>
      </c>
      <c r="J2016" s="3324"/>
      <c r="K2016" s="3334">
        <f t="shared" ref="K2016:K2018" si="307">E2016</f>
        <v>133.1</v>
      </c>
      <c r="L2016" s="3334">
        <f t="shared" ref="L2016:L2018" si="308">F2016/30</f>
        <v>6.2666666666666666</v>
      </c>
    </row>
    <row r="2017" spans="1:12" s="3327" customFormat="1" ht="13.5" customHeight="1">
      <c r="A2017" s="3354"/>
      <c r="B2017" s="3331" t="s">
        <v>4263</v>
      </c>
      <c r="C2017" s="3331" t="s">
        <v>4500</v>
      </c>
      <c r="D2017" s="3331" t="s">
        <v>4495</v>
      </c>
      <c r="E2017" s="3332">
        <v>266.2</v>
      </c>
      <c r="F2017" s="3332">
        <v>188</v>
      </c>
      <c r="G2017" s="3341">
        <v>42887</v>
      </c>
      <c r="H2017" s="3341">
        <v>43099</v>
      </c>
      <c r="I2017" s="3341">
        <v>43190</v>
      </c>
      <c r="J2017" s="3324"/>
      <c r="K2017" s="3334">
        <f t="shared" si="307"/>
        <v>266.2</v>
      </c>
      <c r="L2017" s="3334">
        <f t="shared" si="308"/>
        <v>6.2666666666666666</v>
      </c>
    </row>
    <row r="2018" spans="1:12" s="3327" customFormat="1" ht="13.5" customHeight="1">
      <c r="A2018" s="3354" t="s">
        <v>4275</v>
      </c>
      <c r="B2018" s="3331" t="s">
        <v>4263</v>
      </c>
      <c r="C2018" s="3331" t="s">
        <v>4501</v>
      </c>
      <c r="D2018" s="3331" t="s">
        <v>4495</v>
      </c>
      <c r="E2018" s="3332">
        <v>266.2</v>
      </c>
      <c r="F2018" s="3332">
        <v>200</v>
      </c>
      <c r="G2018" s="3333">
        <v>43101</v>
      </c>
      <c r="H2018" s="3333">
        <v>43130</v>
      </c>
      <c r="I2018" s="3333">
        <v>43190</v>
      </c>
      <c r="J2018" s="3324"/>
      <c r="K2018" s="3334">
        <f t="shared" si="307"/>
        <v>266.2</v>
      </c>
      <c r="L2018" s="3334">
        <f t="shared" si="308"/>
        <v>6.666666666666667</v>
      </c>
    </row>
    <row r="2019" spans="1:12" s="3327" customFormat="1" ht="13.5" customHeight="1">
      <c r="A2019" s="3354"/>
      <c r="B2019" s="3324" t="s">
        <v>4263</v>
      </c>
      <c r="C2019" s="3324" t="s">
        <v>4474</v>
      </c>
      <c r="D2019" s="3324" t="s">
        <v>4479</v>
      </c>
      <c r="E2019" s="3325">
        <v>186.8</v>
      </c>
      <c r="F2019" s="3325">
        <v>315</v>
      </c>
      <c r="G2019" s="3326">
        <v>41730</v>
      </c>
      <c r="H2019" s="3326">
        <v>41739</v>
      </c>
      <c r="I2019" s="3326">
        <v>42094</v>
      </c>
      <c r="J2019" s="3324"/>
    </row>
    <row r="2020" spans="1:12" s="3327" customFormat="1" ht="13.5" customHeight="1">
      <c r="A2020" s="3354"/>
      <c r="B2020" s="3324" t="s">
        <v>4263</v>
      </c>
      <c r="C2020" s="3324" t="s">
        <v>4502</v>
      </c>
      <c r="D2020" s="3324" t="s">
        <v>4479</v>
      </c>
      <c r="E2020" s="3325">
        <v>186.8</v>
      </c>
      <c r="F2020" s="3325">
        <v>315</v>
      </c>
      <c r="G2020" s="3326">
        <v>41740</v>
      </c>
      <c r="H2020" s="3326">
        <v>41942</v>
      </c>
      <c r="I2020" s="3326">
        <v>42094</v>
      </c>
      <c r="J2020" s="3324"/>
    </row>
    <row r="2021" spans="1:12" s="3327" customFormat="1" ht="13.5" customHeight="1">
      <c r="A2021" s="3354"/>
      <c r="B2021" s="3324" t="s">
        <v>4263</v>
      </c>
      <c r="C2021" s="3324" t="s">
        <v>4503</v>
      </c>
      <c r="D2021" s="3324" t="s">
        <v>4479</v>
      </c>
      <c r="E2021" s="3325">
        <v>186.8</v>
      </c>
      <c r="F2021" s="3325">
        <v>315</v>
      </c>
      <c r="G2021" s="3326">
        <v>41953</v>
      </c>
      <c r="H2021" s="3326">
        <v>42093</v>
      </c>
      <c r="I2021" s="3326">
        <v>42094</v>
      </c>
      <c r="J2021" s="3324"/>
    </row>
    <row r="2022" spans="1:12" s="3327" customFormat="1" ht="13.5" customHeight="1">
      <c r="A2022" s="3354"/>
      <c r="B2022" s="3336" t="s">
        <v>4263</v>
      </c>
      <c r="C2022" s="3336" t="s">
        <v>4503</v>
      </c>
      <c r="D2022" s="3336" t="s">
        <v>4479</v>
      </c>
      <c r="E2022" s="3339">
        <v>186.8</v>
      </c>
      <c r="F2022" s="3339">
        <v>306</v>
      </c>
      <c r="G2022" s="3340">
        <v>42095</v>
      </c>
      <c r="H2022" s="3340">
        <v>42459</v>
      </c>
      <c r="I2022" s="3340">
        <v>42460</v>
      </c>
      <c r="J2022" s="3324"/>
    </row>
    <row r="2023" spans="1:12" s="3327" customFormat="1" ht="13.5" customHeight="1">
      <c r="A2023" s="3354"/>
      <c r="B2023" s="3336" t="s">
        <v>4263</v>
      </c>
      <c r="C2023" s="3336" t="s">
        <v>4503</v>
      </c>
      <c r="D2023" s="3336" t="s">
        <v>4479</v>
      </c>
      <c r="E2023" s="3338">
        <v>186.79</v>
      </c>
      <c r="F2023" s="3339">
        <v>306</v>
      </c>
      <c r="G2023" s="3340">
        <v>42461</v>
      </c>
      <c r="H2023" s="3340">
        <v>42824</v>
      </c>
      <c r="I2023" s="3340">
        <v>42825</v>
      </c>
      <c r="J2023" s="3324"/>
    </row>
    <row r="2024" spans="1:12" s="3327" customFormat="1" ht="13.5" customHeight="1">
      <c r="A2024" s="3354" t="s">
        <v>4275</v>
      </c>
      <c r="B2024" s="3331" t="s">
        <v>4263</v>
      </c>
      <c r="C2024" s="3331" t="s">
        <v>4377</v>
      </c>
      <c r="D2024" s="3331" t="s">
        <v>4477</v>
      </c>
      <c r="E2024" s="3332">
        <v>186.79</v>
      </c>
      <c r="F2024" s="3332">
        <v>320</v>
      </c>
      <c r="G2024" s="3333">
        <v>42826</v>
      </c>
      <c r="H2024" s="3333">
        <v>43130</v>
      </c>
      <c r="I2024" s="3333">
        <v>43190</v>
      </c>
      <c r="J2024" s="3324"/>
      <c r="K2024" s="3334">
        <f t="shared" ref="K2024" si="309">E2024</f>
        <v>186.79</v>
      </c>
      <c r="L2024" s="3334">
        <f t="shared" ref="L2024" si="310">F2024/30</f>
        <v>10.666666666666666</v>
      </c>
    </row>
    <row r="2025" spans="1:12" s="3327" customFormat="1" ht="13.5" customHeight="1">
      <c r="A2025" s="3355"/>
      <c r="B2025" s="3336" t="s">
        <v>4263</v>
      </c>
      <c r="C2025" s="3336" t="s">
        <v>4504</v>
      </c>
      <c r="D2025" s="3336" t="s">
        <v>4505</v>
      </c>
      <c r="E2025" s="3339">
        <v>146.19999999999999</v>
      </c>
      <c r="F2025" s="3339">
        <v>270</v>
      </c>
      <c r="G2025" s="3340">
        <v>41000</v>
      </c>
      <c r="H2025" s="3340">
        <v>41363</v>
      </c>
      <c r="I2025" s="3340">
        <v>41364</v>
      </c>
      <c r="J2025" s="3336"/>
    </row>
    <row r="2026" spans="1:12" s="3327" customFormat="1" ht="13.5" customHeight="1">
      <c r="A2026" s="3354"/>
      <c r="B2026" s="3324" t="s">
        <v>4263</v>
      </c>
      <c r="C2026" s="3324" t="s">
        <v>4504</v>
      </c>
      <c r="D2026" s="3324" t="s">
        <v>4506</v>
      </c>
      <c r="E2026" s="3325">
        <v>146.19999999999999</v>
      </c>
      <c r="F2026" s="3325">
        <v>270</v>
      </c>
      <c r="G2026" s="3326">
        <v>41365</v>
      </c>
      <c r="H2026" s="3326">
        <v>41728</v>
      </c>
      <c r="I2026" s="3326">
        <v>41729</v>
      </c>
      <c r="J2026" s="3324"/>
    </row>
    <row r="2027" spans="1:12" s="3327" customFormat="1" ht="13.5" customHeight="1">
      <c r="A2027" s="3354"/>
      <c r="B2027" s="3324" t="s">
        <v>4263</v>
      </c>
      <c r="C2027" s="3324" t="s">
        <v>4507</v>
      </c>
      <c r="D2027" s="3324" t="s">
        <v>4506</v>
      </c>
      <c r="E2027" s="3325">
        <v>146.19999999999999</v>
      </c>
      <c r="F2027" s="3325">
        <v>280</v>
      </c>
      <c r="G2027" s="3326">
        <v>41735</v>
      </c>
      <c r="H2027" s="3326">
        <v>42093</v>
      </c>
      <c r="I2027" s="3326">
        <v>42094</v>
      </c>
      <c r="J2027" s="3324"/>
    </row>
    <row r="2028" spans="1:12" s="3327" customFormat="1" ht="13.5" customHeight="1">
      <c r="A2028" s="3354"/>
      <c r="B2028" s="3336" t="s">
        <v>4263</v>
      </c>
      <c r="C2028" s="3336" t="s">
        <v>4508</v>
      </c>
      <c r="D2028" s="3336" t="s">
        <v>4506</v>
      </c>
      <c r="E2028" s="3339">
        <v>146.19999999999999</v>
      </c>
      <c r="F2028" s="3339">
        <v>270</v>
      </c>
      <c r="G2028" s="3340">
        <v>42095</v>
      </c>
      <c r="H2028" s="3340">
        <v>42124</v>
      </c>
      <c r="I2028" s="3340">
        <v>42460</v>
      </c>
      <c r="J2028" s="3324"/>
    </row>
    <row r="2029" spans="1:12" s="3327" customFormat="1" ht="13.5" customHeight="1">
      <c r="A2029" s="3354"/>
      <c r="B2029" s="3336" t="s">
        <v>4263</v>
      </c>
      <c r="C2029" s="3336" t="s">
        <v>4509</v>
      </c>
      <c r="D2029" s="3336" t="s">
        <v>4506</v>
      </c>
      <c r="E2029" s="3339">
        <v>146.19999999999999</v>
      </c>
      <c r="F2029" s="3339">
        <v>270</v>
      </c>
      <c r="G2029" s="3340">
        <v>42195</v>
      </c>
      <c r="H2029" s="3340">
        <v>42459</v>
      </c>
      <c r="I2029" s="3340">
        <v>42460</v>
      </c>
      <c r="J2029" s="3324"/>
    </row>
    <row r="2030" spans="1:12" s="3327" customFormat="1" ht="13.5" customHeight="1">
      <c r="A2030" s="3354"/>
      <c r="B2030" s="3336" t="s">
        <v>4263</v>
      </c>
      <c r="C2030" s="3336" t="s">
        <v>4509</v>
      </c>
      <c r="D2030" s="3336" t="s">
        <v>4506</v>
      </c>
      <c r="E2030" s="3339">
        <v>146.19999999999999</v>
      </c>
      <c r="F2030" s="3339">
        <v>225</v>
      </c>
      <c r="G2030" s="3340">
        <v>42461</v>
      </c>
      <c r="H2030" s="3340">
        <v>42824</v>
      </c>
      <c r="I2030" s="3340">
        <v>42825</v>
      </c>
      <c r="J2030" s="3324"/>
    </row>
    <row r="2031" spans="1:12" s="3327" customFormat="1" ht="13.5" customHeight="1">
      <c r="A2031" s="3354" t="s">
        <v>4275</v>
      </c>
      <c r="B2031" s="3331" t="s">
        <v>4263</v>
      </c>
      <c r="C2031" s="3331" t="s">
        <v>4509</v>
      </c>
      <c r="D2031" s="3331" t="s">
        <v>4506</v>
      </c>
      <c r="E2031" s="3332">
        <v>146.19999999999999</v>
      </c>
      <c r="F2031" s="3332">
        <v>240</v>
      </c>
      <c r="G2031" s="3333">
        <v>42826</v>
      </c>
      <c r="H2031" s="3333">
        <v>43130</v>
      </c>
      <c r="I2031" s="3333">
        <v>43190</v>
      </c>
      <c r="J2031" s="3324"/>
      <c r="K2031" s="3334">
        <f t="shared" ref="K2031" si="311">E2031</f>
        <v>146.19999999999999</v>
      </c>
      <c r="L2031" s="3334">
        <f t="shared" ref="L2031" si="312">F2031/30</f>
        <v>8</v>
      </c>
    </row>
    <row r="2032" spans="1:12" s="3327" customFormat="1" ht="13.5" customHeight="1">
      <c r="A2032" s="3355"/>
      <c r="B2032" s="3336" t="s">
        <v>4263</v>
      </c>
      <c r="C2032" s="3336" t="s">
        <v>4510</v>
      </c>
      <c r="D2032" s="3336" t="s">
        <v>4511</v>
      </c>
      <c r="E2032" s="3339">
        <v>191.6</v>
      </c>
      <c r="F2032" s="3339">
        <v>280</v>
      </c>
      <c r="G2032" s="3340">
        <v>41000</v>
      </c>
      <c r="H2032" s="3340">
        <v>41333</v>
      </c>
      <c r="I2032" s="3340">
        <v>41364</v>
      </c>
      <c r="J2032" s="3336"/>
    </row>
    <row r="2033" spans="1:14" s="3327" customFormat="1" ht="13.5" customHeight="1">
      <c r="A2033" s="3355"/>
      <c r="B2033" s="3336" t="s">
        <v>4263</v>
      </c>
      <c r="C2033" s="3336" t="s">
        <v>4500</v>
      </c>
      <c r="D2033" s="3336" t="s">
        <v>4512</v>
      </c>
      <c r="E2033" s="3339">
        <v>191.6</v>
      </c>
      <c r="F2033" s="3339">
        <v>280</v>
      </c>
      <c r="G2033" s="3340">
        <v>41426</v>
      </c>
      <c r="H2033" s="3340">
        <v>41638</v>
      </c>
      <c r="I2033" s="3340">
        <v>41729</v>
      </c>
      <c r="J2033" s="3336"/>
    </row>
    <row r="2034" spans="1:14" s="3327" customFormat="1" ht="13.5" customHeight="1">
      <c r="A2034" s="3354"/>
      <c r="B2034" s="3324" t="s">
        <v>4263</v>
      </c>
      <c r="C2034" s="3324" t="s">
        <v>4273</v>
      </c>
      <c r="D2034" s="3324" t="s">
        <v>4512</v>
      </c>
      <c r="E2034" s="3325">
        <v>191.6</v>
      </c>
      <c r="F2034" s="3325">
        <v>345</v>
      </c>
      <c r="G2034" s="3326">
        <v>41730</v>
      </c>
      <c r="H2034" s="3326">
        <v>42093</v>
      </c>
      <c r="I2034" s="3326">
        <v>42094</v>
      </c>
      <c r="J2034" s="3324"/>
    </row>
    <row r="2035" spans="1:14" s="3327" customFormat="1" ht="13.5" customHeight="1">
      <c r="A2035" s="3354"/>
      <c r="B2035" s="3336" t="s">
        <v>4263</v>
      </c>
      <c r="C2035" s="3336" t="s">
        <v>4273</v>
      </c>
      <c r="D2035" s="3336" t="s">
        <v>4512</v>
      </c>
      <c r="E2035" s="3339">
        <v>191.6</v>
      </c>
      <c r="F2035" s="3339">
        <v>351</v>
      </c>
      <c r="G2035" s="3340">
        <v>42095</v>
      </c>
      <c r="H2035" s="3340">
        <v>42459</v>
      </c>
      <c r="I2035" s="3340">
        <v>42460</v>
      </c>
      <c r="J2035" s="3324"/>
    </row>
    <row r="2036" spans="1:14" s="3327" customFormat="1" ht="13.5" customHeight="1">
      <c r="A2036" s="3354"/>
      <c r="B2036" s="3336" t="s">
        <v>4263</v>
      </c>
      <c r="C2036" s="3336" t="s">
        <v>4273</v>
      </c>
      <c r="D2036" s="3336" t="s">
        <v>4512</v>
      </c>
      <c r="E2036" s="3339">
        <v>191.6</v>
      </c>
      <c r="F2036" s="3339">
        <v>360</v>
      </c>
      <c r="G2036" s="3340">
        <v>42461</v>
      </c>
      <c r="H2036" s="3340">
        <v>42824</v>
      </c>
      <c r="I2036" s="3340">
        <v>42825</v>
      </c>
      <c r="J2036" s="3324"/>
    </row>
    <row r="2037" spans="1:14" s="3327" customFormat="1" ht="13.5" customHeight="1">
      <c r="A2037" s="3354" t="s">
        <v>4275</v>
      </c>
      <c r="B2037" s="3331" t="s">
        <v>4263</v>
      </c>
      <c r="C2037" s="3331" t="s">
        <v>4273</v>
      </c>
      <c r="D2037" s="3331" t="s">
        <v>4512</v>
      </c>
      <c r="E2037" s="3332">
        <v>191.6</v>
      </c>
      <c r="F2037" s="3332">
        <v>380</v>
      </c>
      <c r="G2037" s="3333">
        <v>42826</v>
      </c>
      <c r="H2037" s="3333">
        <v>43130</v>
      </c>
      <c r="I2037" s="3333">
        <v>43190</v>
      </c>
      <c r="J2037" s="3324"/>
      <c r="K2037" s="3334">
        <f t="shared" ref="K2037" si="313">E2037</f>
        <v>191.6</v>
      </c>
      <c r="L2037" s="3334">
        <f t="shared" ref="L2037" si="314">F2037/30</f>
        <v>12.666666666666666</v>
      </c>
    </row>
    <row r="2038" spans="1:14" s="3327" customFormat="1" ht="13.5" customHeight="1">
      <c r="A2038" s="3355"/>
      <c r="B2038" s="3336" t="s">
        <v>4263</v>
      </c>
      <c r="C2038" s="3336" t="s">
        <v>4273</v>
      </c>
      <c r="D2038" s="3336" t="s">
        <v>4513</v>
      </c>
      <c r="E2038" s="3339">
        <v>228.4</v>
      </c>
      <c r="F2038" s="3339">
        <v>330</v>
      </c>
      <c r="G2038" s="3340">
        <v>41000</v>
      </c>
      <c r="H2038" s="3340">
        <v>41363</v>
      </c>
      <c r="I2038" s="3340">
        <v>41364</v>
      </c>
      <c r="J2038" s="3336"/>
    </row>
    <row r="2039" spans="1:14" s="3327" customFormat="1" ht="13.5" customHeight="1">
      <c r="A2039" s="3354"/>
      <c r="B2039" s="3324" t="s">
        <v>4263</v>
      </c>
      <c r="C2039" s="3324" t="s">
        <v>4273</v>
      </c>
      <c r="D2039" s="3324" t="s">
        <v>4514</v>
      </c>
      <c r="E2039" s="3325">
        <v>228.4</v>
      </c>
      <c r="F2039" s="3325">
        <v>345</v>
      </c>
      <c r="G2039" s="3326">
        <v>41730</v>
      </c>
      <c r="H2039" s="3326">
        <v>42093</v>
      </c>
      <c r="I2039" s="3326">
        <v>42094</v>
      </c>
      <c r="J2039" s="3324"/>
    </row>
    <row r="2040" spans="1:14" s="3327" customFormat="1" ht="13.5" customHeight="1">
      <c r="A2040" s="3354"/>
      <c r="B2040" s="3336" t="s">
        <v>4263</v>
      </c>
      <c r="C2040" s="3336" t="s">
        <v>4273</v>
      </c>
      <c r="D2040" s="3336" t="s">
        <v>4514</v>
      </c>
      <c r="E2040" s="3339">
        <v>228.4</v>
      </c>
      <c r="F2040" s="3397">
        <v>351</v>
      </c>
      <c r="G2040" s="3340">
        <v>42095</v>
      </c>
      <c r="H2040" s="3340">
        <v>42459</v>
      </c>
      <c r="I2040" s="3340">
        <v>42460</v>
      </c>
      <c r="J2040" s="3379"/>
    </row>
    <row r="2041" spans="1:14" s="3327" customFormat="1" ht="13.5" customHeight="1">
      <c r="A2041" s="3354"/>
      <c r="B2041" s="3336" t="s">
        <v>4263</v>
      </c>
      <c r="C2041" s="3336" t="s">
        <v>4273</v>
      </c>
      <c r="D2041" s="3336" t="s">
        <v>4514</v>
      </c>
      <c r="E2041" s="3339">
        <v>228.4</v>
      </c>
      <c r="F2041" s="3397">
        <v>361</v>
      </c>
      <c r="G2041" s="3398">
        <v>42461</v>
      </c>
      <c r="H2041" s="3340">
        <v>42824</v>
      </c>
      <c r="I2041" s="3398">
        <v>42825</v>
      </c>
      <c r="J2041" s="3379"/>
    </row>
    <row r="2042" spans="1:14" s="3327" customFormat="1" ht="13.5" customHeight="1">
      <c r="A2042" s="3354" t="s">
        <v>4275</v>
      </c>
      <c r="B2042" s="3331" t="s">
        <v>4263</v>
      </c>
      <c r="C2042" s="3331" t="s">
        <v>4273</v>
      </c>
      <c r="D2042" s="3378" t="s">
        <v>4514</v>
      </c>
      <c r="E2042" s="3332">
        <v>228.4</v>
      </c>
      <c r="F2042" s="3399">
        <v>380</v>
      </c>
      <c r="G2042" s="3400">
        <v>42826</v>
      </c>
      <c r="H2042" s="3333">
        <v>43130</v>
      </c>
      <c r="I2042" s="3400">
        <v>43190</v>
      </c>
      <c r="J2042" s="3379"/>
      <c r="K2042" s="3334">
        <f t="shared" ref="K2042" si="315">E2042</f>
        <v>228.4</v>
      </c>
      <c r="L2042" s="3359">
        <f t="shared" ref="L2042" si="316">F2042/30</f>
        <v>12.666666666666666</v>
      </c>
      <c r="M2042" s="3360"/>
      <c r="N2042" s="3360">
        <f>SUMPRODUCT(K1694:K2042,L1694:L2042)/SUM(K1694:K2042)</f>
        <v>9.6320048313217281</v>
      </c>
    </row>
    <row r="2043" spans="1:14" ht="13.5" customHeight="1" outlineLevel="1">
      <c r="A2043" s="3361">
        <v>46</v>
      </c>
      <c r="B2043" s="3401" t="s">
        <v>4515</v>
      </c>
      <c r="C2043" s="3401">
        <v>0</v>
      </c>
      <c r="D2043" s="3401">
        <v>0</v>
      </c>
      <c r="E2043" s="3364">
        <v>9138.8900000000031</v>
      </c>
      <c r="F2043" s="3402">
        <v>13674</v>
      </c>
      <c r="G2043" s="3402"/>
      <c r="H2043" s="3402"/>
      <c r="I2043" s="3402"/>
      <c r="J2043" s="3402">
        <v>0</v>
      </c>
    </row>
    <row r="2044" spans="1:14" s="3327" customFormat="1" ht="13.5" customHeight="1">
      <c r="A2044" s="3355"/>
      <c r="B2044" s="3336" t="s">
        <v>4516</v>
      </c>
      <c r="C2044" s="3336" t="s">
        <v>4517</v>
      </c>
      <c r="D2044" s="3336" t="s">
        <v>4518</v>
      </c>
      <c r="E2044" s="3339">
        <v>146</v>
      </c>
      <c r="F2044" s="3339">
        <v>310</v>
      </c>
      <c r="G2044" s="3340">
        <v>41365</v>
      </c>
      <c r="H2044" s="3340">
        <v>41680</v>
      </c>
      <c r="I2044" s="3340">
        <v>41729</v>
      </c>
      <c r="J2044" s="3336"/>
    </row>
    <row r="2045" spans="1:14" s="3327" customFormat="1" ht="13.5" customHeight="1">
      <c r="A2045" s="3354"/>
      <c r="B2045" s="3324" t="s">
        <v>4516</v>
      </c>
      <c r="C2045" s="3324" t="s">
        <v>4519</v>
      </c>
      <c r="D2045" s="3324" t="s">
        <v>4520</v>
      </c>
      <c r="E2045" s="3325">
        <v>195.4</v>
      </c>
      <c r="F2045" s="3325">
        <v>315</v>
      </c>
      <c r="G2045" s="3326">
        <v>41699</v>
      </c>
      <c r="H2045" s="3326">
        <v>42093</v>
      </c>
      <c r="I2045" s="3326">
        <v>42094</v>
      </c>
      <c r="J2045" s="3324"/>
    </row>
    <row r="2046" spans="1:14" s="3327" customFormat="1" ht="12.75" customHeight="1">
      <c r="A2046" s="3354"/>
      <c r="B2046" s="3336" t="s">
        <v>4516</v>
      </c>
      <c r="C2046" s="3336" t="s">
        <v>4519</v>
      </c>
      <c r="D2046" s="3336" t="s">
        <v>4520</v>
      </c>
      <c r="E2046" s="3339">
        <v>195.4</v>
      </c>
      <c r="F2046" s="3339">
        <v>320</v>
      </c>
      <c r="G2046" s="3340">
        <v>42095</v>
      </c>
      <c r="H2046" s="3340">
        <v>42459</v>
      </c>
      <c r="I2046" s="3340">
        <v>42460</v>
      </c>
      <c r="J2046" s="3324"/>
    </row>
    <row r="2047" spans="1:14" s="3327" customFormat="1" ht="12.75" customHeight="1">
      <c r="A2047" s="3354"/>
      <c r="B2047" s="3336" t="s">
        <v>4516</v>
      </c>
      <c r="C2047" s="3336" t="s">
        <v>4519</v>
      </c>
      <c r="D2047" s="3336" t="s">
        <v>4520</v>
      </c>
      <c r="E2047" s="3338">
        <v>200.1</v>
      </c>
      <c r="F2047" s="3339">
        <v>330</v>
      </c>
      <c r="G2047" s="3340">
        <v>42461</v>
      </c>
      <c r="H2047" s="3340">
        <v>42618</v>
      </c>
      <c r="I2047" s="3340">
        <v>42825</v>
      </c>
      <c r="J2047" s="3324"/>
    </row>
    <row r="2048" spans="1:14" s="3327" customFormat="1" ht="12.75" customHeight="1">
      <c r="A2048" s="3354"/>
      <c r="B2048" s="3336" t="s">
        <v>4516</v>
      </c>
      <c r="C2048" s="3336" t="s">
        <v>4521</v>
      </c>
      <c r="D2048" s="3336" t="s">
        <v>4520</v>
      </c>
      <c r="E2048" s="3338">
        <v>200.1</v>
      </c>
      <c r="F2048" s="3339">
        <v>320</v>
      </c>
      <c r="G2048" s="3340">
        <v>42619</v>
      </c>
      <c r="H2048" s="3340">
        <v>42824</v>
      </c>
      <c r="I2048" s="3340">
        <v>42825</v>
      </c>
      <c r="J2048" s="3324"/>
    </row>
    <row r="2049" spans="1:12" s="3327" customFormat="1" ht="12.75" customHeight="1">
      <c r="A2049" s="3354"/>
      <c r="B2049" s="3331" t="s">
        <v>4516</v>
      </c>
      <c r="C2049" s="3331" t="s">
        <v>4521</v>
      </c>
      <c r="D2049" s="3331" t="s">
        <v>4518</v>
      </c>
      <c r="E2049" s="3332">
        <v>200.1</v>
      </c>
      <c r="F2049" s="3332">
        <v>305</v>
      </c>
      <c r="G2049" s="3341">
        <v>42826</v>
      </c>
      <c r="H2049" s="3341">
        <v>43099</v>
      </c>
      <c r="I2049" s="3341">
        <v>43190</v>
      </c>
      <c r="J2049" s="3324"/>
      <c r="K2049" s="3334">
        <f t="shared" ref="K2049:K2050" si="317">E2049</f>
        <v>200.1</v>
      </c>
      <c r="L2049" s="3334">
        <f t="shared" ref="L2049:L2050" si="318">F2049/30</f>
        <v>10.166666666666666</v>
      </c>
    </row>
    <row r="2050" spans="1:12" s="3327" customFormat="1" ht="12.75" customHeight="1">
      <c r="A2050" s="3354" t="s">
        <v>4522</v>
      </c>
      <c r="B2050" s="3331" t="s">
        <v>4516</v>
      </c>
      <c r="C2050" s="3331" t="s">
        <v>4523</v>
      </c>
      <c r="D2050" s="3331" t="s">
        <v>4518</v>
      </c>
      <c r="E2050" s="3332">
        <v>200.1</v>
      </c>
      <c r="F2050" s="3332">
        <v>305</v>
      </c>
      <c r="G2050" s="3333">
        <v>43101</v>
      </c>
      <c r="H2050" s="3333">
        <v>43130</v>
      </c>
      <c r="I2050" s="3333">
        <v>43190</v>
      </c>
      <c r="J2050" s="3324"/>
      <c r="K2050" s="3334">
        <f t="shared" si="317"/>
        <v>200.1</v>
      </c>
      <c r="L2050" s="3334">
        <f t="shared" si="318"/>
        <v>10.166666666666666</v>
      </c>
    </row>
    <row r="2051" spans="1:12" s="3327" customFormat="1" ht="12.75" customHeight="1">
      <c r="A2051" s="3355"/>
      <c r="B2051" s="3336" t="s">
        <v>4516</v>
      </c>
      <c r="C2051" s="3336" t="s">
        <v>4524</v>
      </c>
      <c r="D2051" s="3336" t="s">
        <v>4525</v>
      </c>
      <c r="E2051" s="3339">
        <v>99.6</v>
      </c>
      <c r="F2051" s="3339">
        <v>310</v>
      </c>
      <c r="G2051" s="3340">
        <v>41000</v>
      </c>
      <c r="H2051" s="3340">
        <v>41363</v>
      </c>
      <c r="I2051" s="3340">
        <v>41364</v>
      </c>
      <c r="J2051" s="3336"/>
    </row>
    <row r="2052" spans="1:12" s="3327" customFormat="1" ht="12.75" customHeight="1">
      <c r="A2052" s="3354"/>
      <c r="B2052" s="3324" t="s">
        <v>4516</v>
      </c>
      <c r="C2052" s="3324" t="s">
        <v>4526</v>
      </c>
      <c r="D2052" s="3324" t="s">
        <v>4527</v>
      </c>
      <c r="E2052" s="3325">
        <v>159.80000000000001</v>
      </c>
      <c r="F2052" s="3325">
        <v>290</v>
      </c>
      <c r="G2052" s="3326">
        <v>41699</v>
      </c>
      <c r="H2052" s="3326">
        <v>42093</v>
      </c>
      <c r="I2052" s="3326">
        <v>42094</v>
      </c>
      <c r="J2052" s="3324"/>
    </row>
    <row r="2053" spans="1:12" s="3327" customFormat="1" ht="12.75" customHeight="1">
      <c r="A2053" s="3354"/>
      <c r="B2053" s="3336" t="s">
        <v>4516</v>
      </c>
      <c r="C2053" s="3336" t="s">
        <v>4528</v>
      </c>
      <c r="D2053" s="3336" t="s">
        <v>4527</v>
      </c>
      <c r="E2053" s="3339">
        <v>159.80000000000001</v>
      </c>
      <c r="F2053" s="3339">
        <v>295</v>
      </c>
      <c r="G2053" s="3340">
        <v>42102</v>
      </c>
      <c r="H2053" s="3340">
        <v>42185</v>
      </c>
      <c r="I2053" s="3340">
        <v>42460</v>
      </c>
      <c r="J2053" s="3324"/>
    </row>
    <row r="2054" spans="1:12" s="3327" customFormat="1" ht="12.75" customHeight="1">
      <c r="A2054" s="3354"/>
      <c r="B2054" s="3336" t="s">
        <v>4516</v>
      </c>
      <c r="C2054" s="3336" t="s">
        <v>4529</v>
      </c>
      <c r="D2054" s="3336" t="s">
        <v>4527</v>
      </c>
      <c r="E2054" s="3339">
        <v>159.80000000000001</v>
      </c>
      <c r="F2054" s="3339">
        <v>315</v>
      </c>
      <c r="G2054" s="3340">
        <v>42186</v>
      </c>
      <c r="H2054" s="3340">
        <v>42246</v>
      </c>
      <c r="I2054" s="3340">
        <v>42277</v>
      </c>
      <c r="J2054" s="3324"/>
    </row>
    <row r="2055" spans="1:12" s="3327" customFormat="1" ht="12.75" customHeight="1">
      <c r="A2055" s="3354"/>
      <c r="B2055" s="3336" t="s">
        <v>4516</v>
      </c>
      <c r="C2055" s="3336" t="s">
        <v>4529</v>
      </c>
      <c r="D2055" s="3336" t="s">
        <v>4527</v>
      </c>
      <c r="E2055" s="3339">
        <v>159.80000000000001</v>
      </c>
      <c r="F2055" s="3339">
        <v>295</v>
      </c>
      <c r="G2055" s="3340">
        <v>42248</v>
      </c>
      <c r="H2055" s="3340">
        <v>42459</v>
      </c>
      <c r="I2055" s="3340">
        <v>42460</v>
      </c>
      <c r="J2055" s="3324"/>
    </row>
    <row r="2056" spans="1:12" s="3327" customFormat="1" ht="12.75" customHeight="1">
      <c r="A2056" s="3354"/>
      <c r="B2056" s="3336" t="s">
        <v>4516</v>
      </c>
      <c r="C2056" s="3336" t="s">
        <v>4529</v>
      </c>
      <c r="D2056" s="3336" t="s">
        <v>4527</v>
      </c>
      <c r="E2056" s="3339">
        <v>159.80000000000001</v>
      </c>
      <c r="F2056" s="3339">
        <v>200</v>
      </c>
      <c r="G2056" s="3340">
        <v>42461</v>
      </c>
      <c r="H2056" s="3340">
        <v>42824</v>
      </c>
      <c r="I2056" s="3340">
        <v>42825</v>
      </c>
      <c r="J2056" s="3324"/>
    </row>
    <row r="2057" spans="1:12" s="3327" customFormat="1" ht="12.75" customHeight="1">
      <c r="A2057" s="3354"/>
      <c r="B2057" s="3331" t="s">
        <v>4516</v>
      </c>
      <c r="C2057" s="3331" t="s">
        <v>4529</v>
      </c>
      <c r="D2057" s="3331" t="s">
        <v>4527</v>
      </c>
      <c r="E2057" s="3332">
        <v>159.80000000000001</v>
      </c>
      <c r="F2057" s="3332">
        <v>180</v>
      </c>
      <c r="G2057" s="3333">
        <v>42826</v>
      </c>
      <c r="H2057" s="3333">
        <v>42885</v>
      </c>
      <c r="I2057" s="3333">
        <v>42886</v>
      </c>
      <c r="J2057" s="3324"/>
      <c r="K2057" s="3334">
        <f t="shared" ref="K2057:K2060" si="319">E2057</f>
        <v>159.80000000000001</v>
      </c>
      <c r="L2057" s="3334">
        <f t="shared" ref="L2057:L2060" si="320">F2057/30</f>
        <v>6</v>
      </c>
    </row>
    <row r="2058" spans="1:12" s="3327" customFormat="1" ht="12.75" customHeight="1">
      <c r="A2058" s="3354"/>
      <c r="B2058" s="3331" t="s">
        <v>4516</v>
      </c>
      <c r="C2058" s="3331" t="s">
        <v>4529</v>
      </c>
      <c r="D2058" s="3331" t="s">
        <v>4527</v>
      </c>
      <c r="E2058" s="3332">
        <v>159.80000000000001</v>
      </c>
      <c r="F2058" s="3332">
        <v>180</v>
      </c>
      <c r="G2058" s="3333">
        <v>42887</v>
      </c>
      <c r="H2058" s="3333">
        <v>42898</v>
      </c>
      <c r="I2058" s="3333">
        <v>43190</v>
      </c>
      <c r="J2058" s="3324"/>
      <c r="K2058" s="3334">
        <f t="shared" si="319"/>
        <v>159.80000000000001</v>
      </c>
      <c r="L2058" s="3334">
        <f t="shared" si="320"/>
        <v>6</v>
      </c>
    </row>
    <row r="2059" spans="1:12" s="3327" customFormat="1" ht="12.75" customHeight="1">
      <c r="A2059" s="3354"/>
      <c r="B2059" s="3331" t="s">
        <v>4516</v>
      </c>
      <c r="C2059" s="3331" t="s">
        <v>4530</v>
      </c>
      <c r="D2059" s="3331" t="s">
        <v>4527</v>
      </c>
      <c r="E2059" s="3332">
        <v>159.80000000000001</v>
      </c>
      <c r="F2059" s="3332">
        <v>360</v>
      </c>
      <c r="G2059" s="3333">
        <v>42899</v>
      </c>
      <c r="H2059" s="3333">
        <v>42946</v>
      </c>
      <c r="I2059" s="3333">
        <v>43190</v>
      </c>
      <c r="J2059" s="3324"/>
      <c r="K2059" s="3334">
        <f t="shared" si="319"/>
        <v>159.80000000000001</v>
      </c>
      <c r="L2059" s="3334">
        <f t="shared" si="320"/>
        <v>12</v>
      </c>
    </row>
    <row r="2060" spans="1:12" s="3327" customFormat="1" ht="12.75" customHeight="1">
      <c r="A2060" s="3354" t="s">
        <v>4522</v>
      </c>
      <c r="B2060" s="3331" t="s">
        <v>4516</v>
      </c>
      <c r="C2060" s="3331" t="s">
        <v>4530</v>
      </c>
      <c r="D2060" s="3331" t="s">
        <v>4527</v>
      </c>
      <c r="E2060" s="3332">
        <v>159.80000000000001</v>
      </c>
      <c r="F2060" s="3332">
        <v>270</v>
      </c>
      <c r="G2060" s="3333">
        <v>42948</v>
      </c>
      <c r="H2060" s="3333">
        <v>43130</v>
      </c>
      <c r="I2060" s="3333">
        <v>43190</v>
      </c>
      <c r="J2060" s="3324"/>
      <c r="K2060" s="3334">
        <f t="shared" si="319"/>
        <v>159.80000000000001</v>
      </c>
      <c r="L2060" s="3334">
        <f t="shared" si="320"/>
        <v>9</v>
      </c>
    </row>
    <row r="2061" spans="1:12" s="3327" customFormat="1" ht="13.5" customHeight="1">
      <c r="A2061" s="3355"/>
      <c r="B2061" s="3336" t="s">
        <v>4516</v>
      </c>
      <c r="C2061" s="3336" t="s">
        <v>4112</v>
      </c>
      <c r="D2061" s="3336" t="s">
        <v>4531</v>
      </c>
      <c r="E2061" s="3339">
        <v>149.19999999999999</v>
      </c>
      <c r="F2061" s="3339">
        <v>240</v>
      </c>
      <c r="G2061" s="3340">
        <v>41000</v>
      </c>
      <c r="H2061" s="3340">
        <v>41363</v>
      </c>
      <c r="I2061" s="3340">
        <v>41364</v>
      </c>
      <c r="J2061" s="3336"/>
    </row>
    <row r="2062" spans="1:12" s="3327" customFormat="1" ht="13.5" customHeight="1">
      <c r="A2062" s="3354"/>
      <c r="B2062" s="3324" t="s">
        <v>4516</v>
      </c>
      <c r="C2062" s="3324" t="s">
        <v>4532</v>
      </c>
      <c r="D2062" s="3324" t="s">
        <v>4533</v>
      </c>
      <c r="E2062" s="3325">
        <v>179.8</v>
      </c>
      <c r="F2062" s="3325">
        <v>245</v>
      </c>
      <c r="G2062" s="3326">
        <v>41699</v>
      </c>
      <c r="H2062" s="3326">
        <v>42093</v>
      </c>
      <c r="I2062" s="3326">
        <v>42094</v>
      </c>
      <c r="J2062" s="3324"/>
    </row>
    <row r="2063" spans="1:12" s="3327" customFormat="1" ht="13.5" customHeight="1">
      <c r="A2063" s="3354"/>
      <c r="B2063" s="3336" t="s">
        <v>4516</v>
      </c>
      <c r="C2063" s="3336" t="s">
        <v>4532</v>
      </c>
      <c r="D2063" s="3336" t="s">
        <v>4533</v>
      </c>
      <c r="E2063" s="3339">
        <v>179.8</v>
      </c>
      <c r="F2063" s="3339">
        <v>250</v>
      </c>
      <c r="G2063" s="3340">
        <v>42095</v>
      </c>
      <c r="H2063" s="3340">
        <v>42459</v>
      </c>
      <c r="I2063" s="3340">
        <v>42460</v>
      </c>
      <c r="J2063" s="3324"/>
    </row>
    <row r="2064" spans="1:12" s="3327" customFormat="1" ht="13.5" customHeight="1">
      <c r="A2064" s="3354"/>
      <c r="B2064" s="3336" t="s">
        <v>4516</v>
      </c>
      <c r="C2064" s="3336" t="s">
        <v>4532</v>
      </c>
      <c r="D2064" s="3336" t="s">
        <v>4533</v>
      </c>
      <c r="E2064" s="3339">
        <v>179.8</v>
      </c>
      <c r="F2064" s="3339">
        <v>255</v>
      </c>
      <c r="G2064" s="3340">
        <v>42461</v>
      </c>
      <c r="H2064" s="3340">
        <v>42612</v>
      </c>
      <c r="I2064" s="3340">
        <v>42825</v>
      </c>
      <c r="J2064" s="3324"/>
    </row>
    <row r="2065" spans="1:12" s="3327" customFormat="1" ht="13.5" customHeight="1">
      <c r="A2065" s="3354"/>
      <c r="B2065" s="3336" t="s">
        <v>4516</v>
      </c>
      <c r="C2065" s="3336" t="s">
        <v>4532</v>
      </c>
      <c r="D2065" s="3336" t="s">
        <v>4534</v>
      </c>
      <c r="E2065" s="3339">
        <v>179.8</v>
      </c>
      <c r="F2065" s="3339">
        <v>255</v>
      </c>
      <c r="G2065" s="3340">
        <v>42614</v>
      </c>
      <c r="H2065" s="3340">
        <v>42673</v>
      </c>
      <c r="I2065" s="3340">
        <v>42825</v>
      </c>
      <c r="J2065" s="3324"/>
    </row>
    <row r="2066" spans="1:12" s="3327" customFormat="1" ht="13.5" customHeight="1">
      <c r="A2066" s="3354"/>
      <c r="B2066" s="3336" t="s">
        <v>4516</v>
      </c>
      <c r="C2066" s="3336" t="s">
        <v>4535</v>
      </c>
      <c r="D2066" s="3336" t="s">
        <v>4534</v>
      </c>
      <c r="E2066" s="3339">
        <v>179.8</v>
      </c>
      <c r="F2066" s="3339">
        <v>255</v>
      </c>
      <c r="G2066" s="3340">
        <v>42675</v>
      </c>
      <c r="H2066" s="3340">
        <v>42824</v>
      </c>
      <c r="I2066" s="3340">
        <v>42825</v>
      </c>
      <c r="J2066" s="3324"/>
    </row>
    <row r="2067" spans="1:12" s="3327" customFormat="1" ht="13.5" customHeight="1">
      <c r="A2067" s="3354"/>
      <c r="B2067" s="3331" t="s">
        <v>4516</v>
      </c>
      <c r="C2067" s="3331" t="s">
        <v>4536</v>
      </c>
      <c r="D2067" s="3331" t="s">
        <v>4534</v>
      </c>
      <c r="E2067" s="3332">
        <v>179.8</v>
      </c>
      <c r="F2067" s="3332">
        <v>260</v>
      </c>
      <c r="G2067" s="3333">
        <v>42826</v>
      </c>
      <c r="H2067" s="3333">
        <v>42885</v>
      </c>
      <c r="I2067" s="3333">
        <v>42886</v>
      </c>
      <c r="J2067" s="3324"/>
      <c r="K2067" s="3334">
        <f t="shared" ref="K2067:K2069" si="321">E2067</f>
        <v>179.8</v>
      </c>
      <c r="L2067" s="3334">
        <f t="shared" ref="L2067:L2069" si="322">F2067/30</f>
        <v>8.6666666666666661</v>
      </c>
    </row>
    <row r="2068" spans="1:12" s="3327" customFormat="1" ht="13.5" customHeight="1">
      <c r="A2068" s="3354"/>
      <c r="B2068" s="3331" t="s">
        <v>4516</v>
      </c>
      <c r="C2068" s="3331" t="s">
        <v>4530</v>
      </c>
      <c r="D2068" s="3331" t="s">
        <v>4534</v>
      </c>
      <c r="E2068" s="3332">
        <v>179.8</v>
      </c>
      <c r="F2068" s="3332">
        <v>360</v>
      </c>
      <c r="G2068" s="3333">
        <v>42887</v>
      </c>
      <c r="H2068" s="3333">
        <v>42946</v>
      </c>
      <c r="I2068" s="3333">
        <v>43190</v>
      </c>
      <c r="J2068" s="3324"/>
      <c r="K2068" s="3334">
        <f t="shared" si="321"/>
        <v>179.8</v>
      </c>
      <c r="L2068" s="3334">
        <f t="shared" si="322"/>
        <v>12</v>
      </c>
    </row>
    <row r="2069" spans="1:12" s="3327" customFormat="1" ht="13.5" customHeight="1">
      <c r="A2069" s="3354" t="s">
        <v>4522</v>
      </c>
      <c r="B2069" s="3331" t="s">
        <v>4516</v>
      </c>
      <c r="C2069" s="3331" t="s">
        <v>4530</v>
      </c>
      <c r="D2069" s="3331" t="s">
        <v>4534</v>
      </c>
      <c r="E2069" s="3332">
        <v>179.8</v>
      </c>
      <c r="F2069" s="3332">
        <v>270</v>
      </c>
      <c r="G2069" s="3333">
        <v>42948</v>
      </c>
      <c r="H2069" s="3333">
        <v>43130</v>
      </c>
      <c r="I2069" s="3333">
        <v>43190</v>
      </c>
      <c r="J2069" s="3324"/>
      <c r="K2069" s="3334">
        <f t="shared" si="321"/>
        <v>179.8</v>
      </c>
      <c r="L2069" s="3334">
        <f t="shared" si="322"/>
        <v>9</v>
      </c>
    </row>
    <row r="2070" spans="1:12" s="3327" customFormat="1" ht="13.5" customHeight="1">
      <c r="A2070" s="3355"/>
      <c r="B2070" s="3336" t="s">
        <v>4516</v>
      </c>
      <c r="C2070" s="3336" t="s">
        <v>3943</v>
      </c>
      <c r="D2070" s="3336" t="s">
        <v>4537</v>
      </c>
      <c r="E2070" s="3339">
        <v>30.6</v>
      </c>
      <c r="F2070" s="3339">
        <v>320</v>
      </c>
      <c r="G2070" s="3340">
        <v>41000</v>
      </c>
      <c r="H2070" s="3340">
        <v>41363</v>
      </c>
      <c r="I2070" s="3340">
        <v>41364</v>
      </c>
      <c r="J2070" s="3336"/>
    </row>
    <row r="2071" spans="1:12" s="3327" customFormat="1" ht="13.5" customHeight="1">
      <c r="A2071" s="3355"/>
      <c r="B2071" s="3336" t="s">
        <v>4516</v>
      </c>
      <c r="C2071" s="3336" t="s">
        <v>4016</v>
      </c>
      <c r="D2071" s="3336" t="s">
        <v>4537</v>
      </c>
      <c r="E2071" s="3339">
        <v>23.9</v>
      </c>
      <c r="F2071" s="3339">
        <v>330</v>
      </c>
      <c r="G2071" s="3340">
        <v>41000</v>
      </c>
      <c r="H2071" s="3340">
        <v>41363</v>
      </c>
      <c r="I2071" s="3340">
        <v>41364</v>
      </c>
      <c r="J2071" s="3336"/>
    </row>
    <row r="2072" spans="1:12" s="3327" customFormat="1" ht="13.5" customHeight="1">
      <c r="A2072" s="3355"/>
      <c r="B2072" s="3336" t="s">
        <v>4516</v>
      </c>
      <c r="C2072" s="3336" t="s">
        <v>4538</v>
      </c>
      <c r="D2072" s="3336" t="s">
        <v>4539</v>
      </c>
      <c r="E2072" s="3339">
        <v>46.4</v>
      </c>
      <c r="F2072" s="3339">
        <v>310</v>
      </c>
      <c r="G2072" s="3340">
        <v>40634</v>
      </c>
      <c r="H2072" s="3340">
        <v>40846</v>
      </c>
      <c r="I2072" s="3340">
        <v>40999</v>
      </c>
      <c r="J2072" s="3336"/>
    </row>
    <row r="2073" spans="1:12" s="3327" customFormat="1" ht="13.5" customHeight="1">
      <c r="A2073" s="3355"/>
      <c r="B2073" s="3336" t="s">
        <v>4516</v>
      </c>
      <c r="C2073" s="3336" t="s">
        <v>3966</v>
      </c>
      <c r="D2073" s="3336" t="s">
        <v>4539</v>
      </c>
      <c r="E2073" s="3339">
        <v>46.4</v>
      </c>
      <c r="F2073" s="3339">
        <v>315</v>
      </c>
      <c r="G2073" s="3340">
        <v>41000</v>
      </c>
      <c r="H2073" s="3340">
        <v>41363</v>
      </c>
      <c r="I2073" s="3340">
        <v>41364</v>
      </c>
      <c r="J2073" s="3336"/>
    </row>
    <row r="2074" spans="1:12" s="3327" customFormat="1" ht="13.5" customHeight="1">
      <c r="A2074" s="3355"/>
      <c r="B2074" s="3336" t="s">
        <v>4516</v>
      </c>
      <c r="C2074" s="3336" t="s">
        <v>4252</v>
      </c>
      <c r="D2074" s="3336" t="s">
        <v>4540</v>
      </c>
      <c r="E2074" s="3339">
        <v>44.6</v>
      </c>
      <c r="F2074" s="3339">
        <v>315</v>
      </c>
      <c r="G2074" s="3340">
        <v>41000</v>
      </c>
      <c r="H2074" s="3340">
        <v>41363</v>
      </c>
      <c r="I2074" s="3340">
        <v>41364</v>
      </c>
      <c r="J2074" s="3336"/>
    </row>
    <row r="2075" spans="1:12" s="3327" customFormat="1" ht="13.5" customHeight="1">
      <c r="A2075" s="3355"/>
      <c r="B2075" s="3336" t="s">
        <v>4516</v>
      </c>
      <c r="C2075" s="3336" t="s">
        <v>4149</v>
      </c>
      <c r="D2075" s="3336" t="s">
        <v>4541</v>
      </c>
      <c r="E2075" s="3339">
        <v>91.7</v>
      </c>
      <c r="F2075" s="3339">
        <v>335</v>
      </c>
      <c r="G2075" s="3340"/>
      <c r="H2075" s="3340">
        <v>41363</v>
      </c>
      <c r="I2075" s="3340">
        <v>41364</v>
      </c>
      <c r="J2075" s="3336"/>
    </row>
    <row r="2076" spans="1:12" s="3327" customFormat="1" ht="13.5" customHeight="1">
      <c r="A2076" s="3354"/>
      <c r="B2076" s="3324" t="s">
        <v>4516</v>
      </c>
      <c r="C2076" s="3324" t="s">
        <v>4542</v>
      </c>
      <c r="D2076" s="3324" t="s">
        <v>4543</v>
      </c>
      <c r="E2076" s="3325">
        <v>207.8</v>
      </c>
      <c r="F2076" s="3325">
        <v>335</v>
      </c>
      <c r="G2076" s="3326">
        <v>41699</v>
      </c>
      <c r="H2076" s="3326">
        <v>42093</v>
      </c>
      <c r="I2076" s="3326">
        <v>42094</v>
      </c>
      <c r="J2076" s="3324"/>
    </row>
    <row r="2077" spans="1:12" s="3327" customFormat="1" ht="13.5" customHeight="1">
      <c r="A2077" s="3354"/>
      <c r="B2077" s="3336" t="s">
        <v>4516</v>
      </c>
      <c r="C2077" s="3336" t="s">
        <v>4542</v>
      </c>
      <c r="D2077" s="3336" t="s">
        <v>4543</v>
      </c>
      <c r="E2077" s="3339">
        <v>207.8</v>
      </c>
      <c r="F2077" s="3339">
        <v>341</v>
      </c>
      <c r="G2077" s="3340">
        <v>42095</v>
      </c>
      <c r="H2077" s="3340">
        <v>42459</v>
      </c>
      <c r="I2077" s="3340">
        <v>42460</v>
      </c>
      <c r="J2077" s="3324"/>
    </row>
    <row r="2078" spans="1:12" s="3327" customFormat="1" ht="13.5" customHeight="1">
      <c r="A2078" s="3354"/>
      <c r="B2078" s="3336" t="s">
        <v>4516</v>
      </c>
      <c r="C2078" s="3336" t="s">
        <v>4544</v>
      </c>
      <c r="D2078" s="3336" t="s">
        <v>4543</v>
      </c>
      <c r="E2078" s="3339">
        <v>207.8</v>
      </c>
      <c r="F2078" s="3339">
        <v>341</v>
      </c>
      <c r="G2078" s="3340">
        <v>42461</v>
      </c>
      <c r="H2078" s="3340">
        <v>42794</v>
      </c>
      <c r="I2078" s="3340">
        <v>42825</v>
      </c>
      <c r="J2078" s="3324"/>
    </row>
    <row r="2079" spans="1:12" s="3327" customFormat="1" ht="13.5" customHeight="1">
      <c r="A2079" s="3354"/>
      <c r="B2079" s="3336" t="s">
        <v>4516</v>
      </c>
      <c r="C2079" s="3336" t="s">
        <v>4545</v>
      </c>
      <c r="D2079" s="3336" t="s">
        <v>4543</v>
      </c>
      <c r="E2079" s="3339">
        <v>207.8</v>
      </c>
      <c r="F2079" s="3339">
        <v>330</v>
      </c>
      <c r="G2079" s="3340">
        <v>42795</v>
      </c>
      <c r="H2079" s="3340">
        <v>42824</v>
      </c>
      <c r="I2079" s="3340">
        <v>42824</v>
      </c>
      <c r="J2079" s="3324"/>
    </row>
    <row r="2080" spans="1:12" s="3327" customFormat="1" ht="13.5" customHeight="1">
      <c r="A2080" s="3354" t="s">
        <v>4522</v>
      </c>
      <c r="B2080" s="3331" t="s">
        <v>4516</v>
      </c>
      <c r="C2080" s="3331" t="s">
        <v>4546</v>
      </c>
      <c r="D2080" s="3331" t="s">
        <v>4543</v>
      </c>
      <c r="E2080" s="3332">
        <v>207.8</v>
      </c>
      <c r="F2080" s="3332">
        <v>303</v>
      </c>
      <c r="G2080" s="3333">
        <v>42826</v>
      </c>
      <c r="H2080" s="3333">
        <v>43130</v>
      </c>
      <c r="I2080" s="3333">
        <v>43190</v>
      </c>
      <c r="J2080" s="3324"/>
      <c r="K2080" s="3334">
        <f t="shared" ref="K2080" si="323">E2080</f>
        <v>207.8</v>
      </c>
      <c r="L2080" s="3334">
        <f t="shared" ref="L2080" si="324">F2080/30</f>
        <v>10.1</v>
      </c>
    </row>
    <row r="2081" spans="1:12" s="3327" customFormat="1" ht="13.5" customHeight="1">
      <c r="A2081" s="3355"/>
      <c r="B2081" s="3336" t="s">
        <v>4516</v>
      </c>
      <c r="C2081" s="3336" t="s">
        <v>4547</v>
      </c>
      <c r="D2081" s="3336" t="s">
        <v>4548</v>
      </c>
      <c r="E2081" s="3339">
        <v>99.8</v>
      </c>
      <c r="F2081" s="3339">
        <v>335</v>
      </c>
      <c r="G2081" s="3340">
        <v>41000</v>
      </c>
      <c r="H2081" s="3340">
        <v>41363</v>
      </c>
      <c r="I2081" s="3340">
        <v>41364</v>
      </c>
      <c r="J2081" s="3336"/>
    </row>
    <row r="2082" spans="1:12" s="3327" customFormat="1" ht="13.5" customHeight="1">
      <c r="A2082" s="3355"/>
      <c r="B2082" s="3336" t="s">
        <v>4516</v>
      </c>
      <c r="C2082" s="3336" t="s">
        <v>4549</v>
      </c>
      <c r="D2082" s="3336" t="s">
        <v>4550</v>
      </c>
      <c r="E2082" s="3339">
        <v>68.3</v>
      </c>
      <c r="F2082" s="3339">
        <v>335</v>
      </c>
      <c r="G2082" s="3340">
        <v>41000</v>
      </c>
      <c r="H2082" s="3340">
        <v>41363</v>
      </c>
      <c r="I2082" s="3340">
        <v>41364</v>
      </c>
      <c r="J2082" s="3336"/>
    </row>
    <row r="2083" spans="1:12" s="3327" customFormat="1" ht="13.5" customHeight="1">
      <c r="A2083" s="3355"/>
      <c r="B2083" s="3336" t="s">
        <v>4516</v>
      </c>
      <c r="C2083" s="3336" t="s">
        <v>4551</v>
      </c>
      <c r="D2083" s="3336" t="s">
        <v>4552</v>
      </c>
      <c r="E2083" s="3339">
        <v>39.200000000000003</v>
      </c>
      <c r="F2083" s="3339">
        <v>315</v>
      </c>
      <c r="G2083" s="3340">
        <v>41000</v>
      </c>
      <c r="H2083" s="3340">
        <v>41363</v>
      </c>
      <c r="I2083" s="3340">
        <v>41364</v>
      </c>
      <c r="J2083" s="3336"/>
    </row>
    <row r="2084" spans="1:12" s="3327" customFormat="1" ht="13.5" customHeight="1">
      <c r="A2084" s="3355"/>
      <c r="B2084" s="3336" t="s">
        <v>4516</v>
      </c>
      <c r="C2084" s="3336" t="s">
        <v>3973</v>
      </c>
      <c r="D2084" s="3336" t="s">
        <v>4553</v>
      </c>
      <c r="E2084" s="3339">
        <v>34.5</v>
      </c>
      <c r="F2084" s="3339">
        <v>315</v>
      </c>
      <c r="G2084" s="3340">
        <v>41000</v>
      </c>
      <c r="H2084" s="3340">
        <v>41363</v>
      </c>
      <c r="I2084" s="3340">
        <v>41364</v>
      </c>
      <c r="J2084" s="3336"/>
    </row>
    <row r="2085" spans="1:12" s="3327" customFormat="1" ht="13.5" customHeight="1">
      <c r="A2085" s="3355"/>
      <c r="B2085" s="3336" t="s">
        <v>4516</v>
      </c>
      <c r="C2085" s="3336" t="s">
        <v>3990</v>
      </c>
      <c r="D2085" s="3336" t="s">
        <v>4554</v>
      </c>
      <c r="E2085" s="3339">
        <v>33.6</v>
      </c>
      <c r="F2085" s="3339">
        <v>300</v>
      </c>
      <c r="G2085" s="3340">
        <v>41365</v>
      </c>
      <c r="H2085" s="3340">
        <v>41698</v>
      </c>
      <c r="I2085" s="3340">
        <v>41729</v>
      </c>
      <c r="J2085" s="3336"/>
    </row>
    <row r="2086" spans="1:12" s="3327" customFormat="1" ht="13.5" customHeight="1">
      <c r="A2086" s="3354"/>
      <c r="B2086" s="3324" t="s">
        <v>4516</v>
      </c>
      <c r="C2086" s="3324" t="s">
        <v>4555</v>
      </c>
      <c r="D2086" s="3324" t="s">
        <v>4556</v>
      </c>
      <c r="E2086" s="3325">
        <v>55.6</v>
      </c>
      <c r="F2086" s="3325">
        <v>300</v>
      </c>
      <c r="G2086" s="3326">
        <v>41269</v>
      </c>
      <c r="H2086" s="3326">
        <v>41273</v>
      </c>
      <c r="I2086" s="3326">
        <v>41364</v>
      </c>
      <c r="J2086" s="3324"/>
    </row>
    <row r="2087" spans="1:12" s="3327" customFormat="1" ht="13.5" customHeight="1">
      <c r="A2087" s="3355"/>
      <c r="B2087" s="3336" t="s">
        <v>4516</v>
      </c>
      <c r="C2087" s="3336" t="s">
        <v>3939</v>
      </c>
      <c r="D2087" s="3336" t="s">
        <v>4557</v>
      </c>
      <c r="E2087" s="3339">
        <v>55.6</v>
      </c>
      <c r="F2087" s="3339">
        <v>200</v>
      </c>
      <c r="G2087" s="3340">
        <v>41320</v>
      </c>
      <c r="H2087" s="3340">
        <v>41698</v>
      </c>
      <c r="I2087" s="3340">
        <v>41729</v>
      </c>
      <c r="J2087" s="3336"/>
    </row>
    <row r="2088" spans="1:12" s="3327" customFormat="1" ht="13.5" customHeight="1">
      <c r="A2088" s="3354"/>
      <c r="B2088" s="3336" t="s">
        <v>4516</v>
      </c>
      <c r="C2088" s="3336" t="s">
        <v>4558</v>
      </c>
      <c r="D2088" s="3336" t="s">
        <v>4559</v>
      </c>
      <c r="E2088" s="3339">
        <v>277</v>
      </c>
      <c r="F2088" s="3339">
        <v>325</v>
      </c>
      <c r="G2088" s="3340">
        <v>41699</v>
      </c>
      <c r="H2088" s="3340">
        <v>42034</v>
      </c>
      <c r="I2088" s="3340">
        <v>42094</v>
      </c>
      <c r="J2088" s="3324"/>
    </row>
    <row r="2089" spans="1:12" s="3327" customFormat="1" ht="13.5" customHeight="1">
      <c r="A2089" s="3355"/>
      <c r="B2089" s="3336" t="s">
        <v>4516</v>
      </c>
      <c r="C2089" s="3336" t="s">
        <v>4560</v>
      </c>
      <c r="D2089" s="3324" t="s">
        <v>4559</v>
      </c>
      <c r="E2089" s="3339">
        <v>277</v>
      </c>
      <c r="F2089" s="3339">
        <v>330</v>
      </c>
      <c r="G2089" s="3340">
        <v>42056</v>
      </c>
      <c r="H2089" s="3340">
        <v>42093</v>
      </c>
      <c r="I2089" s="3340">
        <v>42094</v>
      </c>
      <c r="J2089" s="3336"/>
    </row>
    <row r="2090" spans="1:12" s="3327" customFormat="1" ht="12.75" customHeight="1">
      <c r="A2090" s="3355"/>
      <c r="B2090" s="3336" t="s">
        <v>4516</v>
      </c>
      <c r="C2090" s="3336" t="s">
        <v>4560</v>
      </c>
      <c r="D2090" s="3336" t="s">
        <v>4559</v>
      </c>
      <c r="E2090" s="3339">
        <v>277</v>
      </c>
      <c r="F2090" s="3339">
        <v>330</v>
      </c>
      <c r="G2090" s="3340">
        <v>42095</v>
      </c>
      <c r="H2090" s="3340">
        <v>42372</v>
      </c>
      <c r="I2090" s="3340">
        <v>42460</v>
      </c>
      <c r="J2090" s="3336"/>
    </row>
    <row r="2091" spans="1:12" s="3327" customFormat="1" ht="12.75" customHeight="1">
      <c r="A2091" s="3355"/>
      <c r="B2091" s="3336" t="s">
        <v>4516</v>
      </c>
      <c r="C2091" s="3336" t="s">
        <v>4546</v>
      </c>
      <c r="D2091" s="3336" t="s">
        <v>4559</v>
      </c>
      <c r="E2091" s="3339">
        <v>277</v>
      </c>
      <c r="F2091" s="3339">
        <v>315</v>
      </c>
      <c r="G2091" s="3340">
        <v>42373</v>
      </c>
      <c r="H2091" s="3340">
        <v>42459</v>
      </c>
      <c r="I2091" s="3340">
        <v>42460</v>
      </c>
      <c r="J2091" s="3336"/>
    </row>
    <row r="2092" spans="1:12" s="3327" customFormat="1" ht="12.75" customHeight="1">
      <c r="A2092" s="3355"/>
      <c r="B2092" s="3336" t="s">
        <v>4516</v>
      </c>
      <c r="C2092" s="3336" t="s">
        <v>4546</v>
      </c>
      <c r="D2092" s="3336" t="s">
        <v>4559</v>
      </c>
      <c r="E2092" s="3339">
        <v>277</v>
      </c>
      <c r="F2092" s="3339">
        <v>300</v>
      </c>
      <c r="G2092" s="3340">
        <v>42461</v>
      </c>
      <c r="H2092" s="3340">
        <v>42824</v>
      </c>
      <c r="I2092" s="3340">
        <v>42825</v>
      </c>
      <c r="J2092" s="3336"/>
    </row>
    <row r="2093" spans="1:12" s="3327" customFormat="1" ht="12.75" customHeight="1">
      <c r="A2093" s="3355" t="s">
        <v>4522</v>
      </c>
      <c r="B2093" s="3331" t="s">
        <v>4516</v>
      </c>
      <c r="C2093" s="3331" t="s">
        <v>4546</v>
      </c>
      <c r="D2093" s="3331" t="s">
        <v>4561</v>
      </c>
      <c r="E2093" s="3332">
        <v>277</v>
      </c>
      <c r="F2093" s="3332">
        <v>300</v>
      </c>
      <c r="G2093" s="3333">
        <v>42826</v>
      </c>
      <c r="H2093" s="3333">
        <v>43130</v>
      </c>
      <c r="I2093" s="3333">
        <v>43190</v>
      </c>
      <c r="J2093" s="3336"/>
      <c r="K2093" s="3334">
        <f t="shared" ref="K2093" si="325">E2093</f>
        <v>277</v>
      </c>
      <c r="L2093" s="3334">
        <f t="shared" ref="L2093" si="326">F2093/30</f>
        <v>10</v>
      </c>
    </row>
    <row r="2094" spans="1:12" s="3327" customFormat="1" ht="12.75" customHeight="1">
      <c r="A2094" s="3355"/>
      <c r="B2094" s="3336" t="s">
        <v>4516</v>
      </c>
      <c r="C2094" s="3336" t="s">
        <v>4562</v>
      </c>
      <c r="D2094" s="3336" t="s">
        <v>4563</v>
      </c>
      <c r="E2094" s="3339">
        <v>127.7</v>
      </c>
      <c r="F2094" s="3339">
        <v>240</v>
      </c>
      <c r="G2094" s="3340">
        <v>41000</v>
      </c>
      <c r="H2094" s="3340">
        <v>41363</v>
      </c>
      <c r="I2094" s="3340">
        <v>41364</v>
      </c>
      <c r="J2094" s="3336"/>
    </row>
    <row r="2095" spans="1:12" s="3327" customFormat="1" ht="12.75" customHeight="1">
      <c r="A2095" s="3354"/>
      <c r="B2095" s="3324" t="s">
        <v>4516</v>
      </c>
      <c r="C2095" s="3324" t="s">
        <v>4564</v>
      </c>
      <c r="D2095" s="3324" t="s">
        <v>4565</v>
      </c>
      <c r="E2095" s="3325">
        <v>176</v>
      </c>
      <c r="F2095" s="3325">
        <v>265</v>
      </c>
      <c r="G2095" s="3326">
        <v>41699</v>
      </c>
      <c r="H2095" s="3326">
        <v>41820</v>
      </c>
      <c r="I2095" s="3326">
        <v>42094</v>
      </c>
      <c r="J2095" s="3324"/>
    </row>
    <row r="2096" spans="1:12" s="3327" customFormat="1" ht="12.75" customHeight="1">
      <c r="A2096" s="3355"/>
      <c r="B2096" s="3336" t="s">
        <v>4516</v>
      </c>
      <c r="C2096" s="3336" t="s">
        <v>4566</v>
      </c>
      <c r="D2096" s="3336" t="s">
        <v>4567</v>
      </c>
      <c r="E2096" s="3339">
        <v>74.7</v>
      </c>
      <c r="F2096" s="3339">
        <v>310</v>
      </c>
      <c r="G2096" s="3340">
        <v>40634</v>
      </c>
      <c r="H2096" s="3340">
        <v>40785</v>
      </c>
      <c r="I2096" s="3340">
        <v>40999</v>
      </c>
      <c r="J2096" s="3336"/>
    </row>
    <row r="2097" spans="1:12" s="3327" customFormat="1" ht="12.75" customHeight="1">
      <c r="A2097" s="3355"/>
      <c r="B2097" s="3336" t="s">
        <v>4516</v>
      </c>
      <c r="C2097" s="3336" t="s">
        <v>4568</v>
      </c>
      <c r="D2097" s="3336" t="s">
        <v>4567</v>
      </c>
      <c r="E2097" s="3339">
        <v>74.7</v>
      </c>
      <c r="F2097" s="3339">
        <v>310</v>
      </c>
      <c r="G2097" s="3340">
        <v>41000</v>
      </c>
      <c r="H2097" s="3340">
        <v>41363</v>
      </c>
      <c r="I2097" s="3340">
        <v>41364</v>
      </c>
      <c r="J2097" s="3336"/>
    </row>
    <row r="2098" spans="1:12" s="3327" customFormat="1" ht="12.75" customHeight="1">
      <c r="A2098" s="3354"/>
      <c r="B2098" s="3324" t="s">
        <v>4516</v>
      </c>
      <c r="C2098" s="3324" t="s">
        <v>4564</v>
      </c>
      <c r="D2098" s="3324" t="s">
        <v>4565</v>
      </c>
      <c r="E2098" s="3325">
        <v>74.7</v>
      </c>
      <c r="F2098" s="3325">
        <v>265</v>
      </c>
      <c r="G2098" s="3326">
        <v>41699</v>
      </c>
      <c r="H2098" s="3326">
        <v>41820</v>
      </c>
      <c r="I2098" s="3326">
        <v>42094</v>
      </c>
      <c r="J2098" s="3324"/>
    </row>
    <row r="2099" spans="1:12" s="3327" customFormat="1" ht="12.75" customHeight="1">
      <c r="A2099" s="3354"/>
      <c r="B2099" s="3324" t="s">
        <v>4516</v>
      </c>
      <c r="C2099" s="3324" t="s">
        <v>4564</v>
      </c>
      <c r="D2099" s="3324" t="s">
        <v>4565</v>
      </c>
      <c r="E2099" s="3325">
        <v>250.7</v>
      </c>
      <c r="F2099" s="3325">
        <v>265</v>
      </c>
      <c r="G2099" s="3326">
        <v>41821</v>
      </c>
      <c r="H2099" s="3326">
        <v>42093</v>
      </c>
      <c r="I2099" s="3326">
        <v>42094</v>
      </c>
      <c r="J2099" s="3324"/>
    </row>
    <row r="2100" spans="1:12" s="3327" customFormat="1" ht="12.75" customHeight="1">
      <c r="A2100" s="3354"/>
      <c r="B2100" s="3336" t="s">
        <v>4516</v>
      </c>
      <c r="C2100" s="3336" t="s">
        <v>4569</v>
      </c>
      <c r="D2100" s="3336" t="s">
        <v>4565</v>
      </c>
      <c r="E2100" s="3339">
        <v>250.7</v>
      </c>
      <c r="F2100" s="3339">
        <v>250</v>
      </c>
      <c r="G2100" s="3340">
        <v>42115</v>
      </c>
      <c r="H2100" s="3340">
        <v>42185</v>
      </c>
      <c r="I2100" s="3340">
        <v>42460</v>
      </c>
      <c r="J2100" s="3324"/>
    </row>
    <row r="2101" spans="1:12" s="3327" customFormat="1" ht="12.75" customHeight="1">
      <c r="A2101" s="3354"/>
      <c r="B2101" s="3336" t="s">
        <v>4516</v>
      </c>
      <c r="C2101" s="3336" t="s">
        <v>4570</v>
      </c>
      <c r="D2101" s="3336" t="s">
        <v>4565</v>
      </c>
      <c r="E2101" s="3339">
        <v>250.7</v>
      </c>
      <c r="F2101" s="3339">
        <v>250</v>
      </c>
      <c r="G2101" s="3340">
        <v>42217</v>
      </c>
      <c r="H2101" s="3340">
        <v>42235</v>
      </c>
      <c r="I2101" s="3340">
        <v>42460</v>
      </c>
      <c r="J2101" s="3324"/>
    </row>
    <row r="2102" spans="1:12" s="3327" customFormat="1" ht="12.75" customHeight="1">
      <c r="A2102" s="3354"/>
      <c r="B2102" s="3336" t="s">
        <v>4516</v>
      </c>
      <c r="C2102" s="3336" t="s">
        <v>4571</v>
      </c>
      <c r="D2102" s="3336" t="s">
        <v>4565</v>
      </c>
      <c r="E2102" s="3339">
        <v>250.7</v>
      </c>
      <c r="F2102" s="3339">
        <v>250</v>
      </c>
      <c r="G2102" s="3340">
        <v>42236</v>
      </c>
      <c r="H2102" s="3340">
        <v>42459</v>
      </c>
      <c r="I2102" s="3340">
        <v>42460</v>
      </c>
      <c r="J2102" s="3324"/>
    </row>
    <row r="2103" spans="1:12" s="3327" customFormat="1" ht="12.75" customHeight="1">
      <c r="A2103" s="3354"/>
      <c r="B2103" s="3336" t="s">
        <v>4516</v>
      </c>
      <c r="C2103" s="3336" t="s">
        <v>4571</v>
      </c>
      <c r="D2103" s="3336" t="s">
        <v>4565</v>
      </c>
      <c r="E2103" s="3339">
        <v>250.7</v>
      </c>
      <c r="F2103" s="3339">
        <v>200</v>
      </c>
      <c r="G2103" s="3340">
        <v>42461</v>
      </c>
      <c r="H2103" s="3340">
        <v>42824</v>
      </c>
      <c r="I2103" s="3340">
        <v>42825</v>
      </c>
      <c r="J2103" s="3324"/>
    </row>
    <row r="2104" spans="1:12" s="3327" customFormat="1" ht="12.75" customHeight="1">
      <c r="A2104" s="3354"/>
      <c r="B2104" s="3331" t="s">
        <v>4516</v>
      </c>
      <c r="C2104" s="3331" t="s">
        <v>4572</v>
      </c>
      <c r="D2104" s="3331" t="s">
        <v>4573</v>
      </c>
      <c r="E2104" s="3332">
        <v>250.7</v>
      </c>
      <c r="F2104" s="3332">
        <v>250</v>
      </c>
      <c r="G2104" s="3341">
        <v>42826</v>
      </c>
      <c r="H2104" s="3341">
        <v>43099</v>
      </c>
      <c r="I2104" s="3341">
        <v>43190</v>
      </c>
      <c r="J2104" s="3324"/>
      <c r="K2104" s="3334">
        <f t="shared" ref="K2104:K2105" si="327">E2104</f>
        <v>250.7</v>
      </c>
      <c r="L2104" s="3334">
        <f t="shared" ref="L2104:L2105" si="328">F2104/30</f>
        <v>8.3333333333333339</v>
      </c>
    </row>
    <row r="2105" spans="1:12" s="3327" customFormat="1" ht="12.75" customHeight="1">
      <c r="A2105" s="3354" t="s">
        <v>4522</v>
      </c>
      <c r="B2105" s="3331" t="s">
        <v>4516</v>
      </c>
      <c r="C2105" s="3331" t="s">
        <v>4574</v>
      </c>
      <c r="D2105" s="3331" t="s">
        <v>4573</v>
      </c>
      <c r="E2105" s="3332">
        <v>250.7</v>
      </c>
      <c r="F2105" s="3332">
        <v>250</v>
      </c>
      <c r="G2105" s="3333">
        <v>43101</v>
      </c>
      <c r="H2105" s="3333">
        <v>43130</v>
      </c>
      <c r="I2105" s="3333">
        <v>43190</v>
      </c>
      <c r="J2105" s="3324"/>
      <c r="K2105" s="3334">
        <f t="shared" si="327"/>
        <v>250.7</v>
      </c>
      <c r="L2105" s="3334">
        <f t="shared" si="328"/>
        <v>8.3333333333333339</v>
      </c>
    </row>
    <row r="2106" spans="1:12" s="3327" customFormat="1" ht="13.5" customHeight="1">
      <c r="A2106" s="3355"/>
      <c r="B2106" s="3336" t="s">
        <v>4516</v>
      </c>
      <c r="C2106" s="3336" t="s">
        <v>4022</v>
      </c>
      <c r="D2106" s="3336" t="s">
        <v>4575</v>
      </c>
      <c r="E2106" s="3339">
        <v>91.2</v>
      </c>
      <c r="F2106" s="3339">
        <v>310</v>
      </c>
      <c r="G2106" s="3340">
        <v>41000</v>
      </c>
      <c r="H2106" s="3340">
        <v>41363</v>
      </c>
      <c r="I2106" s="3340">
        <v>41364</v>
      </c>
      <c r="J2106" s="3336"/>
    </row>
    <row r="2107" spans="1:12" s="3327" customFormat="1" ht="13.5" customHeight="1">
      <c r="A2107" s="3355"/>
      <c r="B2107" s="3336" t="s">
        <v>4516</v>
      </c>
      <c r="C2107" s="3336" t="s">
        <v>4576</v>
      </c>
      <c r="D2107" s="3336" t="s">
        <v>4577</v>
      </c>
      <c r="E2107" s="3339">
        <v>100.1</v>
      </c>
      <c r="F2107" s="3339">
        <v>310</v>
      </c>
      <c r="G2107" s="3340">
        <v>41365</v>
      </c>
      <c r="H2107" s="3340">
        <v>41698</v>
      </c>
      <c r="I2107" s="3340">
        <v>41729</v>
      </c>
      <c r="J2107" s="3336"/>
    </row>
    <row r="2108" spans="1:12" s="3327" customFormat="1" ht="13.5" customHeight="1">
      <c r="A2108" s="3354"/>
      <c r="B2108" s="3324" t="s">
        <v>4516</v>
      </c>
      <c r="C2108" s="3324" t="s">
        <v>4578</v>
      </c>
      <c r="D2108" s="3324" t="s">
        <v>4579</v>
      </c>
      <c r="E2108" s="3325">
        <v>191.3</v>
      </c>
      <c r="F2108" s="3325">
        <v>305</v>
      </c>
      <c r="G2108" s="3326">
        <v>41699</v>
      </c>
      <c r="H2108" s="3326">
        <v>41800</v>
      </c>
      <c r="I2108" s="3326">
        <v>42094</v>
      </c>
      <c r="J2108" s="3324"/>
    </row>
    <row r="2109" spans="1:12" s="3327" customFormat="1" ht="13.5" customHeight="1">
      <c r="A2109" s="3354"/>
      <c r="B2109" s="3324" t="s">
        <v>4516</v>
      </c>
      <c r="C2109" s="3324" t="s">
        <v>4580</v>
      </c>
      <c r="D2109" s="3324" t="s">
        <v>4579</v>
      </c>
      <c r="E2109" s="3325">
        <v>191.3</v>
      </c>
      <c r="F2109" s="3325">
        <v>305</v>
      </c>
      <c r="G2109" s="3326">
        <v>41801</v>
      </c>
      <c r="H2109" s="3326">
        <v>41850</v>
      </c>
      <c r="I2109" s="3326">
        <v>42094</v>
      </c>
      <c r="J2109" s="3324"/>
    </row>
    <row r="2110" spans="1:12" s="3327" customFormat="1" ht="13.5" customHeight="1">
      <c r="A2110" s="3354"/>
      <c r="B2110" s="3324" t="s">
        <v>4516</v>
      </c>
      <c r="C2110" s="3324" t="s">
        <v>4581</v>
      </c>
      <c r="D2110" s="3324" t="s">
        <v>4579</v>
      </c>
      <c r="E2110" s="3325">
        <v>191.3</v>
      </c>
      <c r="F2110" s="3325">
        <v>305</v>
      </c>
      <c r="G2110" s="3326">
        <v>41877</v>
      </c>
      <c r="H2110" s="3326">
        <v>41912</v>
      </c>
      <c r="I2110" s="3326">
        <v>41912</v>
      </c>
      <c r="J2110" s="3324"/>
    </row>
    <row r="2111" spans="1:12" s="3327" customFormat="1" ht="13.5" customHeight="1">
      <c r="A2111" s="3354"/>
      <c r="B2111" s="3324" t="s">
        <v>4516</v>
      </c>
      <c r="C2111" s="3324" t="s">
        <v>4582</v>
      </c>
      <c r="D2111" s="3324" t="s">
        <v>4579</v>
      </c>
      <c r="E2111" s="3325">
        <v>191.3</v>
      </c>
      <c r="F2111" s="3325">
        <v>305</v>
      </c>
      <c r="G2111" s="3326">
        <v>41913</v>
      </c>
      <c r="H2111" s="3326">
        <v>42093</v>
      </c>
      <c r="I2111" s="3326">
        <v>42094</v>
      </c>
      <c r="J2111" s="3324"/>
    </row>
    <row r="2112" spans="1:12" s="3327" customFormat="1" ht="13.5" customHeight="1">
      <c r="A2112" s="3354"/>
      <c r="B2112" s="3336" t="s">
        <v>4516</v>
      </c>
      <c r="C2112" s="3336" t="s">
        <v>4582</v>
      </c>
      <c r="D2112" s="3336" t="s">
        <v>4579</v>
      </c>
      <c r="E2112" s="3339">
        <v>191.3</v>
      </c>
      <c r="F2112" s="3339">
        <v>310</v>
      </c>
      <c r="G2112" s="3340">
        <v>42095</v>
      </c>
      <c r="H2112" s="3340">
        <v>42168</v>
      </c>
      <c r="I2112" s="3340">
        <v>42460</v>
      </c>
      <c r="J2112" s="3324"/>
    </row>
    <row r="2113" spans="1:12" s="3327" customFormat="1" ht="13.5" customHeight="1">
      <c r="A2113" s="3354"/>
      <c r="B2113" s="3336" t="s">
        <v>4516</v>
      </c>
      <c r="C2113" s="3336" t="s">
        <v>4583</v>
      </c>
      <c r="D2113" s="3336" t="s">
        <v>4579</v>
      </c>
      <c r="E2113" s="3339">
        <v>191.3</v>
      </c>
      <c r="F2113" s="3339">
        <v>310</v>
      </c>
      <c r="G2113" s="3340">
        <v>42169</v>
      </c>
      <c r="H2113" s="3340">
        <v>42459</v>
      </c>
      <c r="I2113" s="3340">
        <v>42460</v>
      </c>
      <c r="J2113" s="3324"/>
    </row>
    <row r="2114" spans="1:12" s="3327" customFormat="1" ht="13.5" customHeight="1">
      <c r="A2114" s="3354"/>
      <c r="B2114" s="3336" t="s">
        <v>4516</v>
      </c>
      <c r="C2114" s="3336" t="s">
        <v>4584</v>
      </c>
      <c r="D2114" s="3336" t="s">
        <v>4579</v>
      </c>
      <c r="E2114" s="3339">
        <v>191.31</v>
      </c>
      <c r="F2114" s="3339">
        <v>265</v>
      </c>
      <c r="G2114" s="3340">
        <v>42461</v>
      </c>
      <c r="H2114" s="3340">
        <v>42824</v>
      </c>
      <c r="I2114" s="3340">
        <v>42825</v>
      </c>
      <c r="J2114" s="3324"/>
    </row>
    <row r="2115" spans="1:12" s="3327" customFormat="1" ht="13.5" customHeight="1">
      <c r="A2115" s="3354" t="s">
        <v>4522</v>
      </c>
      <c r="B2115" s="3331" t="s">
        <v>4516</v>
      </c>
      <c r="C2115" s="3331" t="s">
        <v>4584</v>
      </c>
      <c r="D2115" s="3331" t="s">
        <v>4579</v>
      </c>
      <c r="E2115" s="3332">
        <v>191.31</v>
      </c>
      <c r="F2115" s="3332">
        <v>280</v>
      </c>
      <c r="G2115" s="3333">
        <v>42826</v>
      </c>
      <c r="H2115" s="3333">
        <v>43130</v>
      </c>
      <c r="I2115" s="3333">
        <v>43190</v>
      </c>
      <c r="J2115" s="3324"/>
      <c r="K2115" s="3334">
        <f t="shared" ref="K2115" si="329">E2115</f>
        <v>191.31</v>
      </c>
      <c r="L2115" s="3334">
        <f t="shared" ref="L2115" si="330">F2115/30</f>
        <v>9.3333333333333339</v>
      </c>
    </row>
    <row r="2116" spans="1:12" s="3327" customFormat="1" ht="13.5" customHeight="1">
      <c r="A2116" s="3354"/>
      <c r="B2116" s="3324" t="s">
        <v>4516</v>
      </c>
      <c r="C2116" s="3324" t="s">
        <v>4085</v>
      </c>
      <c r="D2116" s="3324" t="s">
        <v>4585</v>
      </c>
      <c r="E2116" s="3325">
        <v>236.4</v>
      </c>
      <c r="F2116" s="3325">
        <v>305</v>
      </c>
      <c r="G2116" s="3326">
        <v>41000</v>
      </c>
      <c r="H2116" s="3326">
        <v>41363</v>
      </c>
      <c r="I2116" s="3326">
        <v>41364</v>
      </c>
      <c r="J2116" s="3324"/>
    </row>
    <row r="2117" spans="1:12" s="3327" customFormat="1" ht="12.75" customHeight="1">
      <c r="A2117" s="3354"/>
      <c r="B2117" s="3324" t="s">
        <v>4516</v>
      </c>
      <c r="C2117" s="3324" t="s">
        <v>4586</v>
      </c>
      <c r="D2117" s="3324" t="s">
        <v>4587</v>
      </c>
      <c r="E2117" s="3325">
        <v>236.4</v>
      </c>
      <c r="F2117" s="3325">
        <v>360</v>
      </c>
      <c r="G2117" s="3326">
        <v>41699</v>
      </c>
      <c r="H2117" s="3326">
        <v>42093</v>
      </c>
      <c r="I2117" s="3326">
        <v>42094</v>
      </c>
      <c r="J2117" s="3324"/>
    </row>
    <row r="2118" spans="1:12" s="3327" customFormat="1" ht="12.75" customHeight="1">
      <c r="A2118" s="3354"/>
      <c r="B2118" s="3336" t="s">
        <v>4516</v>
      </c>
      <c r="C2118" s="3336" t="s">
        <v>4586</v>
      </c>
      <c r="D2118" s="3336" t="s">
        <v>4587</v>
      </c>
      <c r="E2118" s="3339">
        <v>236.4</v>
      </c>
      <c r="F2118" s="3339">
        <v>366</v>
      </c>
      <c r="G2118" s="3340">
        <v>42095</v>
      </c>
      <c r="H2118" s="3340">
        <v>42459</v>
      </c>
      <c r="I2118" s="3340">
        <v>42460</v>
      </c>
      <c r="J2118" s="3324"/>
    </row>
    <row r="2119" spans="1:12" s="3327" customFormat="1" ht="12.75" customHeight="1">
      <c r="A2119" s="3354"/>
      <c r="B2119" s="3336" t="s">
        <v>4516</v>
      </c>
      <c r="C2119" s="3336" t="s">
        <v>4586</v>
      </c>
      <c r="D2119" s="3336" t="s">
        <v>4587</v>
      </c>
      <c r="E2119" s="3338">
        <v>237.2</v>
      </c>
      <c r="F2119" s="3339">
        <v>370</v>
      </c>
      <c r="G2119" s="3340">
        <v>42461</v>
      </c>
      <c r="H2119" s="3340">
        <v>42824</v>
      </c>
      <c r="I2119" s="3340">
        <v>42825</v>
      </c>
      <c r="J2119" s="3324"/>
    </row>
    <row r="2120" spans="1:12" s="3327" customFormat="1" ht="12.75" customHeight="1">
      <c r="A2120" s="3354" t="s">
        <v>4522</v>
      </c>
      <c r="B2120" s="3331" t="s">
        <v>4516</v>
      </c>
      <c r="C2120" s="3331" t="s">
        <v>4586</v>
      </c>
      <c r="D2120" s="3331" t="s">
        <v>4587</v>
      </c>
      <c r="E2120" s="3332">
        <v>237.2</v>
      </c>
      <c r="F2120" s="3332">
        <v>370</v>
      </c>
      <c r="G2120" s="3333">
        <v>42826</v>
      </c>
      <c r="H2120" s="3333">
        <v>43130</v>
      </c>
      <c r="I2120" s="3333">
        <v>43190</v>
      </c>
      <c r="J2120" s="3324"/>
      <c r="K2120" s="3334">
        <f t="shared" ref="K2120" si="331">E2120</f>
        <v>237.2</v>
      </c>
      <c r="L2120" s="3334">
        <f t="shared" ref="L2120" si="332">F2120/30</f>
        <v>12.333333333333334</v>
      </c>
    </row>
    <row r="2121" spans="1:12" s="3327" customFormat="1" ht="12.75" customHeight="1">
      <c r="A2121" s="3355"/>
      <c r="B2121" s="3336" t="s">
        <v>4516</v>
      </c>
      <c r="C2121" s="3336" t="s">
        <v>3885</v>
      </c>
      <c r="D2121" s="3336" t="s">
        <v>4588</v>
      </c>
      <c r="E2121" s="3339">
        <v>68.8</v>
      </c>
      <c r="F2121" s="3339">
        <v>310</v>
      </c>
      <c r="G2121" s="3340">
        <v>41000</v>
      </c>
      <c r="H2121" s="3340">
        <v>41363</v>
      </c>
      <c r="I2121" s="3340">
        <v>41364</v>
      </c>
      <c r="J2121" s="3336"/>
    </row>
    <row r="2122" spans="1:12" s="3327" customFormat="1" ht="12.75" customHeight="1">
      <c r="A2122" s="3355"/>
      <c r="B2122" s="3336" t="s">
        <v>4516</v>
      </c>
      <c r="C2122" s="3336" t="s">
        <v>4589</v>
      </c>
      <c r="D2122" s="3336" t="s">
        <v>4590</v>
      </c>
      <c r="E2122" s="3339">
        <v>70.3</v>
      </c>
      <c r="F2122" s="3339">
        <v>320</v>
      </c>
      <c r="G2122" s="3340">
        <v>40955</v>
      </c>
      <c r="H2122" s="3340">
        <v>41363</v>
      </c>
      <c r="I2122" s="3340">
        <v>41364</v>
      </c>
      <c r="J2122" s="3336"/>
    </row>
    <row r="2123" spans="1:12" s="3327" customFormat="1" ht="12.75" customHeight="1">
      <c r="A2123" s="3354"/>
      <c r="B2123" s="3324" t="s">
        <v>4516</v>
      </c>
      <c r="C2123" s="3324" t="s">
        <v>4589</v>
      </c>
      <c r="D2123" s="3324" t="s">
        <v>4591</v>
      </c>
      <c r="E2123" s="3325">
        <v>70.3</v>
      </c>
      <c r="F2123" s="3325">
        <v>320</v>
      </c>
      <c r="G2123" s="3326">
        <v>41365</v>
      </c>
      <c r="H2123" s="3326">
        <v>41698</v>
      </c>
      <c r="I2123" s="3326">
        <v>41729</v>
      </c>
      <c r="J2123" s="3324"/>
    </row>
    <row r="2124" spans="1:12" s="3327" customFormat="1" ht="12.75" customHeight="1">
      <c r="A2124" s="3355"/>
      <c r="B2124" s="3336" t="s">
        <v>4516</v>
      </c>
      <c r="C2124" s="3336" t="s">
        <v>4002</v>
      </c>
      <c r="D2124" s="3336" t="s">
        <v>4592</v>
      </c>
      <c r="E2124" s="3339">
        <v>112.7</v>
      </c>
      <c r="F2124" s="3339">
        <v>335</v>
      </c>
      <c r="G2124" s="3340">
        <v>41000</v>
      </c>
      <c r="H2124" s="3340">
        <v>41363</v>
      </c>
      <c r="I2124" s="3340">
        <v>41364</v>
      </c>
      <c r="J2124" s="3336"/>
    </row>
    <row r="2125" spans="1:12" s="3327" customFormat="1" ht="12.75" customHeight="1">
      <c r="A2125" s="3354"/>
      <c r="B2125" s="3324" t="s">
        <v>4516</v>
      </c>
      <c r="C2125" s="3324" t="s">
        <v>4593</v>
      </c>
      <c r="D2125" s="3324" t="s">
        <v>4594</v>
      </c>
      <c r="E2125" s="3325">
        <v>383.7</v>
      </c>
      <c r="F2125" s="3325">
        <v>325</v>
      </c>
      <c r="G2125" s="3326">
        <v>41699</v>
      </c>
      <c r="H2125" s="3326">
        <v>42093</v>
      </c>
      <c r="I2125" s="3326">
        <v>42094</v>
      </c>
      <c r="J2125" s="3324"/>
    </row>
    <row r="2126" spans="1:12" s="3327" customFormat="1" ht="12.75" customHeight="1">
      <c r="A2126" s="3354"/>
      <c r="B2126" s="3336" t="s">
        <v>4516</v>
      </c>
      <c r="C2126" s="3336" t="s">
        <v>4593</v>
      </c>
      <c r="D2126" s="3336" t="s">
        <v>4594</v>
      </c>
      <c r="E2126" s="3339">
        <v>383.7</v>
      </c>
      <c r="F2126" s="3339">
        <v>330</v>
      </c>
      <c r="G2126" s="3340">
        <v>42095</v>
      </c>
      <c r="H2126" s="3340">
        <v>42459</v>
      </c>
      <c r="I2126" s="3340">
        <v>42460</v>
      </c>
      <c r="J2126" s="3324"/>
    </row>
    <row r="2127" spans="1:12" s="3327" customFormat="1" ht="12.75" customHeight="1">
      <c r="A2127" s="3354"/>
      <c r="B2127" s="3336" t="s">
        <v>4516</v>
      </c>
      <c r="C2127" s="3336" t="s">
        <v>4593</v>
      </c>
      <c r="D2127" s="3336" t="s">
        <v>4594</v>
      </c>
      <c r="E2127" s="3339">
        <v>383.7</v>
      </c>
      <c r="F2127" s="3339">
        <v>345</v>
      </c>
      <c r="G2127" s="3340">
        <v>42461</v>
      </c>
      <c r="H2127" s="3340">
        <v>42824</v>
      </c>
      <c r="I2127" s="3340">
        <v>42825</v>
      </c>
      <c r="J2127" s="3324"/>
    </row>
    <row r="2128" spans="1:12" s="3327" customFormat="1" ht="12.75" customHeight="1">
      <c r="A2128" s="3354" t="s">
        <v>4522</v>
      </c>
      <c r="B2128" s="3331" t="s">
        <v>4516</v>
      </c>
      <c r="C2128" s="3331" t="s">
        <v>4595</v>
      </c>
      <c r="D2128" s="3331" t="s">
        <v>4596</v>
      </c>
      <c r="E2128" s="3332">
        <v>383.7</v>
      </c>
      <c r="F2128" s="3332">
        <v>370</v>
      </c>
      <c r="G2128" s="3333">
        <v>42826</v>
      </c>
      <c r="H2128" s="3333">
        <v>43130</v>
      </c>
      <c r="I2128" s="3333">
        <v>43190</v>
      </c>
      <c r="J2128" s="3324"/>
      <c r="K2128" s="3334">
        <f t="shared" ref="K2128" si="333">E2128</f>
        <v>383.7</v>
      </c>
      <c r="L2128" s="3334">
        <f t="shared" ref="L2128" si="334">F2128/30</f>
        <v>12.333333333333334</v>
      </c>
    </row>
    <row r="2129" spans="1:10" s="3327" customFormat="1" ht="13.5" customHeight="1">
      <c r="A2129" s="3355"/>
      <c r="B2129" s="3336" t="s">
        <v>4516</v>
      </c>
      <c r="C2129" s="3336" t="s">
        <v>4142</v>
      </c>
      <c r="D2129" s="3336" t="s">
        <v>4597</v>
      </c>
      <c r="E2129" s="3339">
        <v>110.2</v>
      </c>
      <c r="F2129" s="3339">
        <v>335</v>
      </c>
      <c r="G2129" s="3340">
        <v>41000</v>
      </c>
      <c r="H2129" s="3340">
        <v>41363</v>
      </c>
      <c r="I2129" s="3340">
        <v>41364</v>
      </c>
      <c r="J2129" s="3336"/>
    </row>
    <row r="2130" spans="1:10" s="3327" customFormat="1" ht="13.5" customHeight="1">
      <c r="A2130" s="3354"/>
      <c r="B2130" s="3324" t="s">
        <v>4516</v>
      </c>
      <c r="C2130" s="3324" t="s">
        <v>4598</v>
      </c>
      <c r="D2130" s="3324" t="s">
        <v>4599</v>
      </c>
      <c r="E2130" s="3325">
        <v>218.5</v>
      </c>
      <c r="F2130" s="3325">
        <v>330</v>
      </c>
      <c r="G2130" s="3326">
        <v>41699</v>
      </c>
      <c r="H2130" s="3326">
        <v>41800</v>
      </c>
      <c r="I2130" s="3326">
        <v>42094</v>
      </c>
      <c r="J2130" s="3324"/>
    </row>
    <row r="2131" spans="1:10" s="3327" customFormat="1" ht="13.5" customHeight="1">
      <c r="A2131" s="3354"/>
      <c r="B2131" s="3324" t="s">
        <v>4516</v>
      </c>
      <c r="C2131" s="3403" t="s">
        <v>4600</v>
      </c>
      <c r="D2131" s="3324" t="s">
        <v>4599</v>
      </c>
      <c r="E2131" s="3325">
        <v>218.5</v>
      </c>
      <c r="F2131" s="3325">
        <v>330</v>
      </c>
      <c r="G2131" s="3326">
        <v>41801</v>
      </c>
      <c r="H2131" s="3326">
        <v>42093</v>
      </c>
      <c r="I2131" s="3326">
        <v>42094</v>
      </c>
      <c r="J2131" s="3324"/>
    </row>
    <row r="2132" spans="1:10" s="3327" customFormat="1" ht="13.5" customHeight="1">
      <c r="A2132" s="3354"/>
      <c r="B2132" s="3336" t="s">
        <v>4516</v>
      </c>
      <c r="C2132" s="3336" t="s">
        <v>4600</v>
      </c>
      <c r="D2132" s="3336" t="s">
        <v>4599</v>
      </c>
      <c r="E2132" s="3339">
        <v>218.5</v>
      </c>
      <c r="F2132" s="3339">
        <v>336</v>
      </c>
      <c r="G2132" s="3340">
        <v>42095</v>
      </c>
      <c r="H2132" s="3340">
        <v>42459</v>
      </c>
      <c r="I2132" s="3340">
        <v>42460</v>
      </c>
      <c r="J2132" s="3324"/>
    </row>
    <row r="2133" spans="1:10" s="3327" customFormat="1" ht="13.5" customHeight="1">
      <c r="A2133" s="3355"/>
      <c r="B2133" s="3336" t="s">
        <v>4516</v>
      </c>
      <c r="C2133" s="3336" t="s">
        <v>3949</v>
      </c>
      <c r="D2133" s="3336" t="s">
        <v>4601</v>
      </c>
      <c r="E2133" s="3339">
        <v>71.099999999999994</v>
      </c>
      <c r="F2133" s="3339">
        <v>310</v>
      </c>
      <c r="G2133" s="3340">
        <v>41000</v>
      </c>
      <c r="H2133" s="3340">
        <v>41363</v>
      </c>
      <c r="I2133" s="3340">
        <v>41364</v>
      </c>
      <c r="J2133" s="3336"/>
    </row>
    <row r="2134" spans="1:10" s="3327" customFormat="1" ht="13.5" customHeight="1">
      <c r="A2134" s="3354"/>
      <c r="B2134" s="3324" t="s">
        <v>4516</v>
      </c>
      <c r="C2134" s="3324" t="s">
        <v>4602</v>
      </c>
      <c r="D2134" s="3324" t="s">
        <v>4603</v>
      </c>
      <c r="E2134" s="3325">
        <v>132.5</v>
      </c>
      <c r="F2134" s="3325">
        <v>330</v>
      </c>
      <c r="G2134" s="3326">
        <v>40634</v>
      </c>
      <c r="H2134" s="3326">
        <v>40887</v>
      </c>
      <c r="I2134" s="3326">
        <v>40999</v>
      </c>
      <c r="J2134" s="3324"/>
    </row>
    <row r="2135" spans="1:10" s="3327" customFormat="1" ht="13.5" customHeight="1">
      <c r="A2135" s="3355"/>
      <c r="B2135" s="3336" t="s">
        <v>4516</v>
      </c>
      <c r="C2135" s="3336" t="s">
        <v>4604</v>
      </c>
      <c r="D2135" s="3336" t="s">
        <v>4603</v>
      </c>
      <c r="E2135" s="3339">
        <v>132.5</v>
      </c>
      <c r="F2135" s="3339">
        <v>330</v>
      </c>
      <c r="G2135" s="3340">
        <v>41000</v>
      </c>
      <c r="H2135" s="3340">
        <v>41363</v>
      </c>
      <c r="I2135" s="3340">
        <v>41364</v>
      </c>
      <c r="J2135" s="3336"/>
    </row>
    <row r="2136" spans="1:10" s="3327" customFormat="1" ht="13.5" customHeight="1">
      <c r="A2136" s="3354"/>
      <c r="B2136" s="3324" t="s">
        <v>4516</v>
      </c>
      <c r="C2136" s="3324" t="s">
        <v>4604</v>
      </c>
      <c r="D2136" s="3324" t="s">
        <v>4605</v>
      </c>
      <c r="E2136" s="3325">
        <v>132.5</v>
      </c>
      <c r="F2136" s="3325">
        <v>330</v>
      </c>
      <c r="G2136" s="3326">
        <v>41365</v>
      </c>
      <c r="H2136" s="3326">
        <v>41698</v>
      </c>
      <c r="I2136" s="3326">
        <v>41729</v>
      </c>
      <c r="J2136" s="3324"/>
    </row>
    <row r="2137" spans="1:10" s="3327" customFormat="1" ht="13.5" customHeight="1">
      <c r="A2137" s="3355"/>
      <c r="B2137" s="3336" t="s">
        <v>4516</v>
      </c>
      <c r="C2137" s="3336" t="s">
        <v>3984</v>
      </c>
      <c r="D2137" s="3336" t="s">
        <v>4606</v>
      </c>
      <c r="E2137" s="3339">
        <v>68.5</v>
      </c>
      <c r="F2137" s="3339">
        <v>310</v>
      </c>
      <c r="G2137" s="3340">
        <v>41000</v>
      </c>
      <c r="H2137" s="3340">
        <v>41363</v>
      </c>
      <c r="I2137" s="3340">
        <v>41364</v>
      </c>
      <c r="J2137" s="3336"/>
    </row>
    <row r="2138" spans="1:10" s="3327" customFormat="1" ht="13.5" customHeight="1">
      <c r="A2138" s="3355"/>
      <c r="B2138" s="3336" t="s">
        <v>4516</v>
      </c>
      <c r="C2138" s="3336" t="s">
        <v>4052</v>
      </c>
      <c r="D2138" s="3336" t="s">
        <v>4607</v>
      </c>
      <c r="E2138" s="3339">
        <v>237.8</v>
      </c>
      <c r="F2138" s="3339">
        <v>335</v>
      </c>
      <c r="G2138" s="3340">
        <v>41000</v>
      </c>
      <c r="H2138" s="3340">
        <v>41363</v>
      </c>
      <c r="I2138" s="3340">
        <v>41364</v>
      </c>
      <c r="J2138" s="3336"/>
    </row>
    <row r="2139" spans="1:10" s="3327" customFormat="1" ht="13.5" customHeight="1">
      <c r="A2139" s="3354"/>
      <c r="B2139" s="3324" t="s">
        <v>4516</v>
      </c>
      <c r="C2139" s="3324" t="s">
        <v>4608</v>
      </c>
      <c r="D2139" s="3324" t="s">
        <v>4609</v>
      </c>
      <c r="E2139" s="3325">
        <v>401.6</v>
      </c>
      <c r="F2139" s="3325">
        <v>330</v>
      </c>
      <c r="G2139" s="3326">
        <v>41699</v>
      </c>
      <c r="H2139" s="3326">
        <v>41800</v>
      </c>
      <c r="I2139" s="3326">
        <v>42094</v>
      </c>
      <c r="J2139" s="3324"/>
    </row>
    <row r="2140" spans="1:10" s="3327" customFormat="1" ht="13.5" customHeight="1">
      <c r="A2140" s="3354"/>
      <c r="B2140" s="3324" t="s">
        <v>4516</v>
      </c>
      <c r="C2140" s="3324" t="s">
        <v>4608</v>
      </c>
      <c r="D2140" s="3324" t="s">
        <v>4609</v>
      </c>
      <c r="E2140" s="3325">
        <v>401.6</v>
      </c>
      <c r="F2140" s="3325">
        <v>330</v>
      </c>
      <c r="G2140" s="3326">
        <v>41801</v>
      </c>
      <c r="H2140" s="3326">
        <v>41973</v>
      </c>
      <c r="I2140" s="3326">
        <v>42094</v>
      </c>
      <c r="J2140" s="3324"/>
    </row>
    <row r="2141" spans="1:10" s="3327" customFormat="1" ht="13.5" customHeight="1">
      <c r="A2141" s="3354"/>
      <c r="B2141" s="3324" t="s">
        <v>4516</v>
      </c>
      <c r="C2141" s="3324" t="s">
        <v>4608</v>
      </c>
      <c r="D2141" s="3324" t="s">
        <v>4609</v>
      </c>
      <c r="E2141" s="3325">
        <v>401.6</v>
      </c>
      <c r="F2141" s="3325">
        <v>330</v>
      </c>
      <c r="G2141" s="3326">
        <v>41974</v>
      </c>
      <c r="H2141" s="3326">
        <v>42093</v>
      </c>
      <c r="I2141" s="3326">
        <v>42094</v>
      </c>
      <c r="J2141" s="3324"/>
    </row>
    <row r="2142" spans="1:10" s="3327" customFormat="1" ht="13.5" customHeight="1">
      <c r="A2142" s="3354"/>
      <c r="B2142" s="3336" t="s">
        <v>4516</v>
      </c>
      <c r="C2142" s="3336" t="s">
        <v>4608</v>
      </c>
      <c r="D2142" s="3336" t="s">
        <v>4609</v>
      </c>
      <c r="E2142" s="3339">
        <v>401.6</v>
      </c>
      <c r="F2142" s="3339">
        <v>336</v>
      </c>
      <c r="G2142" s="3340">
        <v>42095</v>
      </c>
      <c r="H2142" s="3340">
        <v>42459</v>
      </c>
      <c r="I2142" s="3340">
        <v>42460</v>
      </c>
      <c r="J2142" s="3324"/>
    </row>
    <row r="2143" spans="1:10" s="3327" customFormat="1" ht="13.5" customHeight="1">
      <c r="A2143" s="3354"/>
      <c r="B2143" s="3336" t="s">
        <v>4516</v>
      </c>
      <c r="C2143" s="3336" t="s">
        <v>4608</v>
      </c>
      <c r="D2143" s="3336" t="s">
        <v>4610</v>
      </c>
      <c r="E2143" s="3338">
        <v>622.49</v>
      </c>
      <c r="F2143" s="3339">
        <v>355</v>
      </c>
      <c r="G2143" s="3340">
        <v>42461</v>
      </c>
      <c r="H2143" s="3340">
        <v>42794</v>
      </c>
      <c r="I2143" s="3340">
        <v>42825</v>
      </c>
      <c r="J2143" s="3324"/>
    </row>
    <row r="2144" spans="1:10" s="3327" customFormat="1" ht="13.5" customHeight="1">
      <c r="A2144" s="3354"/>
      <c r="B2144" s="3336" t="s">
        <v>4516</v>
      </c>
      <c r="C2144" s="3336" t="s">
        <v>4608</v>
      </c>
      <c r="D2144" s="3336" t="s">
        <v>4610</v>
      </c>
      <c r="E2144" s="3338">
        <v>401.6</v>
      </c>
      <c r="F2144" s="3339">
        <v>355</v>
      </c>
      <c r="G2144" s="3340">
        <v>42795</v>
      </c>
      <c r="H2144" s="3340">
        <v>42824</v>
      </c>
      <c r="I2144" s="3340">
        <v>42825</v>
      </c>
      <c r="J2144" s="3324"/>
    </row>
    <row r="2145" spans="1:12" s="3327" customFormat="1" ht="13.5" customHeight="1">
      <c r="A2145" s="3354"/>
      <c r="B2145" s="3331" t="s">
        <v>4516</v>
      </c>
      <c r="C2145" s="3331" t="s">
        <v>4608</v>
      </c>
      <c r="D2145" s="3331" t="s">
        <v>4610</v>
      </c>
      <c r="E2145" s="3332">
        <v>401.6</v>
      </c>
      <c r="F2145" s="3332">
        <v>350</v>
      </c>
      <c r="G2145" s="3333">
        <v>42826</v>
      </c>
      <c r="H2145" s="3333">
        <v>42885</v>
      </c>
      <c r="I2145" s="3333">
        <v>43190</v>
      </c>
      <c r="J2145" s="3324"/>
      <c r="K2145" s="3334">
        <f t="shared" ref="K2145:K2146" si="335">E2145</f>
        <v>401.6</v>
      </c>
      <c r="L2145" s="3334">
        <f t="shared" ref="L2145:L2146" si="336">F2145/30</f>
        <v>11.666666666666666</v>
      </c>
    </row>
    <row r="2146" spans="1:12" s="3327" customFormat="1" ht="13.5" customHeight="1">
      <c r="A2146" s="3354" t="s">
        <v>4522</v>
      </c>
      <c r="B2146" s="3331" t="s">
        <v>4516</v>
      </c>
      <c r="C2146" s="3331" t="s">
        <v>4608</v>
      </c>
      <c r="D2146" s="3331" t="s">
        <v>4610</v>
      </c>
      <c r="E2146" s="3332">
        <v>401.6</v>
      </c>
      <c r="F2146" s="3332">
        <v>370</v>
      </c>
      <c r="G2146" s="3333">
        <v>42887</v>
      </c>
      <c r="H2146" s="3333">
        <v>43130</v>
      </c>
      <c r="I2146" s="3333">
        <v>43190</v>
      </c>
      <c r="J2146" s="3324"/>
      <c r="K2146" s="3334">
        <f t="shared" si="335"/>
        <v>401.6</v>
      </c>
      <c r="L2146" s="3334">
        <f t="shared" si="336"/>
        <v>12.333333333333334</v>
      </c>
    </row>
    <row r="2147" spans="1:12" s="3327" customFormat="1" ht="13.5" customHeight="1">
      <c r="A2147" s="3354"/>
      <c r="B2147" s="3336" t="s">
        <v>4516</v>
      </c>
      <c r="C2147" s="3336" t="s">
        <v>4611</v>
      </c>
      <c r="D2147" s="3336" t="s">
        <v>4610</v>
      </c>
      <c r="E2147" s="3338">
        <v>220.89</v>
      </c>
      <c r="F2147" s="3339">
        <v>370</v>
      </c>
      <c r="G2147" s="3340">
        <v>42795</v>
      </c>
      <c r="H2147" s="3340">
        <v>42824</v>
      </c>
      <c r="I2147" s="3340">
        <v>42825</v>
      </c>
      <c r="J2147" s="3324"/>
    </row>
    <row r="2148" spans="1:12" s="3327" customFormat="1" ht="13.5" customHeight="1">
      <c r="A2148" s="3354" t="s">
        <v>4522</v>
      </c>
      <c r="B2148" s="3331" t="s">
        <v>4516</v>
      </c>
      <c r="C2148" s="3331" t="s">
        <v>4611</v>
      </c>
      <c r="D2148" s="3331" t="s">
        <v>4610</v>
      </c>
      <c r="E2148" s="3332">
        <v>220.89</v>
      </c>
      <c r="F2148" s="3332">
        <v>350</v>
      </c>
      <c r="G2148" s="3333">
        <v>42826</v>
      </c>
      <c r="H2148" s="3333">
        <v>43130</v>
      </c>
      <c r="I2148" s="3333">
        <v>43190</v>
      </c>
      <c r="J2148" s="3324"/>
      <c r="K2148" s="3334">
        <f t="shared" ref="K2148" si="337">E2148</f>
        <v>220.89</v>
      </c>
      <c r="L2148" s="3334">
        <f t="shared" ref="L2148" si="338">F2148/30</f>
        <v>11.666666666666666</v>
      </c>
    </row>
    <row r="2149" spans="1:12" s="3327" customFormat="1" ht="13.5" customHeight="1">
      <c r="A2149" s="3355"/>
      <c r="B2149" s="3336" t="s">
        <v>4516</v>
      </c>
      <c r="C2149" s="3336" t="s">
        <v>4612</v>
      </c>
      <c r="D2149" s="3336" t="s">
        <v>4613</v>
      </c>
      <c r="E2149" s="3339">
        <v>222</v>
      </c>
      <c r="F2149" s="3339">
        <v>315</v>
      </c>
      <c r="G2149" s="3340">
        <v>40634</v>
      </c>
      <c r="H2149" s="3340">
        <v>40907</v>
      </c>
      <c r="I2149" s="3340">
        <v>40999</v>
      </c>
      <c r="J2149" s="3336"/>
    </row>
    <row r="2150" spans="1:12" s="3327" customFormat="1" ht="13.5" customHeight="1">
      <c r="A2150" s="3354"/>
      <c r="B2150" s="3324" t="s">
        <v>4516</v>
      </c>
      <c r="C2150" s="3324" t="s">
        <v>4614</v>
      </c>
      <c r="D2150" s="3324" t="s">
        <v>4613</v>
      </c>
      <c r="E2150" s="3325">
        <v>222</v>
      </c>
      <c r="F2150" s="3325">
        <v>110</v>
      </c>
      <c r="G2150" s="3326">
        <v>41183</v>
      </c>
      <c r="H2150" s="3326">
        <v>41377</v>
      </c>
      <c r="I2150" s="3326">
        <v>41364</v>
      </c>
      <c r="J2150" s="3324"/>
    </row>
    <row r="2151" spans="1:12" s="3327" customFormat="1" ht="13.5" customHeight="1">
      <c r="A2151" s="3355"/>
      <c r="B2151" s="3336" t="s">
        <v>4516</v>
      </c>
      <c r="C2151" s="3336" t="s">
        <v>4615</v>
      </c>
      <c r="D2151" s="3336" t="s">
        <v>4616</v>
      </c>
      <c r="E2151" s="3339">
        <v>214.2</v>
      </c>
      <c r="F2151" s="3339">
        <v>330</v>
      </c>
      <c r="G2151" s="3340">
        <v>41378</v>
      </c>
      <c r="H2151" s="3340">
        <v>41728</v>
      </c>
      <c r="I2151" s="3340">
        <v>41729</v>
      </c>
      <c r="J2151" s="3336"/>
    </row>
    <row r="2152" spans="1:12" s="3327" customFormat="1" ht="13.5" customHeight="1">
      <c r="A2152" s="3354"/>
      <c r="B2152" s="3324" t="s">
        <v>4516</v>
      </c>
      <c r="C2152" s="3324" t="s">
        <v>4615</v>
      </c>
      <c r="D2152" s="3324" t="s">
        <v>4616</v>
      </c>
      <c r="E2152" s="3325">
        <v>214.2</v>
      </c>
      <c r="F2152" s="3325">
        <v>335</v>
      </c>
      <c r="G2152" s="3326">
        <v>41730</v>
      </c>
      <c r="H2152" s="3326">
        <v>42093</v>
      </c>
      <c r="I2152" s="3326">
        <v>42094</v>
      </c>
      <c r="J2152" s="3324"/>
    </row>
    <row r="2153" spans="1:12" s="3327" customFormat="1" ht="13.5" customHeight="1">
      <c r="A2153" s="3354"/>
      <c r="B2153" s="3336" t="s">
        <v>4516</v>
      </c>
      <c r="C2153" s="3336" t="s">
        <v>4615</v>
      </c>
      <c r="D2153" s="3336" t="s">
        <v>4616</v>
      </c>
      <c r="E2153" s="3339">
        <v>214.2</v>
      </c>
      <c r="F2153" s="3339">
        <v>335</v>
      </c>
      <c r="G2153" s="3340">
        <v>42095</v>
      </c>
      <c r="H2153" s="3340">
        <v>42178</v>
      </c>
      <c r="I2153" s="3340">
        <v>42460</v>
      </c>
      <c r="J2153" s="3324"/>
    </row>
    <row r="2154" spans="1:12" s="3327" customFormat="1" ht="12.75" customHeight="1">
      <c r="A2154" s="3354"/>
      <c r="B2154" s="3336" t="s">
        <v>4516</v>
      </c>
      <c r="C2154" s="3336" t="s">
        <v>4617</v>
      </c>
      <c r="D2154" s="3336" t="s">
        <v>4616</v>
      </c>
      <c r="E2154" s="3339">
        <v>214.2</v>
      </c>
      <c r="F2154" s="3339">
        <v>335</v>
      </c>
      <c r="G2154" s="3340">
        <v>42179</v>
      </c>
      <c r="H2154" s="3340">
        <v>42459</v>
      </c>
      <c r="I2154" s="3340">
        <v>42460</v>
      </c>
      <c r="J2154" s="3324"/>
    </row>
    <row r="2155" spans="1:12" s="3327" customFormat="1" ht="12.75" customHeight="1">
      <c r="A2155" s="3354"/>
      <c r="B2155" s="3336" t="s">
        <v>4516</v>
      </c>
      <c r="C2155" s="3336" t="s">
        <v>4617</v>
      </c>
      <c r="D2155" s="3336" t="s">
        <v>4616</v>
      </c>
      <c r="E2155" s="3338">
        <v>218.7</v>
      </c>
      <c r="F2155" s="3339">
        <v>335</v>
      </c>
      <c r="G2155" s="3340">
        <v>42461</v>
      </c>
      <c r="H2155" s="3340">
        <v>42824</v>
      </c>
      <c r="I2155" s="3340">
        <v>42825</v>
      </c>
      <c r="J2155" s="3324"/>
    </row>
    <row r="2156" spans="1:12" s="3327" customFormat="1" ht="12.75" customHeight="1">
      <c r="A2156" s="3354" t="s">
        <v>4522</v>
      </c>
      <c r="B2156" s="3331" t="s">
        <v>4516</v>
      </c>
      <c r="C2156" s="3331" t="s">
        <v>4617</v>
      </c>
      <c r="D2156" s="3331" t="s">
        <v>4616</v>
      </c>
      <c r="E2156" s="3332">
        <v>218.7</v>
      </c>
      <c r="F2156" s="3332">
        <v>335</v>
      </c>
      <c r="G2156" s="3333">
        <v>42826</v>
      </c>
      <c r="H2156" s="3333">
        <v>43130</v>
      </c>
      <c r="I2156" s="3333">
        <v>43190</v>
      </c>
      <c r="J2156" s="3324"/>
      <c r="K2156" s="3334">
        <f t="shared" ref="K2156" si="339">E2156</f>
        <v>218.7</v>
      </c>
      <c r="L2156" s="3334">
        <f t="shared" ref="L2156" si="340">F2156/30</f>
        <v>11.166666666666666</v>
      </c>
    </row>
    <row r="2157" spans="1:12" s="3327" customFormat="1" ht="13.5" customHeight="1">
      <c r="A2157" s="3355"/>
      <c r="B2157" s="3336" t="s">
        <v>4516</v>
      </c>
      <c r="C2157" s="3336" t="s">
        <v>4618</v>
      </c>
      <c r="D2157" s="3336" t="s">
        <v>4619</v>
      </c>
      <c r="E2157" s="3339">
        <v>168</v>
      </c>
      <c r="F2157" s="3339">
        <v>305</v>
      </c>
      <c r="G2157" s="3340">
        <v>41000</v>
      </c>
      <c r="H2157" s="3340">
        <v>41363</v>
      </c>
      <c r="I2157" s="3340">
        <v>41364</v>
      </c>
      <c r="J2157" s="3336"/>
    </row>
    <row r="2158" spans="1:12" s="3327" customFormat="1" ht="13.5" customHeight="1">
      <c r="A2158" s="3354"/>
      <c r="B2158" s="3336" t="s">
        <v>4516</v>
      </c>
      <c r="C2158" s="3336" t="s">
        <v>4618</v>
      </c>
      <c r="D2158" s="3336" t="s">
        <v>4620</v>
      </c>
      <c r="E2158" s="3339">
        <v>168</v>
      </c>
      <c r="F2158" s="3339">
        <v>340</v>
      </c>
      <c r="G2158" s="3340">
        <v>41730</v>
      </c>
      <c r="H2158" s="3340">
        <v>42014</v>
      </c>
      <c r="I2158" s="3340">
        <v>42094</v>
      </c>
      <c r="J2158" s="3324"/>
    </row>
    <row r="2159" spans="1:12" s="3327" customFormat="1" ht="13.5" customHeight="1">
      <c r="A2159" s="3354"/>
      <c r="B2159" s="3350" t="s">
        <v>4516</v>
      </c>
      <c r="C2159" s="3351" t="s">
        <v>4618</v>
      </c>
      <c r="D2159" s="3351" t="s">
        <v>4620</v>
      </c>
      <c r="E2159" s="3352">
        <v>168</v>
      </c>
      <c r="F2159" s="3352">
        <v>340</v>
      </c>
      <c r="G2159" s="3353">
        <v>42018</v>
      </c>
      <c r="H2159" s="3353">
        <v>42034</v>
      </c>
      <c r="I2159" s="3353">
        <v>42094</v>
      </c>
      <c r="J2159" s="3324"/>
    </row>
    <row r="2160" spans="1:12" s="3327" customFormat="1" ht="13.5" customHeight="1">
      <c r="A2160" s="3354"/>
      <c r="B2160" s="3324" t="s">
        <v>4516</v>
      </c>
      <c r="C2160" s="3324" t="s">
        <v>4621</v>
      </c>
      <c r="D2160" s="3324" t="s">
        <v>4620</v>
      </c>
      <c r="E2160" s="3325">
        <v>168</v>
      </c>
      <c r="F2160" s="3325">
        <v>340</v>
      </c>
      <c r="G2160" s="3326">
        <v>42036</v>
      </c>
      <c r="H2160" s="3326">
        <v>42093</v>
      </c>
      <c r="I2160" s="3326">
        <v>42094</v>
      </c>
      <c r="J2160" s="3324"/>
    </row>
    <row r="2161" spans="1:12" s="3327" customFormat="1" ht="13.5" customHeight="1">
      <c r="A2161" s="3354"/>
      <c r="B2161" s="3336" t="s">
        <v>4516</v>
      </c>
      <c r="C2161" s="3336" t="s">
        <v>4621</v>
      </c>
      <c r="D2161" s="3336" t="s">
        <v>4620</v>
      </c>
      <c r="E2161" s="3339">
        <v>168</v>
      </c>
      <c r="F2161" s="3339">
        <v>330</v>
      </c>
      <c r="G2161" s="3340">
        <v>42095</v>
      </c>
      <c r="H2161" s="3340">
        <v>42368</v>
      </c>
      <c r="I2161" s="3340">
        <v>42460</v>
      </c>
      <c r="J2161" s="3324"/>
    </row>
    <row r="2162" spans="1:12" s="3327" customFormat="1" ht="13.5" customHeight="1">
      <c r="A2162" s="3354"/>
      <c r="B2162" s="3336" t="s">
        <v>4516</v>
      </c>
      <c r="C2162" s="3336" t="s">
        <v>4622</v>
      </c>
      <c r="D2162" s="3336" t="s">
        <v>4620</v>
      </c>
      <c r="E2162" s="3338">
        <v>172.9</v>
      </c>
      <c r="F2162" s="3339">
        <v>330</v>
      </c>
      <c r="G2162" s="3340">
        <v>42370</v>
      </c>
      <c r="H2162" s="3340">
        <v>42459</v>
      </c>
      <c r="I2162" s="3340">
        <v>42460</v>
      </c>
      <c r="J2162" s="3324"/>
    </row>
    <row r="2163" spans="1:12" s="3327" customFormat="1" ht="13.5" customHeight="1">
      <c r="A2163" s="3354"/>
      <c r="B2163" s="3336" t="s">
        <v>4516</v>
      </c>
      <c r="C2163" s="3336" t="s">
        <v>4622</v>
      </c>
      <c r="D2163" s="3336" t="s">
        <v>4620</v>
      </c>
      <c r="E2163" s="3339">
        <v>172.9</v>
      </c>
      <c r="F2163" s="3339">
        <v>330</v>
      </c>
      <c r="G2163" s="3340">
        <v>42461</v>
      </c>
      <c r="H2163" s="3340">
        <v>42581</v>
      </c>
      <c r="I2163" s="3340">
        <v>42825</v>
      </c>
      <c r="J2163" s="3324"/>
    </row>
    <row r="2164" spans="1:12" s="3327" customFormat="1" ht="13.5" customHeight="1">
      <c r="A2164" s="3354"/>
      <c r="B2164" s="3336" t="s">
        <v>4516</v>
      </c>
      <c r="C2164" s="3336" t="s">
        <v>4623</v>
      </c>
      <c r="D2164" s="3336" t="s">
        <v>4620</v>
      </c>
      <c r="E2164" s="3339">
        <v>172.9</v>
      </c>
      <c r="F2164" s="3339">
        <v>330</v>
      </c>
      <c r="G2164" s="3340">
        <v>42583</v>
      </c>
      <c r="H2164" s="3340">
        <v>42824</v>
      </c>
      <c r="I2164" s="3340">
        <v>42825</v>
      </c>
      <c r="J2164" s="3324"/>
    </row>
    <row r="2165" spans="1:12" s="3327" customFormat="1" ht="13.5" customHeight="1">
      <c r="A2165" s="3354"/>
      <c r="B2165" s="3331" t="s">
        <v>4516</v>
      </c>
      <c r="C2165" s="3331" t="s">
        <v>4624</v>
      </c>
      <c r="D2165" s="3331" t="s">
        <v>4620</v>
      </c>
      <c r="E2165" s="3332">
        <v>172.9</v>
      </c>
      <c r="F2165" s="3332">
        <v>280</v>
      </c>
      <c r="G2165" s="3333">
        <v>42826</v>
      </c>
      <c r="H2165" s="3333">
        <v>42946</v>
      </c>
      <c r="I2165" s="3333">
        <v>43190</v>
      </c>
      <c r="J2165" s="3324"/>
      <c r="K2165" s="3334">
        <f t="shared" ref="K2165:K2166" si="341">E2165</f>
        <v>172.9</v>
      </c>
      <c r="L2165" s="3334">
        <f t="shared" ref="L2165:L2166" si="342">F2165/30</f>
        <v>9.3333333333333339</v>
      </c>
    </row>
    <row r="2166" spans="1:12" s="3327" customFormat="1" ht="13.5" customHeight="1">
      <c r="A2166" s="3354" t="s">
        <v>4522</v>
      </c>
      <c r="B2166" s="3331" t="s">
        <v>4516</v>
      </c>
      <c r="C2166" s="3331" t="s">
        <v>4625</v>
      </c>
      <c r="D2166" s="3331" t="s">
        <v>4620</v>
      </c>
      <c r="E2166" s="3332">
        <v>172.9</v>
      </c>
      <c r="F2166" s="3332">
        <v>280</v>
      </c>
      <c r="G2166" s="3333">
        <v>42948</v>
      </c>
      <c r="H2166" s="3333">
        <v>43130</v>
      </c>
      <c r="I2166" s="3333">
        <v>43190</v>
      </c>
      <c r="J2166" s="3324"/>
      <c r="K2166" s="3334">
        <f t="shared" si="341"/>
        <v>172.9</v>
      </c>
      <c r="L2166" s="3334">
        <f t="shared" si="342"/>
        <v>9.3333333333333339</v>
      </c>
    </row>
    <row r="2167" spans="1:12" s="3327" customFormat="1" ht="13.5" customHeight="1">
      <c r="A2167" s="3354"/>
      <c r="B2167" s="3324" t="s">
        <v>4516</v>
      </c>
      <c r="C2167" s="3324" t="s">
        <v>4626</v>
      </c>
      <c r="D2167" s="3324" t="s">
        <v>4627</v>
      </c>
      <c r="E2167" s="3325">
        <v>175.7</v>
      </c>
      <c r="F2167" s="3325">
        <v>300</v>
      </c>
      <c r="G2167" s="3326">
        <v>41730</v>
      </c>
      <c r="H2167" s="3326">
        <v>42093</v>
      </c>
      <c r="I2167" s="3326">
        <v>42094</v>
      </c>
      <c r="J2167" s="3324"/>
    </row>
    <row r="2168" spans="1:12" s="3327" customFormat="1" ht="13.5" customHeight="1">
      <c r="A2168" s="3354"/>
      <c r="B2168" s="3324" t="s">
        <v>4516</v>
      </c>
      <c r="C2168" s="3324" t="s">
        <v>4626</v>
      </c>
      <c r="D2168" s="3344" t="s">
        <v>4627</v>
      </c>
      <c r="E2168" s="3325">
        <v>175.7</v>
      </c>
      <c r="F2168" s="3325">
        <v>306</v>
      </c>
      <c r="G2168" s="3326">
        <v>42095</v>
      </c>
      <c r="H2168" s="3326">
        <v>42121</v>
      </c>
      <c r="I2168" s="3326">
        <v>42460</v>
      </c>
      <c r="J2168" s="3324"/>
    </row>
    <row r="2169" spans="1:12" s="3327" customFormat="1" ht="13.5" customHeight="1">
      <c r="A2169" s="3354"/>
      <c r="B2169" s="3336" t="s">
        <v>4516</v>
      </c>
      <c r="C2169" s="3336" t="s">
        <v>4628</v>
      </c>
      <c r="D2169" s="3336" t="s">
        <v>4627</v>
      </c>
      <c r="E2169" s="3339">
        <v>175.7</v>
      </c>
      <c r="F2169" s="3339">
        <v>305</v>
      </c>
      <c r="G2169" s="3340">
        <v>42122</v>
      </c>
      <c r="H2169" s="3340">
        <v>42262</v>
      </c>
      <c r="I2169" s="3340">
        <v>42460</v>
      </c>
      <c r="J2169" s="3324"/>
    </row>
    <row r="2170" spans="1:12" s="3327" customFormat="1" ht="13.5" customHeight="1">
      <c r="A2170" s="3354"/>
      <c r="B2170" s="3336" t="s">
        <v>4516</v>
      </c>
      <c r="C2170" s="3336" t="s">
        <v>4629</v>
      </c>
      <c r="D2170" s="3336" t="s">
        <v>4627</v>
      </c>
      <c r="E2170" s="3339">
        <v>175.7</v>
      </c>
      <c r="F2170" s="3339">
        <v>305</v>
      </c>
      <c r="G2170" s="3340">
        <v>42263</v>
      </c>
      <c r="H2170" s="3340">
        <v>42459</v>
      </c>
      <c r="I2170" s="3340">
        <v>42460</v>
      </c>
      <c r="J2170" s="3324"/>
    </row>
    <row r="2171" spans="1:12" s="3327" customFormat="1" ht="13.5" customHeight="1">
      <c r="A2171" s="3354"/>
      <c r="B2171" s="3336" t="s">
        <v>4516</v>
      </c>
      <c r="C2171" s="3336" t="s">
        <v>4629</v>
      </c>
      <c r="D2171" s="3336" t="s">
        <v>4627</v>
      </c>
      <c r="E2171" s="3339">
        <v>175.7</v>
      </c>
      <c r="F2171" s="3339">
        <v>305</v>
      </c>
      <c r="G2171" s="3340">
        <v>42461</v>
      </c>
      <c r="H2171" s="3340">
        <v>42824</v>
      </c>
      <c r="I2171" s="3340">
        <v>42825</v>
      </c>
      <c r="J2171" s="3324"/>
    </row>
    <row r="2172" spans="1:12" s="3327" customFormat="1" ht="13.5" customHeight="1">
      <c r="A2172" s="3354"/>
      <c r="B2172" s="3331" t="s">
        <v>4516</v>
      </c>
      <c r="C2172" s="3331" t="s">
        <v>4629</v>
      </c>
      <c r="D2172" s="3331" t="s">
        <v>4627</v>
      </c>
      <c r="E2172" s="3332">
        <v>175.7</v>
      </c>
      <c r="F2172" s="3332">
        <v>310</v>
      </c>
      <c r="G2172" s="3333">
        <v>42826</v>
      </c>
      <c r="H2172" s="3333">
        <v>42855</v>
      </c>
      <c r="I2172" s="3333">
        <v>43190</v>
      </c>
      <c r="J2172" s="3324"/>
      <c r="K2172" s="3334">
        <f t="shared" ref="K2172:K2174" si="343">E2172</f>
        <v>175.7</v>
      </c>
      <c r="L2172" s="3334">
        <f t="shared" ref="L2172:L2174" si="344">F2172/30</f>
        <v>10.333333333333334</v>
      </c>
    </row>
    <row r="2173" spans="1:12" s="3327" customFormat="1" ht="13.5" customHeight="1">
      <c r="A2173" s="3354"/>
      <c r="B2173" s="3331" t="s">
        <v>4516</v>
      </c>
      <c r="C2173" s="3331" t="s">
        <v>4630</v>
      </c>
      <c r="D2173" s="3331" t="s">
        <v>4627</v>
      </c>
      <c r="E2173" s="3332">
        <v>175.7</v>
      </c>
      <c r="F2173" s="3332">
        <v>310</v>
      </c>
      <c r="G2173" s="3341">
        <v>42856</v>
      </c>
      <c r="H2173" s="3341">
        <v>43099</v>
      </c>
      <c r="I2173" s="3341">
        <v>43190</v>
      </c>
      <c r="J2173" s="3324"/>
      <c r="K2173" s="3334">
        <f t="shared" si="343"/>
        <v>175.7</v>
      </c>
      <c r="L2173" s="3334">
        <f t="shared" si="344"/>
        <v>10.333333333333334</v>
      </c>
    </row>
    <row r="2174" spans="1:12" s="3327" customFormat="1" ht="13.5" customHeight="1">
      <c r="A2174" s="3354" t="s">
        <v>4522</v>
      </c>
      <c r="B2174" s="3331" t="s">
        <v>4516</v>
      </c>
      <c r="C2174" s="3331" t="s">
        <v>4631</v>
      </c>
      <c r="D2174" s="3331" t="s">
        <v>4627</v>
      </c>
      <c r="E2174" s="3332">
        <v>175.7</v>
      </c>
      <c r="F2174" s="3332">
        <v>310</v>
      </c>
      <c r="G2174" s="3333">
        <v>43101</v>
      </c>
      <c r="H2174" s="3333">
        <v>43130</v>
      </c>
      <c r="I2174" s="3333">
        <v>43190</v>
      </c>
      <c r="J2174" s="3324"/>
      <c r="K2174" s="3334">
        <f t="shared" si="343"/>
        <v>175.7</v>
      </c>
      <c r="L2174" s="3334">
        <f t="shared" si="344"/>
        <v>10.333333333333334</v>
      </c>
    </row>
    <row r="2175" spans="1:12" s="3327" customFormat="1" ht="13.5" customHeight="1">
      <c r="A2175" s="3355"/>
      <c r="B2175" s="3336" t="s">
        <v>4516</v>
      </c>
      <c r="C2175" s="3336" t="s">
        <v>4632</v>
      </c>
      <c r="D2175" s="3336" t="s">
        <v>4633</v>
      </c>
      <c r="E2175" s="3339">
        <v>169.5</v>
      </c>
      <c r="F2175" s="3339">
        <v>280</v>
      </c>
      <c r="G2175" s="3340">
        <v>41000</v>
      </c>
      <c r="H2175" s="3340">
        <v>41363</v>
      </c>
      <c r="I2175" s="3340">
        <v>41364</v>
      </c>
      <c r="J2175" s="3336"/>
    </row>
    <row r="2176" spans="1:12" s="3327" customFormat="1" ht="13.5" customHeight="1">
      <c r="A2176" s="3354"/>
      <c r="B2176" s="3336" t="s">
        <v>4516</v>
      </c>
      <c r="C2176" s="3336" t="s">
        <v>4634</v>
      </c>
      <c r="D2176" s="3336" t="s">
        <v>4635</v>
      </c>
      <c r="E2176" s="3339">
        <v>164.5</v>
      </c>
      <c r="F2176" s="3339">
        <v>300</v>
      </c>
      <c r="G2176" s="3340">
        <v>41730</v>
      </c>
      <c r="H2176" s="3340">
        <v>42023</v>
      </c>
      <c r="I2176" s="3340">
        <v>42094</v>
      </c>
      <c r="J2176" s="3324"/>
    </row>
    <row r="2177" spans="1:12" s="3327" customFormat="1" ht="13.5" customHeight="1">
      <c r="A2177" s="3354"/>
      <c r="B2177" s="3324" t="s">
        <v>4516</v>
      </c>
      <c r="C2177" s="3403" t="s">
        <v>4636</v>
      </c>
      <c r="D2177" s="3324" t="s">
        <v>4635</v>
      </c>
      <c r="E2177" s="3325">
        <v>164.5</v>
      </c>
      <c r="F2177" s="3325">
        <v>300</v>
      </c>
      <c r="G2177" s="3326">
        <v>42032</v>
      </c>
      <c r="H2177" s="3326">
        <v>42093</v>
      </c>
      <c r="I2177" s="3326">
        <v>42094</v>
      </c>
      <c r="J2177" s="3324"/>
    </row>
    <row r="2178" spans="1:12" s="3327" customFormat="1" ht="13.5" customHeight="1">
      <c r="A2178" s="3354"/>
      <c r="B2178" s="3336" t="s">
        <v>4516</v>
      </c>
      <c r="C2178" s="3336" t="s">
        <v>4636</v>
      </c>
      <c r="D2178" s="3336" t="s">
        <v>4635</v>
      </c>
      <c r="E2178" s="3339">
        <v>164.5</v>
      </c>
      <c r="F2178" s="3339">
        <v>305</v>
      </c>
      <c r="G2178" s="3340">
        <v>42095</v>
      </c>
      <c r="H2178" s="3340">
        <v>42262</v>
      </c>
      <c r="I2178" s="3340">
        <v>42460</v>
      </c>
      <c r="J2178" s="3324"/>
    </row>
    <row r="2179" spans="1:12" s="3327" customFormat="1" ht="13.5" customHeight="1">
      <c r="A2179" s="3354"/>
      <c r="B2179" s="3336" t="s">
        <v>4516</v>
      </c>
      <c r="C2179" s="3336" t="s">
        <v>4637</v>
      </c>
      <c r="D2179" s="3336" t="s">
        <v>4635</v>
      </c>
      <c r="E2179" s="3339">
        <v>164.5</v>
      </c>
      <c r="F2179" s="3339">
        <v>305</v>
      </c>
      <c r="G2179" s="3340">
        <v>42263</v>
      </c>
      <c r="H2179" s="3340">
        <v>42459</v>
      </c>
      <c r="I2179" s="3340">
        <v>42460</v>
      </c>
      <c r="J2179" s="3324"/>
    </row>
    <row r="2180" spans="1:12" s="3327" customFormat="1" ht="13.5" customHeight="1">
      <c r="A2180" s="3354"/>
      <c r="B2180" s="3336" t="s">
        <v>4516</v>
      </c>
      <c r="C2180" s="3336" t="s">
        <v>4637</v>
      </c>
      <c r="D2180" s="3336" t="s">
        <v>4635</v>
      </c>
      <c r="E2180" s="3339">
        <v>164.5</v>
      </c>
      <c r="F2180" s="3339">
        <v>305</v>
      </c>
      <c r="G2180" s="3340">
        <v>42461</v>
      </c>
      <c r="H2180" s="3340">
        <v>42551</v>
      </c>
      <c r="I2180" s="3340">
        <v>42825</v>
      </c>
      <c r="J2180" s="3324"/>
    </row>
    <row r="2181" spans="1:12" s="3327" customFormat="1" ht="13.5" customHeight="1">
      <c r="A2181" s="3354"/>
      <c r="B2181" s="3336" t="s">
        <v>4516</v>
      </c>
      <c r="C2181" s="3336" t="s">
        <v>4638</v>
      </c>
      <c r="D2181" s="3336" t="s">
        <v>4635</v>
      </c>
      <c r="E2181" s="3339">
        <v>164.5</v>
      </c>
      <c r="F2181" s="3339">
        <v>305</v>
      </c>
      <c r="G2181" s="3340">
        <v>42552</v>
      </c>
      <c r="H2181" s="3340">
        <v>42737</v>
      </c>
      <c r="I2181" s="3340">
        <v>42825</v>
      </c>
      <c r="J2181" s="3324"/>
    </row>
    <row r="2182" spans="1:12" s="3327" customFormat="1" ht="13.5" customHeight="1">
      <c r="A2182" s="3354"/>
      <c r="B2182" s="3336" t="s">
        <v>4516</v>
      </c>
      <c r="C2182" s="3336" t="s">
        <v>4639</v>
      </c>
      <c r="D2182" s="3336" t="s">
        <v>4635</v>
      </c>
      <c r="E2182" s="3339">
        <v>164.5</v>
      </c>
      <c r="F2182" s="3339">
        <v>305</v>
      </c>
      <c r="G2182" s="3340">
        <v>42738</v>
      </c>
      <c r="H2182" s="3340">
        <v>42794</v>
      </c>
      <c r="I2182" s="3340">
        <v>42825</v>
      </c>
      <c r="J2182" s="3324"/>
    </row>
    <row r="2183" spans="1:12" s="3327" customFormat="1" ht="13.5" customHeight="1">
      <c r="A2183" s="3354"/>
      <c r="B2183" s="3336" t="s">
        <v>4516</v>
      </c>
      <c r="C2183" s="3336" t="s">
        <v>4639</v>
      </c>
      <c r="D2183" s="3336" t="s">
        <v>4635</v>
      </c>
      <c r="E2183" s="3339">
        <v>164.5</v>
      </c>
      <c r="F2183" s="3339">
        <v>305</v>
      </c>
      <c r="G2183" s="3340">
        <v>42795</v>
      </c>
      <c r="H2183" s="3340">
        <v>42824</v>
      </c>
      <c r="I2183" s="3340">
        <v>42825</v>
      </c>
      <c r="J2183" s="3324"/>
    </row>
    <row r="2184" spans="1:12" s="3327" customFormat="1" ht="13.5" customHeight="1">
      <c r="A2184" s="3354"/>
      <c r="B2184" s="3331" t="s">
        <v>4516</v>
      </c>
      <c r="C2184" s="3331" t="s">
        <v>4545</v>
      </c>
      <c r="D2184" s="3331" t="s">
        <v>4635</v>
      </c>
      <c r="E2184" s="3332">
        <v>164.5</v>
      </c>
      <c r="F2184" s="3332">
        <v>310</v>
      </c>
      <c r="G2184" s="3333">
        <v>42826</v>
      </c>
      <c r="H2184" s="3333">
        <v>42896</v>
      </c>
      <c r="I2184" s="3333">
        <v>43190</v>
      </c>
      <c r="J2184" s="3324"/>
      <c r="K2184" s="3334">
        <f t="shared" ref="K2184:K2185" si="345">E2184</f>
        <v>164.5</v>
      </c>
      <c r="L2184" s="3334">
        <f t="shared" ref="L2184:L2185" si="346">F2184/30</f>
        <v>10.333333333333334</v>
      </c>
    </row>
    <row r="2185" spans="1:12" s="3327" customFormat="1" ht="13.5" customHeight="1">
      <c r="A2185" s="3354" t="s">
        <v>4522</v>
      </c>
      <c r="B2185" s="3331" t="s">
        <v>4516</v>
      </c>
      <c r="C2185" s="3331" t="s">
        <v>4529</v>
      </c>
      <c r="D2185" s="3331" t="s">
        <v>4635</v>
      </c>
      <c r="E2185" s="3332">
        <v>164.5</v>
      </c>
      <c r="F2185" s="3332">
        <v>300</v>
      </c>
      <c r="G2185" s="3333">
        <v>42897</v>
      </c>
      <c r="H2185" s="3333">
        <v>43130</v>
      </c>
      <c r="I2185" s="3333">
        <v>43190</v>
      </c>
      <c r="J2185" s="3324"/>
      <c r="K2185" s="3334">
        <f t="shared" si="345"/>
        <v>164.5</v>
      </c>
      <c r="L2185" s="3334">
        <f t="shared" si="346"/>
        <v>10</v>
      </c>
    </row>
    <row r="2186" spans="1:12" s="3327" customFormat="1" ht="13.5" customHeight="1">
      <c r="A2186" s="3355"/>
      <c r="B2186" s="3336" t="s">
        <v>4516</v>
      </c>
      <c r="C2186" s="3336" t="s">
        <v>4640</v>
      </c>
      <c r="D2186" s="3336" t="s">
        <v>4641</v>
      </c>
      <c r="E2186" s="3339">
        <v>262.8</v>
      </c>
      <c r="F2186" s="3339">
        <v>280</v>
      </c>
      <c r="G2186" s="3340">
        <v>41000</v>
      </c>
      <c r="H2186" s="3340">
        <v>41363</v>
      </c>
      <c r="I2186" s="3340">
        <v>41364</v>
      </c>
      <c r="J2186" s="3336"/>
    </row>
    <row r="2187" spans="1:12" s="3327" customFormat="1" ht="13.5" customHeight="1">
      <c r="A2187" s="3354"/>
      <c r="B2187" s="3324" t="s">
        <v>4516</v>
      </c>
      <c r="C2187" s="3324" t="s">
        <v>4640</v>
      </c>
      <c r="D2187" s="3324" t="s">
        <v>4642</v>
      </c>
      <c r="E2187" s="3325">
        <v>257.8</v>
      </c>
      <c r="F2187" s="3325">
        <v>290</v>
      </c>
      <c r="G2187" s="3326">
        <v>41730</v>
      </c>
      <c r="H2187" s="3326">
        <v>42093</v>
      </c>
      <c r="I2187" s="3326">
        <v>42094</v>
      </c>
      <c r="J2187" s="3324"/>
    </row>
    <row r="2188" spans="1:12" s="3327" customFormat="1" ht="13.5" customHeight="1">
      <c r="A2188" s="3354"/>
      <c r="B2188" s="3336" t="s">
        <v>4516</v>
      </c>
      <c r="C2188" s="3336" t="s">
        <v>4643</v>
      </c>
      <c r="D2188" s="3336" t="s">
        <v>4642</v>
      </c>
      <c r="E2188" s="3339">
        <v>257.8</v>
      </c>
      <c r="F2188" s="3339">
        <v>295</v>
      </c>
      <c r="G2188" s="3340">
        <v>42095</v>
      </c>
      <c r="H2188" s="3340">
        <v>42459</v>
      </c>
      <c r="I2188" s="3340">
        <v>42460</v>
      </c>
      <c r="J2188" s="3324"/>
    </row>
    <row r="2189" spans="1:12" s="3327" customFormat="1" ht="13.5" customHeight="1">
      <c r="A2189" s="3354"/>
      <c r="B2189" s="3336" t="s">
        <v>4516</v>
      </c>
      <c r="C2189" s="3336" t="s">
        <v>4643</v>
      </c>
      <c r="D2189" s="3336" t="s">
        <v>4642</v>
      </c>
      <c r="E2189" s="3338">
        <v>260.70999999999998</v>
      </c>
      <c r="F2189" s="3339">
        <v>305</v>
      </c>
      <c r="G2189" s="3340">
        <v>42461</v>
      </c>
      <c r="H2189" s="3340">
        <v>42824</v>
      </c>
      <c r="I2189" s="3340">
        <v>42825</v>
      </c>
      <c r="J2189" s="3324"/>
    </row>
    <row r="2190" spans="1:12" s="3327" customFormat="1" ht="13.5" customHeight="1">
      <c r="A2190" s="3354" t="s">
        <v>4522</v>
      </c>
      <c r="B2190" s="3331" t="s">
        <v>4516</v>
      </c>
      <c r="C2190" s="3331" t="s">
        <v>4644</v>
      </c>
      <c r="D2190" s="3331" t="s">
        <v>4642</v>
      </c>
      <c r="E2190" s="3332">
        <v>260.70999999999998</v>
      </c>
      <c r="F2190" s="3332">
        <v>305</v>
      </c>
      <c r="G2190" s="3333">
        <v>42826</v>
      </c>
      <c r="H2190" s="3333">
        <v>43130</v>
      </c>
      <c r="I2190" s="3333">
        <v>43190</v>
      </c>
      <c r="J2190" s="3324"/>
      <c r="K2190" s="3334">
        <f t="shared" ref="K2190" si="347">E2190</f>
        <v>260.70999999999998</v>
      </c>
      <c r="L2190" s="3334">
        <f t="shared" ref="L2190" si="348">F2190/30</f>
        <v>10.166666666666666</v>
      </c>
    </row>
    <row r="2191" spans="1:12" s="3327" customFormat="1" ht="13.5" customHeight="1">
      <c r="A2191" s="3355"/>
      <c r="B2191" s="3336" t="s">
        <v>4516</v>
      </c>
      <c r="C2191" s="3336" t="s">
        <v>4645</v>
      </c>
      <c r="D2191" s="3336" t="s">
        <v>4646</v>
      </c>
      <c r="E2191" s="3339">
        <v>174.1</v>
      </c>
      <c r="F2191" s="3339">
        <v>280</v>
      </c>
      <c r="G2191" s="3340">
        <v>41000</v>
      </c>
      <c r="H2191" s="3340">
        <v>41363</v>
      </c>
      <c r="I2191" s="3340">
        <v>41364</v>
      </c>
      <c r="J2191" s="3336"/>
    </row>
    <row r="2192" spans="1:12" s="3327" customFormat="1" ht="13.5" customHeight="1">
      <c r="A2192" s="3354"/>
      <c r="B2192" s="3324" t="s">
        <v>4516</v>
      </c>
      <c r="C2192" s="3324" t="s">
        <v>4647</v>
      </c>
      <c r="D2192" s="3324" t="s">
        <v>4533</v>
      </c>
      <c r="E2192" s="3325">
        <v>174.1</v>
      </c>
      <c r="F2192" s="3325">
        <v>290</v>
      </c>
      <c r="G2192" s="3326">
        <v>41730</v>
      </c>
      <c r="H2192" s="3326">
        <v>42093</v>
      </c>
      <c r="I2192" s="3326">
        <v>42094</v>
      </c>
      <c r="J2192" s="3324"/>
    </row>
    <row r="2193" spans="1:12" s="3327" customFormat="1" ht="13.5" customHeight="1">
      <c r="A2193" s="3354"/>
      <c r="B2193" s="3336" t="s">
        <v>4516</v>
      </c>
      <c r="C2193" s="3336" t="s">
        <v>4647</v>
      </c>
      <c r="D2193" s="3336" t="s">
        <v>4533</v>
      </c>
      <c r="E2193" s="3339">
        <v>174.1</v>
      </c>
      <c r="F2193" s="3339">
        <v>290</v>
      </c>
      <c r="G2193" s="3340">
        <v>42095</v>
      </c>
      <c r="H2193" s="3340">
        <v>42459</v>
      </c>
      <c r="I2193" s="3340">
        <v>42460</v>
      </c>
      <c r="J2193" s="3324"/>
    </row>
    <row r="2194" spans="1:12" s="3327" customFormat="1" ht="13.5" customHeight="1">
      <c r="A2194" s="3354"/>
      <c r="B2194" s="3336" t="s">
        <v>4516</v>
      </c>
      <c r="C2194" s="3336" t="s">
        <v>4647</v>
      </c>
      <c r="D2194" s="3336" t="s">
        <v>4533</v>
      </c>
      <c r="E2194" s="3339">
        <v>174.1</v>
      </c>
      <c r="F2194" s="3339">
        <v>290</v>
      </c>
      <c r="G2194" s="3340">
        <v>42461</v>
      </c>
      <c r="H2194" s="3340">
        <v>42824</v>
      </c>
      <c r="I2194" s="3340">
        <v>42825</v>
      </c>
      <c r="J2194" s="3324"/>
    </row>
    <row r="2195" spans="1:12" s="3327" customFormat="1" ht="13.5" customHeight="1">
      <c r="A2195" s="3354"/>
      <c r="B2195" s="3331" t="s">
        <v>4516</v>
      </c>
      <c r="C2195" s="3331" t="s">
        <v>4648</v>
      </c>
      <c r="D2195" s="3331" t="s">
        <v>4533</v>
      </c>
      <c r="E2195" s="3332">
        <v>174.1</v>
      </c>
      <c r="F2195" s="3332">
        <v>285</v>
      </c>
      <c r="G2195" s="3333">
        <v>42826</v>
      </c>
      <c r="H2195" s="3333">
        <v>42885</v>
      </c>
      <c r="I2195" s="3333">
        <v>43190</v>
      </c>
      <c r="J2195" s="3324"/>
      <c r="K2195" s="3334">
        <f t="shared" ref="K2195:K2196" si="349">E2195</f>
        <v>174.1</v>
      </c>
      <c r="L2195" s="3334">
        <f t="shared" ref="L2195:L2196" si="350">F2195/30</f>
        <v>9.5</v>
      </c>
    </row>
    <row r="2196" spans="1:12" s="3327" customFormat="1" ht="13.5" customHeight="1">
      <c r="A2196" s="3354" t="s">
        <v>4522</v>
      </c>
      <c r="B2196" s="3331" t="s">
        <v>4516</v>
      </c>
      <c r="C2196" s="3331" t="s">
        <v>4648</v>
      </c>
      <c r="D2196" s="3331" t="s">
        <v>4533</v>
      </c>
      <c r="E2196" s="3332">
        <v>174.1</v>
      </c>
      <c r="F2196" s="3332">
        <v>290</v>
      </c>
      <c r="G2196" s="3333">
        <v>42887</v>
      </c>
      <c r="H2196" s="3333">
        <v>43130</v>
      </c>
      <c r="I2196" s="3333">
        <v>43190</v>
      </c>
      <c r="J2196" s="3324"/>
      <c r="K2196" s="3334">
        <f t="shared" si="349"/>
        <v>174.1</v>
      </c>
      <c r="L2196" s="3334">
        <f t="shared" si="350"/>
        <v>9.6666666666666661</v>
      </c>
    </row>
    <row r="2197" spans="1:12" s="3327" customFormat="1" ht="13.5" customHeight="1">
      <c r="A2197" s="3355"/>
      <c r="B2197" s="3336" t="s">
        <v>4516</v>
      </c>
      <c r="C2197" s="3336" t="s">
        <v>4649</v>
      </c>
      <c r="D2197" s="3336" t="s">
        <v>4650</v>
      </c>
      <c r="E2197" s="3339">
        <v>173.9</v>
      </c>
      <c r="F2197" s="3339">
        <v>270</v>
      </c>
      <c r="G2197" s="3340">
        <v>40763</v>
      </c>
      <c r="H2197" s="3340">
        <v>40877</v>
      </c>
      <c r="I2197" s="3340">
        <v>40999</v>
      </c>
      <c r="J2197" s="3336"/>
    </row>
    <row r="2198" spans="1:12" s="3327" customFormat="1" ht="13.5" customHeight="1">
      <c r="A2198" s="3355"/>
      <c r="B2198" s="3336" t="s">
        <v>4516</v>
      </c>
      <c r="C2198" s="3336" t="s">
        <v>4651</v>
      </c>
      <c r="D2198" s="3336" t="s">
        <v>4650</v>
      </c>
      <c r="E2198" s="3339">
        <v>173.9</v>
      </c>
      <c r="F2198" s="3339">
        <v>270</v>
      </c>
      <c r="G2198" s="3340">
        <v>41018</v>
      </c>
      <c r="H2198" s="3340">
        <v>41363</v>
      </c>
      <c r="I2198" s="3340">
        <v>41364</v>
      </c>
      <c r="J2198" s="3336"/>
    </row>
    <row r="2199" spans="1:12" s="3327" customFormat="1" ht="13.5" customHeight="1">
      <c r="A2199" s="3354"/>
      <c r="B2199" s="3324" t="s">
        <v>4516</v>
      </c>
      <c r="C2199" s="3324" t="s">
        <v>4651</v>
      </c>
      <c r="D2199" s="3324" t="s">
        <v>4652</v>
      </c>
      <c r="E2199" s="3325">
        <v>173.9</v>
      </c>
      <c r="F2199" s="3325">
        <v>245</v>
      </c>
      <c r="G2199" s="3326">
        <v>41730</v>
      </c>
      <c r="H2199" s="3326">
        <v>42093</v>
      </c>
      <c r="I2199" s="3326">
        <v>42094</v>
      </c>
      <c r="J2199" s="3324"/>
    </row>
    <row r="2200" spans="1:12" s="3327" customFormat="1" ht="13.5" customHeight="1">
      <c r="A2200" s="3354"/>
      <c r="B2200" s="3336" t="s">
        <v>4516</v>
      </c>
      <c r="C2200" s="3336" t="s">
        <v>4651</v>
      </c>
      <c r="D2200" s="3336" t="s">
        <v>4652</v>
      </c>
      <c r="E2200" s="3339">
        <v>173.9</v>
      </c>
      <c r="F2200" s="3339">
        <v>255</v>
      </c>
      <c r="G2200" s="3340">
        <v>42095</v>
      </c>
      <c r="H2200" s="3340">
        <v>42459</v>
      </c>
      <c r="I2200" s="3340">
        <v>42460</v>
      </c>
      <c r="J2200" s="3324"/>
    </row>
    <row r="2201" spans="1:12" s="3327" customFormat="1" ht="13.5" customHeight="1">
      <c r="A2201" s="3354"/>
      <c r="B2201" s="3336" t="s">
        <v>4516</v>
      </c>
      <c r="C2201" s="3336" t="s">
        <v>4651</v>
      </c>
      <c r="D2201" s="3336" t="s">
        <v>4652</v>
      </c>
      <c r="E2201" s="3339">
        <v>173.9</v>
      </c>
      <c r="F2201" s="3339">
        <v>260</v>
      </c>
      <c r="G2201" s="3340">
        <v>42461</v>
      </c>
      <c r="H2201" s="3340">
        <v>42551</v>
      </c>
      <c r="I2201" s="3340">
        <v>42825</v>
      </c>
      <c r="J2201" s="3324"/>
    </row>
    <row r="2202" spans="1:12" s="3327" customFormat="1" ht="13.5" customHeight="1">
      <c r="A2202" s="3354"/>
      <c r="B2202" s="3336" t="s">
        <v>4516</v>
      </c>
      <c r="C2202" s="3336" t="s">
        <v>4653</v>
      </c>
      <c r="D2202" s="3336" t="s">
        <v>4652</v>
      </c>
      <c r="E2202" s="3339">
        <v>173.9</v>
      </c>
      <c r="F2202" s="3339">
        <v>260</v>
      </c>
      <c r="G2202" s="3340">
        <v>42552</v>
      </c>
      <c r="H2202" s="3340">
        <v>42824</v>
      </c>
      <c r="I2202" s="3340">
        <v>42825</v>
      </c>
      <c r="J2202" s="3324"/>
    </row>
    <row r="2203" spans="1:12" s="3327" customFormat="1" ht="13.5" customHeight="1">
      <c r="A2203" s="3354" t="s">
        <v>4522</v>
      </c>
      <c r="B2203" s="3331" t="s">
        <v>4516</v>
      </c>
      <c r="C2203" s="3331" t="s">
        <v>4653</v>
      </c>
      <c r="D2203" s="3331" t="s">
        <v>4652</v>
      </c>
      <c r="E2203" s="3332">
        <v>173.9</v>
      </c>
      <c r="F2203" s="3332">
        <v>270</v>
      </c>
      <c r="G2203" s="3333">
        <v>42826</v>
      </c>
      <c r="H2203" s="3333">
        <v>43130</v>
      </c>
      <c r="I2203" s="3333">
        <v>43190</v>
      </c>
      <c r="J2203" s="3324"/>
      <c r="K2203" s="3334">
        <f t="shared" ref="K2203" si="351">E2203</f>
        <v>173.9</v>
      </c>
      <c r="L2203" s="3334">
        <f t="shared" ref="L2203" si="352">F2203/30</f>
        <v>9</v>
      </c>
    </row>
    <row r="2204" spans="1:12" s="3327" customFormat="1" ht="13.5" customHeight="1">
      <c r="A2204" s="3355"/>
      <c r="B2204" s="3336" t="s">
        <v>4516</v>
      </c>
      <c r="C2204" s="3336" t="s">
        <v>4654</v>
      </c>
      <c r="D2204" s="3336" t="s">
        <v>4655</v>
      </c>
      <c r="E2204" s="3339">
        <v>191.2</v>
      </c>
      <c r="F2204" s="3339">
        <v>240</v>
      </c>
      <c r="G2204" s="3340">
        <v>41000</v>
      </c>
      <c r="H2204" s="3340">
        <v>41363</v>
      </c>
      <c r="I2204" s="3340">
        <v>41364</v>
      </c>
      <c r="J2204" s="3336"/>
    </row>
    <row r="2205" spans="1:12" s="3327" customFormat="1" ht="13.5" customHeight="1">
      <c r="A2205" s="3354"/>
      <c r="B2205" s="3324" t="s">
        <v>4516</v>
      </c>
      <c r="C2205" s="3324" t="s">
        <v>4654</v>
      </c>
      <c r="D2205" s="3324" t="s">
        <v>4599</v>
      </c>
      <c r="E2205" s="3325">
        <v>191.2</v>
      </c>
      <c r="F2205" s="3325">
        <v>240</v>
      </c>
      <c r="G2205" s="3326">
        <v>41365</v>
      </c>
      <c r="H2205" s="3326">
        <v>41728</v>
      </c>
      <c r="I2205" s="3326">
        <v>41729</v>
      </c>
      <c r="J2205" s="3324"/>
    </row>
    <row r="2206" spans="1:12" s="3327" customFormat="1" ht="13.5" customHeight="1">
      <c r="A2206" s="3354"/>
      <c r="B2206" s="3324" t="s">
        <v>4516</v>
      </c>
      <c r="C2206" s="3324" t="s">
        <v>4654</v>
      </c>
      <c r="D2206" s="3324" t="s">
        <v>4599</v>
      </c>
      <c r="E2206" s="3325">
        <v>191.2</v>
      </c>
      <c r="F2206" s="3325">
        <v>250</v>
      </c>
      <c r="G2206" s="3326">
        <v>41730</v>
      </c>
      <c r="H2206" s="3326">
        <v>42093</v>
      </c>
      <c r="I2206" s="3326">
        <v>42094</v>
      </c>
      <c r="J2206" s="3324"/>
    </row>
    <row r="2207" spans="1:12" s="3327" customFormat="1" ht="13.5" customHeight="1">
      <c r="A2207" s="3354"/>
      <c r="B2207" s="3336" t="s">
        <v>4516</v>
      </c>
      <c r="C2207" s="3336" t="s">
        <v>4654</v>
      </c>
      <c r="D2207" s="3336" t="s">
        <v>4599</v>
      </c>
      <c r="E2207" s="3339">
        <v>191.2</v>
      </c>
      <c r="F2207" s="3339">
        <v>255</v>
      </c>
      <c r="G2207" s="3340">
        <v>42095</v>
      </c>
      <c r="H2207" s="3340">
        <v>42459</v>
      </c>
      <c r="I2207" s="3340">
        <v>42460</v>
      </c>
      <c r="J2207" s="3324"/>
    </row>
    <row r="2208" spans="1:12" s="3327" customFormat="1" ht="13.5" customHeight="1">
      <c r="A2208" s="3354"/>
      <c r="B2208" s="3336" t="s">
        <v>4516</v>
      </c>
      <c r="C2208" s="3336" t="s">
        <v>4654</v>
      </c>
      <c r="D2208" s="3336" t="s">
        <v>4599</v>
      </c>
      <c r="E2208" s="3338">
        <v>193.8</v>
      </c>
      <c r="F2208" s="3339">
        <v>255</v>
      </c>
      <c r="G2208" s="3340">
        <v>42461</v>
      </c>
      <c r="H2208" s="3340">
        <v>42824</v>
      </c>
      <c r="I2208" s="3340">
        <v>42825</v>
      </c>
      <c r="J2208" s="3324"/>
    </row>
    <row r="2209" spans="1:12" s="3327" customFormat="1" ht="13.5" customHeight="1">
      <c r="A2209" s="3354" t="s">
        <v>4522</v>
      </c>
      <c r="B2209" s="3331" t="s">
        <v>4516</v>
      </c>
      <c r="C2209" s="3331" t="s">
        <v>4654</v>
      </c>
      <c r="D2209" s="3331" t="s">
        <v>4599</v>
      </c>
      <c r="E2209" s="3332">
        <v>193.8</v>
      </c>
      <c r="F2209" s="3332">
        <v>279</v>
      </c>
      <c r="G2209" s="3333">
        <v>42826</v>
      </c>
      <c r="H2209" s="3333">
        <v>43130</v>
      </c>
      <c r="I2209" s="3333">
        <v>43190</v>
      </c>
      <c r="J2209" s="3324"/>
      <c r="K2209" s="3334">
        <f t="shared" ref="K2209" si="353">E2209</f>
        <v>193.8</v>
      </c>
      <c r="L2209" s="3334">
        <f t="shared" ref="L2209" si="354">F2209/30</f>
        <v>9.3000000000000007</v>
      </c>
    </row>
    <row r="2210" spans="1:12" s="3327" customFormat="1" ht="13.5" customHeight="1">
      <c r="A2210" s="3355"/>
      <c r="B2210" s="3336" t="s">
        <v>4516</v>
      </c>
      <c r="C2210" s="3336" t="s">
        <v>4656</v>
      </c>
      <c r="D2210" s="3336" t="s">
        <v>4657</v>
      </c>
      <c r="E2210" s="3339">
        <v>72.8</v>
      </c>
      <c r="F2210" s="3339">
        <v>270</v>
      </c>
      <c r="G2210" s="3340">
        <v>40848</v>
      </c>
      <c r="H2210" s="3340">
        <v>40998</v>
      </c>
      <c r="I2210" s="3340">
        <v>40998</v>
      </c>
      <c r="J2210" s="3336"/>
    </row>
    <row r="2211" spans="1:12" s="3327" customFormat="1" ht="13.5" customHeight="1">
      <c r="A2211" s="3355"/>
      <c r="B2211" s="3336" t="s">
        <v>4516</v>
      </c>
      <c r="C2211" s="3336" t="s">
        <v>4658</v>
      </c>
      <c r="D2211" s="3336" t="s">
        <v>4659</v>
      </c>
      <c r="E2211" s="3339">
        <v>139.30000000000001</v>
      </c>
      <c r="F2211" s="3339">
        <v>270</v>
      </c>
      <c r="G2211" s="3340">
        <v>41000</v>
      </c>
      <c r="H2211" s="3340">
        <v>41363</v>
      </c>
      <c r="I2211" s="3340">
        <v>41364</v>
      </c>
      <c r="J2211" s="3336"/>
    </row>
    <row r="2212" spans="1:12" s="3327" customFormat="1" ht="13.5" customHeight="1">
      <c r="A2212" s="3355"/>
      <c r="B2212" s="3336" t="s">
        <v>4516</v>
      </c>
      <c r="C2212" s="3336" t="s">
        <v>4660</v>
      </c>
      <c r="D2212" s="3336" t="s">
        <v>4661</v>
      </c>
      <c r="E2212" s="3339">
        <v>260.8</v>
      </c>
      <c r="F2212" s="3339">
        <v>240</v>
      </c>
      <c r="G2212" s="3340">
        <v>41000</v>
      </c>
      <c r="H2212" s="3340">
        <v>41363</v>
      </c>
      <c r="I2212" s="3340">
        <v>41364</v>
      </c>
      <c r="J2212" s="3336"/>
    </row>
    <row r="2213" spans="1:12" s="3327" customFormat="1" ht="13.5" customHeight="1">
      <c r="A2213" s="3354"/>
      <c r="B2213" s="3324" t="s">
        <v>4516</v>
      </c>
      <c r="C2213" s="3324" t="s">
        <v>4660</v>
      </c>
      <c r="D2213" s="3324" t="s">
        <v>4662</v>
      </c>
      <c r="E2213" s="3325">
        <v>244.2</v>
      </c>
      <c r="F2213" s="3325">
        <v>250</v>
      </c>
      <c r="G2213" s="3326">
        <v>41730</v>
      </c>
      <c r="H2213" s="3326">
        <v>42093</v>
      </c>
      <c r="I2213" s="3326">
        <v>42094</v>
      </c>
      <c r="J2213" s="3324"/>
    </row>
    <row r="2214" spans="1:12" s="3327" customFormat="1" ht="13.5" customHeight="1">
      <c r="A2214" s="3354"/>
      <c r="B2214" s="3336" t="s">
        <v>4516</v>
      </c>
      <c r="C2214" s="3336" t="s">
        <v>4660</v>
      </c>
      <c r="D2214" s="3336" t="s">
        <v>4662</v>
      </c>
      <c r="E2214" s="3339">
        <v>244.2</v>
      </c>
      <c r="F2214" s="3339">
        <v>250</v>
      </c>
      <c r="G2214" s="3340">
        <v>42095</v>
      </c>
      <c r="H2214" s="3340">
        <v>42459</v>
      </c>
      <c r="I2214" s="3340">
        <v>42460</v>
      </c>
      <c r="J2214" s="3324"/>
    </row>
    <row r="2215" spans="1:12" s="3327" customFormat="1" ht="13.5" customHeight="1">
      <c r="A2215" s="3354"/>
      <c r="B2215" s="3336" t="s">
        <v>4516</v>
      </c>
      <c r="C2215" s="3336" t="s">
        <v>4660</v>
      </c>
      <c r="D2215" s="3336" t="s">
        <v>4663</v>
      </c>
      <c r="E2215" s="3338">
        <v>198.37</v>
      </c>
      <c r="F2215" s="3339">
        <v>250</v>
      </c>
      <c r="G2215" s="3340">
        <v>42461</v>
      </c>
      <c r="H2215" s="3340">
        <v>42824</v>
      </c>
      <c r="I2215" s="3340">
        <v>42825</v>
      </c>
      <c r="J2215" s="3324"/>
    </row>
    <row r="2216" spans="1:12" s="3327" customFormat="1" ht="13.5" customHeight="1">
      <c r="A2216" s="3354"/>
      <c r="B2216" s="3331" t="s">
        <v>4516</v>
      </c>
      <c r="C2216" s="3331" t="s">
        <v>4660</v>
      </c>
      <c r="D2216" s="3331" t="s">
        <v>4663</v>
      </c>
      <c r="E2216" s="3332">
        <v>198.37</v>
      </c>
      <c r="F2216" s="3332">
        <v>171</v>
      </c>
      <c r="G2216" s="3333">
        <v>42826</v>
      </c>
      <c r="H2216" s="3333">
        <v>42855</v>
      </c>
      <c r="I2216" s="3333">
        <v>43190</v>
      </c>
      <c r="J2216" s="3324"/>
      <c r="K2216" s="3334">
        <f t="shared" ref="K2216:K2217" si="355">E2216</f>
        <v>198.37</v>
      </c>
      <c r="L2216" s="3334">
        <f t="shared" ref="L2216:L2217" si="356">F2216/30</f>
        <v>5.7</v>
      </c>
    </row>
    <row r="2217" spans="1:12" s="3327" customFormat="1" ht="13.5" customHeight="1">
      <c r="A2217" s="3354" t="s">
        <v>4522</v>
      </c>
      <c r="B2217" s="3331" t="s">
        <v>4516</v>
      </c>
      <c r="C2217" s="3331" t="s">
        <v>4571</v>
      </c>
      <c r="D2217" s="3331" t="s">
        <v>4663</v>
      </c>
      <c r="E2217" s="3332">
        <v>198.37</v>
      </c>
      <c r="F2217" s="3332">
        <v>235</v>
      </c>
      <c r="G2217" s="3333">
        <v>42856</v>
      </c>
      <c r="H2217" s="3333">
        <v>43130</v>
      </c>
      <c r="I2217" s="3333">
        <v>43190</v>
      </c>
      <c r="J2217" s="3324"/>
      <c r="K2217" s="3334">
        <f t="shared" si="355"/>
        <v>198.37</v>
      </c>
      <c r="L2217" s="3334">
        <f t="shared" si="356"/>
        <v>7.833333333333333</v>
      </c>
    </row>
    <row r="2218" spans="1:12" s="3327" customFormat="1" ht="13.5" customHeight="1">
      <c r="A2218" s="3354"/>
      <c r="B2218" s="3336" t="s">
        <v>4516</v>
      </c>
      <c r="C2218" s="3336" t="s">
        <v>4181</v>
      </c>
      <c r="D2218" s="3336" t="s">
        <v>4664</v>
      </c>
      <c r="E2218" s="3338">
        <v>73.59</v>
      </c>
      <c r="F2218" s="3339">
        <v>250</v>
      </c>
      <c r="G2218" s="3340">
        <v>42461</v>
      </c>
      <c r="H2218" s="3340">
        <v>42824</v>
      </c>
      <c r="I2218" s="3340">
        <v>42825</v>
      </c>
      <c r="J2218" s="3324"/>
    </row>
    <row r="2219" spans="1:12" s="3327" customFormat="1" ht="13.5" customHeight="1">
      <c r="A2219" s="3354" t="s">
        <v>4522</v>
      </c>
      <c r="B2219" s="3331" t="s">
        <v>4516</v>
      </c>
      <c r="C2219" s="3331" t="s">
        <v>4181</v>
      </c>
      <c r="D2219" s="3331" t="s">
        <v>4664</v>
      </c>
      <c r="E2219" s="3332">
        <v>73.59</v>
      </c>
      <c r="F2219" s="3332">
        <v>270</v>
      </c>
      <c r="G2219" s="3333">
        <v>42826</v>
      </c>
      <c r="H2219" s="3333">
        <v>43130</v>
      </c>
      <c r="I2219" s="3333">
        <v>43190</v>
      </c>
      <c r="J2219" s="3324"/>
      <c r="K2219" s="3334">
        <f t="shared" ref="K2219" si="357">E2219</f>
        <v>73.59</v>
      </c>
      <c r="L2219" s="3334">
        <f t="shared" ref="L2219" si="358">F2219/30</f>
        <v>9</v>
      </c>
    </row>
    <row r="2220" spans="1:12" s="3327" customFormat="1" ht="13.5" customHeight="1">
      <c r="A2220" s="3355"/>
      <c r="B2220" s="3336" t="s">
        <v>4516</v>
      </c>
      <c r="C2220" s="3336" t="s">
        <v>4665</v>
      </c>
      <c r="D2220" s="3336" t="s">
        <v>4666</v>
      </c>
      <c r="E2220" s="3339">
        <v>175.1</v>
      </c>
      <c r="F2220" s="3339">
        <v>290</v>
      </c>
      <c r="G2220" s="3340">
        <v>41000</v>
      </c>
      <c r="H2220" s="3340">
        <v>41363</v>
      </c>
      <c r="I2220" s="3340">
        <v>41364</v>
      </c>
      <c r="J2220" s="3336"/>
    </row>
    <row r="2221" spans="1:12" s="3327" customFormat="1" ht="13.5" customHeight="1">
      <c r="A2221" s="3354"/>
      <c r="B2221" s="3324" t="s">
        <v>4516</v>
      </c>
      <c r="C2221" s="3324" t="s">
        <v>4665</v>
      </c>
      <c r="D2221" s="3324" t="s">
        <v>4667</v>
      </c>
      <c r="E2221" s="3325">
        <v>175.1</v>
      </c>
      <c r="F2221" s="3325">
        <v>295</v>
      </c>
      <c r="G2221" s="3326">
        <v>41730</v>
      </c>
      <c r="H2221" s="3326">
        <v>41850</v>
      </c>
      <c r="I2221" s="3326">
        <v>42094</v>
      </c>
      <c r="J2221" s="3324"/>
    </row>
    <row r="2222" spans="1:12" s="3327" customFormat="1" ht="13.5" customHeight="1">
      <c r="A2222" s="3354"/>
      <c r="B2222" s="3324" t="s">
        <v>4516</v>
      </c>
      <c r="C2222" s="3324" t="s">
        <v>4665</v>
      </c>
      <c r="D2222" s="3324" t="s">
        <v>4667</v>
      </c>
      <c r="E2222" s="3325">
        <v>175.1</v>
      </c>
      <c r="F2222" s="3325">
        <v>295</v>
      </c>
      <c r="G2222" s="3326">
        <v>41852</v>
      </c>
      <c r="H2222" s="3326">
        <v>42093</v>
      </c>
      <c r="I2222" s="3326">
        <v>42094</v>
      </c>
      <c r="J2222" s="3324"/>
    </row>
    <row r="2223" spans="1:12" s="3327" customFormat="1" ht="13.5" customHeight="1">
      <c r="A2223" s="3354"/>
      <c r="B2223" s="3336" t="s">
        <v>4516</v>
      </c>
      <c r="C2223" s="3336" t="s">
        <v>4665</v>
      </c>
      <c r="D2223" s="3336" t="s">
        <v>4667</v>
      </c>
      <c r="E2223" s="3339">
        <v>175.1</v>
      </c>
      <c r="F2223" s="3339">
        <v>295</v>
      </c>
      <c r="G2223" s="3340">
        <v>42095</v>
      </c>
      <c r="H2223" s="3340">
        <v>42231</v>
      </c>
      <c r="I2223" s="3340">
        <v>42460</v>
      </c>
      <c r="J2223" s="3324"/>
    </row>
    <row r="2224" spans="1:12" s="3327" customFormat="1" ht="13.5" customHeight="1">
      <c r="A2224" s="3354"/>
      <c r="B2224" s="3336" t="s">
        <v>4516</v>
      </c>
      <c r="C2224" s="3336" t="s">
        <v>4668</v>
      </c>
      <c r="D2224" s="3336" t="s">
        <v>4667</v>
      </c>
      <c r="E2224" s="3339">
        <v>175.1</v>
      </c>
      <c r="F2224" s="3339">
        <v>295</v>
      </c>
      <c r="G2224" s="3340">
        <v>42232</v>
      </c>
      <c r="H2224" s="3340">
        <v>42459</v>
      </c>
      <c r="I2224" s="3340">
        <v>42460</v>
      </c>
      <c r="J2224" s="3324"/>
    </row>
    <row r="2225" spans="1:12" s="3327" customFormat="1" ht="13.5" customHeight="1">
      <c r="A2225" s="3354"/>
      <c r="B2225" s="3336" t="s">
        <v>4516</v>
      </c>
      <c r="C2225" s="3336" t="s">
        <v>4654</v>
      </c>
      <c r="D2225" s="3336" t="s">
        <v>4667</v>
      </c>
      <c r="E2225" s="3339">
        <v>175.1</v>
      </c>
      <c r="F2225" s="3339">
        <v>295</v>
      </c>
      <c r="G2225" s="3340">
        <v>42461</v>
      </c>
      <c r="H2225" s="3340">
        <v>42824</v>
      </c>
      <c r="I2225" s="3340">
        <v>42825</v>
      </c>
      <c r="J2225" s="3324"/>
    </row>
    <row r="2226" spans="1:12" s="3327" customFormat="1" ht="13.5" customHeight="1">
      <c r="A2226" s="3354" t="s">
        <v>4522</v>
      </c>
      <c r="B2226" s="3331" t="s">
        <v>4516</v>
      </c>
      <c r="C2226" s="3331" t="s">
        <v>4654</v>
      </c>
      <c r="D2226" s="3331" t="s">
        <v>4667</v>
      </c>
      <c r="E2226" s="3332">
        <v>175.1</v>
      </c>
      <c r="F2226" s="3332">
        <v>198</v>
      </c>
      <c r="G2226" s="3333">
        <v>42826</v>
      </c>
      <c r="H2226" s="3333">
        <v>43130</v>
      </c>
      <c r="I2226" s="3333">
        <v>43190</v>
      </c>
      <c r="J2226" s="3324"/>
      <c r="K2226" s="3334">
        <f t="shared" ref="K2226" si="359">E2226</f>
        <v>175.1</v>
      </c>
      <c r="L2226" s="3334">
        <f t="shared" ref="L2226" si="360">F2226/30</f>
        <v>6.6</v>
      </c>
    </row>
    <row r="2227" spans="1:12" s="3327" customFormat="1" ht="13.5" customHeight="1">
      <c r="A2227" s="3355"/>
      <c r="B2227" s="3336" t="s">
        <v>4516</v>
      </c>
      <c r="C2227" s="3336" t="s">
        <v>4669</v>
      </c>
      <c r="D2227" s="3336" t="s">
        <v>4670</v>
      </c>
      <c r="E2227" s="3339">
        <v>395.7</v>
      </c>
      <c r="F2227" s="3339">
        <v>270</v>
      </c>
      <c r="G2227" s="3340">
        <v>41000</v>
      </c>
      <c r="H2227" s="3340">
        <v>41363</v>
      </c>
      <c r="I2227" s="3340">
        <v>41364</v>
      </c>
      <c r="J2227" s="3336"/>
    </row>
    <row r="2228" spans="1:12" s="3327" customFormat="1" ht="13.5" customHeight="1">
      <c r="A2228" s="3354"/>
      <c r="B2228" s="3324" t="s">
        <v>4516</v>
      </c>
      <c r="C2228" s="3324" t="s">
        <v>4669</v>
      </c>
      <c r="D2228" s="3324" t="s">
        <v>4671</v>
      </c>
      <c r="E2228" s="3325">
        <v>390.7</v>
      </c>
      <c r="F2228" s="3325">
        <v>320</v>
      </c>
      <c r="G2228" s="3326">
        <v>41730</v>
      </c>
      <c r="H2228" s="3326">
        <v>41820</v>
      </c>
      <c r="I2228" s="3326">
        <v>42094</v>
      </c>
      <c r="J2228" s="3324"/>
    </row>
    <row r="2229" spans="1:12" s="3327" customFormat="1" ht="13.5" customHeight="1">
      <c r="A2229" s="3354"/>
      <c r="B2229" s="3324" t="s">
        <v>4516</v>
      </c>
      <c r="C2229" s="3324" t="s">
        <v>4669</v>
      </c>
      <c r="D2229" s="3324" t="s">
        <v>4672</v>
      </c>
      <c r="E2229" s="3325">
        <v>171.4</v>
      </c>
      <c r="F2229" s="3325">
        <v>320</v>
      </c>
      <c r="G2229" s="3326">
        <v>41821</v>
      </c>
      <c r="H2229" s="3326">
        <v>42093</v>
      </c>
      <c r="I2229" s="3326">
        <v>42094</v>
      </c>
      <c r="J2229" s="3324"/>
    </row>
    <row r="2230" spans="1:12" s="3327" customFormat="1" ht="13.5" customHeight="1">
      <c r="A2230" s="3354"/>
      <c r="B2230" s="3404" t="s">
        <v>4516</v>
      </c>
      <c r="C2230" s="3351" t="s">
        <v>4673</v>
      </c>
      <c r="D2230" s="3351" t="s">
        <v>4672</v>
      </c>
      <c r="E2230" s="3352">
        <v>171.4</v>
      </c>
      <c r="F2230" s="3405">
        <v>305</v>
      </c>
      <c r="G2230" s="3353">
        <v>42109</v>
      </c>
      <c r="H2230" s="3353">
        <v>42117</v>
      </c>
      <c r="I2230" s="3353">
        <v>42185</v>
      </c>
      <c r="J2230" s="3324"/>
    </row>
    <row r="2231" spans="1:12" s="3327" customFormat="1" ht="13.5" customHeight="1">
      <c r="A2231" s="3354"/>
      <c r="B2231" s="3350" t="s">
        <v>4516</v>
      </c>
      <c r="C2231" s="3351" t="s">
        <v>4674</v>
      </c>
      <c r="D2231" s="3351" t="s">
        <v>4672</v>
      </c>
      <c r="E2231" s="3352">
        <v>171.4</v>
      </c>
      <c r="F2231" s="3405">
        <v>305</v>
      </c>
      <c r="G2231" s="3353">
        <v>42118</v>
      </c>
      <c r="H2231" s="3353">
        <v>42128</v>
      </c>
      <c r="I2231" s="3353">
        <v>42185</v>
      </c>
      <c r="J2231" s="3324"/>
    </row>
    <row r="2232" spans="1:12" s="3327" customFormat="1" ht="13.5" customHeight="1">
      <c r="A2232" s="3354"/>
      <c r="B2232" s="3350" t="s">
        <v>4516</v>
      </c>
      <c r="C2232" s="3351" t="s">
        <v>4674</v>
      </c>
      <c r="D2232" s="3351" t="s">
        <v>4672</v>
      </c>
      <c r="E2232" s="3352">
        <v>171.4</v>
      </c>
      <c r="F2232" s="3405">
        <v>305</v>
      </c>
      <c r="G2232" s="3353">
        <v>42129</v>
      </c>
      <c r="H2232" s="3353">
        <v>42135</v>
      </c>
      <c r="I2232" s="3353">
        <v>42369</v>
      </c>
      <c r="J2232" s="3324"/>
    </row>
    <row r="2233" spans="1:12" s="3327" customFormat="1" ht="13.5" customHeight="1">
      <c r="A2233" s="3354"/>
      <c r="B2233" s="3350" t="s">
        <v>4516</v>
      </c>
      <c r="C2233" s="3351" t="s">
        <v>4674</v>
      </c>
      <c r="D2233" s="3351" t="s">
        <v>4672</v>
      </c>
      <c r="E2233" s="3352">
        <v>171.4</v>
      </c>
      <c r="F2233" s="3405">
        <v>305</v>
      </c>
      <c r="G2233" s="3353">
        <v>42136</v>
      </c>
      <c r="H2233" s="3353">
        <v>42143</v>
      </c>
      <c r="I2233" s="3353">
        <v>42369</v>
      </c>
      <c r="J2233" s="3324"/>
    </row>
    <row r="2234" spans="1:12" s="3327" customFormat="1" ht="13.5" customHeight="1">
      <c r="A2234" s="3354"/>
      <c r="B2234" s="3350" t="s">
        <v>4516</v>
      </c>
      <c r="C2234" s="3351" t="s">
        <v>4674</v>
      </c>
      <c r="D2234" s="3351" t="s">
        <v>4672</v>
      </c>
      <c r="E2234" s="3352">
        <v>171.4</v>
      </c>
      <c r="F2234" s="3405">
        <v>305</v>
      </c>
      <c r="G2234" s="3353">
        <v>42144</v>
      </c>
      <c r="H2234" s="3353">
        <v>42149</v>
      </c>
      <c r="I2234" s="3353">
        <v>42369</v>
      </c>
      <c r="J2234" s="3324"/>
    </row>
    <row r="2235" spans="1:12" s="3327" customFormat="1" ht="13.5" customHeight="1">
      <c r="A2235" s="3354"/>
      <c r="B2235" s="3350" t="s">
        <v>4516</v>
      </c>
      <c r="C2235" s="3351" t="s">
        <v>4674</v>
      </c>
      <c r="D2235" s="3351" t="s">
        <v>4672</v>
      </c>
      <c r="E2235" s="3352">
        <v>171.4</v>
      </c>
      <c r="F2235" s="3405">
        <v>305</v>
      </c>
      <c r="G2235" s="3353">
        <v>42150</v>
      </c>
      <c r="H2235" s="3353">
        <v>42185</v>
      </c>
      <c r="I2235" s="3353">
        <v>42369</v>
      </c>
      <c r="J2235" s="3324"/>
    </row>
    <row r="2236" spans="1:12" s="3327" customFormat="1" ht="13.5" customHeight="1">
      <c r="A2236" s="3354"/>
      <c r="B2236" s="3336" t="s">
        <v>4516</v>
      </c>
      <c r="C2236" s="3336" t="s">
        <v>4675</v>
      </c>
      <c r="D2236" s="3336" t="s">
        <v>4672</v>
      </c>
      <c r="E2236" s="3339">
        <v>171.4</v>
      </c>
      <c r="F2236" s="3374">
        <v>305</v>
      </c>
      <c r="G2236" s="3340">
        <v>42186</v>
      </c>
      <c r="H2236" s="3340">
        <v>42368</v>
      </c>
      <c r="I2236" s="3340">
        <v>42369</v>
      </c>
      <c r="J2236" s="3324"/>
    </row>
    <row r="2237" spans="1:12" s="3327" customFormat="1" ht="13.5" customHeight="1">
      <c r="A2237" s="3354"/>
      <c r="B2237" s="3336" t="s">
        <v>4516</v>
      </c>
      <c r="C2237" s="3336" t="s">
        <v>4675</v>
      </c>
      <c r="D2237" s="3336" t="s">
        <v>4672</v>
      </c>
      <c r="E2237" s="3338">
        <v>175.6</v>
      </c>
      <c r="F2237" s="3374">
        <v>305</v>
      </c>
      <c r="G2237" s="3340">
        <v>42370</v>
      </c>
      <c r="H2237" s="3340">
        <v>42459</v>
      </c>
      <c r="I2237" s="3340">
        <v>42460</v>
      </c>
      <c r="J2237" s="3324"/>
    </row>
    <row r="2238" spans="1:12" s="3327" customFormat="1" ht="13.5" customHeight="1">
      <c r="A2238" s="3354"/>
      <c r="B2238" s="3336" t="s">
        <v>4516</v>
      </c>
      <c r="C2238" s="3336" t="s">
        <v>4654</v>
      </c>
      <c r="D2238" s="3336" t="s">
        <v>4672</v>
      </c>
      <c r="E2238" s="3338">
        <v>175.61</v>
      </c>
      <c r="F2238" s="3374">
        <v>305</v>
      </c>
      <c r="G2238" s="3340">
        <v>42461</v>
      </c>
      <c r="H2238" s="3340">
        <v>42824</v>
      </c>
      <c r="I2238" s="3340">
        <v>42825</v>
      </c>
      <c r="J2238" s="3324"/>
    </row>
    <row r="2239" spans="1:12" s="3327" customFormat="1" ht="13.5" customHeight="1">
      <c r="A2239" s="3354" t="s">
        <v>4522</v>
      </c>
      <c r="B2239" s="3331" t="s">
        <v>4516</v>
      </c>
      <c r="C2239" s="3331" t="s">
        <v>4654</v>
      </c>
      <c r="D2239" s="3331" t="s">
        <v>4672</v>
      </c>
      <c r="E2239" s="3347">
        <v>175.61</v>
      </c>
      <c r="F2239" s="3406">
        <v>198</v>
      </c>
      <c r="G2239" s="3333">
        <v>42826</v>
      </c>
      <c r="H2239" s="3333">
        <v>43130</v>
      </c>
      <c r="I2239" s="3333">
        <v>43190</v>
      </c>
      <c r="J2239" s="3324"/>
      <c r="K2239" s="3334">
        <f t="shared" ref="K2239" si="361">E2239</f>
        <v>175.61</v>
      </c>
      <c r="L2239" s="3334">
        <f t="shared" ref="L2239" si="362">F2239/30</f>
        <v>6.6</v>
      </c>
    </row>
    <row r="2240" spans="1:12" s="3327" customFormat="1" ht="13.5" customHeight="1">
      <c r="A2240" s="3354"/>
      <c r="B2240" s="3336" t="s">
        <v>4516</v>
      </c>
      <c r="C2240" s="3336" t="s">
        <v>4669</v>
      </c>
      <c r="D2240" s="3336" t="s">
        <v>4676</v>
      </c>
      <c r="E2240" s="3339">
        <v>219.29999999999998</v>
      </c>
      <c r="F2240" s="3339">
        <v>320</v>
      </c>
      <c r="G2240" s="3340">
        <v>41821</v>
      </c>
      <c r="H2240" s="3340">
        <v>42093</v>
      </c>
      <c r="I2240" s="3340">
        <v>42094</v>
      </c>
      <c r="J2240" s="3324"/>
    </row>
    <row r="2241" spans="1:12" s="3327" customFormat="1" ht="13.5" customHeight="1">
      <c r="A2241" s="3354"/>
      <c r="B2241" s="3336" t="s">
        <v>4516</v>
      </c>
      <c r="C2241" s="3336" t="s">
        <v>4669</v>
      </c>
      <c r="D2241" s="3336" t="s">
        <v>4676</v>
      </c>
      <c r="E2241" s="3339">
        <v>219.3</v>
      </c>
      <c r="F2241" s="3339">
        <v>320</v>
      </c>
      <c r="G2241" s="3340">
        <v>42095</v>
      </c>
      <c r="H2241" s="3340">
        <v>42096</v>
      </c>
      <c r="I2241" s="3340">
        <v>42185</v>
      </c>
      <c r="J2241" s="3324"/>
    </row>
    <row r="2242" spans="1:12" s="3327" customFormat="1" ht="13.5" customHeight="1">
      <c r="A2242" s="3354"/>
      <c r="B2242" s="3336" t="s">
        <v>4516</v>
      </c>
      <c r="C2242" s="3336" t="s">
        <v>4677</v>
      </c>
      <c r="D2242" s="3336" t="s">
        <v>4676</v>
      </c>
      <c r="E2242" s="3339">
        <v>219.3</v>
      </c>
      <c r="F2242" s="3339">
        <v>320</v>
      </c>
      <c r="G2242" s="3340">
        <v>42255</v>
      </c>
      <c r="H2242" s="3340">
        <v>42368</v>
      </c>
      <c r="I2242" s="3340">
        <v>42369</v>
      </c>
      <c r="J2242" s="3324"/>
    </row>
    <row r="2243" spans="1:12" s="3327" customFormat="1" ht="13.5" customHeight="1">
      <c r="A2243" s="3354"/>
      <c r="B2243" s="3336" t="s">
        <v>4516</v>
      </c>
      <c r="C2243" s="3336" t="s">
        <v>4677</v>
      </c>
      <c r="D2243" s="3336" t="s">
        <v>4676</v>
      </c>
      <c r="E2243" s="3338">
        <v>221.49</v>
      </c>
      <c r="F2243" s="3339">
        <v>320</v>
      </c>
      <c r="G2243" s="3340">
        <v>42370</v>
      </c>
      <c r="H2243" s="3340">
        <v>42459</v>
      </c>
      <c r="I2243" s="3340">
        <v>42460</v>
      </c>
      <c r="J2243" s="3324"/>
    </row>
    <row r="2244" spans="1:12" s="3327" customFormat="1" ht="13.5" customHeight="1">
      <c r="A2244" s="3354"/>
      <c r="B2244" s="3336" t="s">
        <v>4516</v>
      </c>
      <c r="C2244" s="3336" t="s">
        <v>4678</v>
      </c>
      <c r="D2244" s="3336" t="s">
        <v>4676</v>
      </c>
      <c r="E2244" s="3339">
        <v>221.49</v>
      </c>
      <c r="F2244" s="3339">
        <v>280</v>
      </c>
      <c r="G2244" s="3340">
        <v>42461</v>
      </c>
      <c r="H2244" s="3340">
        <v>42794</v>
      </c>
      <c r="I2244" s="3340">
        <v>42825</v>
      </c>
      <c r="J2244" s="3324"/>
    </row>
    <row r="2245" spans="1:12" s="3327" customFormat="1" ht="13.5" customHeight="1">
      <c r="A2245" s="3354"/>
      <c r="B2245" s="3336" t="s">
        <v>4516</v>
      </c>
      <c r="C2245" s="3336" t="s">
        <v>4679</v>
      </c>
      <c r="D2245" s="3336" t="s">
        <v>4676</v>
      </c>
      <c r="E2245" s="3339">
        <v>221.49</v>
      </c>
      <c r="F2245" s="3339">
        <v>260</v>
      </c>
      <c r="G2245" s="3340">
        <v>42795</v>
      </c>
      <c r="H2245" s="3340">
        <v>42824</v>
      </c>
      <c r="I2245" s="3340">
        <v>42824</v>
      </c>
      <c r="J2245" s="3324"/>
    </row>
    <row r="2246" spans="1:12" s="3327" customFormat="1" ht="13.5" customHeight="1">
      <c r="A2246" s="3354"/>
      <c r="B2246" s="3331" t="s">
        <v>4516</v>
      </c>
      <c r="C2246" s="3331" t="s">
        <v>4679</v>
      </c>
      <c r="D2246" s="3331" t="s">
        <v>4676</v>
      </c>
      <c r="E2246" s="3332">
        <v>221.49</v>
      </c>
      <c r="F2246" s="3332">
        <v>260</v>
      </c>
      <c r="G2246" s="3333">
        <v>42826</v>
      </c>
      <c r="H2246" s="3333">
        <v>42855</v>
      </c>
      <c r="I2246" s="3333">
        <v>43190</v>
      </c>
      <c r="J2246" s="3324"/>
      <c r="K2246" s="3334">
        <f t="shared" ref="K2246:K2248" si="363">E2246</f>
        <v>221.49</v>
      </c>
      <c r="L2246" s="3334">
        <f t="shared" ref="L2246:L2248" si="364">F2246/30</f>
        <v>8.6666666666666661</v>
      </c>
    </row>
    <row r="2247" spans="1:12" s="3327" customFormat="1" ht="13.5" customHeight="1">
      <c r="A2247" s="3354" t="s">
        <v>4522</v>
      </c>
      <c r="B2247" s="3331" t="s">
        <v>4516</v>
      </c>
      <c r="C2247" s="3331" t="s">
        <v>4680</v>
      </c>
      <c r="D2247" s="3331" t="s">
        <v>4676</v>
      </c>
      <c r="E2247" s="3332">
        <v>221.49</v>
      </c>
      <c r="F2247" s="3332">
        <v>270</v>
      </c>
      <c r="G2247" s="3333">
        <v>42856</v>
      </c>
      <c r="H2247" s="3333">
        <v>43130</v>
      </c>
      <c r="I2247" s="3333">
        <v>43190</v>
      </c>
      <c r="J2247" s="3324"/>
      <c r="K2247" s="3334">
        <f t="shared" si="363"/>
        <v>221.49</v>
      </c>
      <c r="L2247" s="3334">
        <f t="shared" si="364"/>
        <v>9</v>
      </c>
    </row>
    <row r="2248" spans="1:12" s="3327" customFormat="1" ht="13.5" customHeight="1">
      <c r="A2248" s="3355"/>
      <c r="B2248" s="3336" t="s">
        <v>4516</v>
      </c>
      <c r="C2248" s="3336" t="s">
        <v>4681</v>
      </c>
      <c r="D2248" s="3336" t="s">
        <v>4682</v>
      </c>
      <c r="E2248" s="3339">
        <v>132.80000000000001</v>
      </c>
      <c r="F2248" s="3339">
        <v>270</v>
      </c>
      <c r="G2248" s="3340">
        <v>41000</v>
      </c>
      <c r="H2248" s="3340">
        <v>41363</v>
      </c>
      <c r="I2248" s="3340">
        <v>41364</v>
      </c>
      <c r="J2248" s="3336"/>
      <c r="K2248" s="3334"/>
      <c r="L2248" s="3334"/>
    </row>
    <row r="2249" spans="1:12" s="3327" customFormat="1" ht="13.5" customHeight="1">
      <c r="A2249" s="3354"/>
      <c r="B2249" s="3324" t="s">
        <v>4516</v>
      </c>
      <c r="C2249" s="3324" t="s">
        <v>4681</v>
      </c>
      <c r="D2249" s="3324" t="s">
        <v>4683</v>
      </c>
      <c r="E2249" s="3325">
        <v>132.80000000000001</v>
      </c>
      <c r="F2249" s="3325">
        <v>285</v>
      </c>
      <c r="G2249" s="3326">
        <v>41730</v>
      </c>
      <c r="H2249" s="3326">
        <v>41942</v>
      </c>
      <c r="I2249" s="3326">
        <v>42094</v>
      </c>
      <c r="J2249" s="3324"/>
    </row>
    <row r="2250" spans="1:12" s="3327" customFormat="1" ht="13.5" customHeight="1">
      <c r="A2250" s="3354"/>
      <c r="B2250" s="3324" t="s">
        <v>4516</v>
      </c>
      <c r="C2250" s="3324" t="s">
        <v>4684</v>
      </c>
      <c r="D2250" s="3324" t="s">
        <v>4683</v>
      </c>
      <c r="E2250" s="3325">
        <v>164.5</v>
      </c>
      <c r="F2250" s="3325">
        <v>285</v>
      </c>
      <c r="G2250" s="3326">
        <v>41944</v>
      </c>
      <c r="H2250" s="3326">
        <v>41945</v>
      </c>
      <c r="I2250" s="3326">
        <v>42094</v>
      </c>
      <c r="J2250" s="3324"/>
    </row>
    <row r="2251" spans="1:12" s="3327" customFormat="1" ht="13.5" customHeight="1">
      <c r="A2251" s="3354"/>
      <c r="B2251" s="3324" t="s">
        <v>4516</v>
      </c>
      <c r="C2251" s="3324" t="s">
        <v>4685</v>
      </c>
      <c r="D2251" s="3324" t="s">
        <v>4683</v>
      </c>
      <c r="E2251" s="3325">
        <v>164.5</v>
      </c>
      <c r="F2251" s="3325">
        <v>285</v>
      </c>
      <c r="G2251" s="3326">
        <v>41946</v>
      </c>
      <c r="H2251" s="3326">
        <v>42093</v>
      </c>
      <c r="I2251" s="3326">
        <v>42094</v>
      </c>
      <c r="J2251" s="3324"/>
    </row>
    <row r="2252" spans="1:12" s="3327" customFormat="1" ht="13.5" customHeight="1">
      <c r="A2252" s="3354"/>
      <c r="B2252" s="3336" t="s">
        <v>4516</v>
      </c>
      <c r="C2252" s="3336" t="s">
        <v>4685</v>
      </c>
      <c r="D2252" s="3336" t="s">
        <v>4683</v>
      </c>
      <c r="E2252" s="3339">
        <v>164.5</v>
      </c>
      <c r="F2252" s="3339">
        <v>275</v>
      </c>
      <c r="G2252" s="3340">
        <v>42095</v>
      </c>
      <c r="H2252" s="3340">
        <v>42459</v>
      </c>
      <c r="I2252" s="3340">
        <v>42460</v>
      </c>
      <c r="J2252" s="3324"/>
    </row>
    <row r="2253" spans="1:12" s="3327" customFormat="1" ht="13.5" customHeight="1">
      <c r="A2253" s="3354"/>
      <c r="B2253" s="3336" t="s">
        <v>4516</v>
      </c>
      <c r="C2253" s="3336" t="s">
        <v>4685</v>
      </c>
      <c r="D2253" s="3336" t="s">
        <v>4683</v>
      </c>
      <c r="E2253" s="3338">
        <v>169.7</v>
      </c>
      <c r="F2253" s="3339">
        <v>280</v>
      </c>
      <c r="G2253" s="3340">
        <v>42461</v>
      </c>
      <c r="H2253" s="3340">
        <v>42824</v>
      </c>
      <c r="I2253" s="3340">
        <v>42825</v>
      </c>
      <c r="J2253" s="3324"/>
    </row>
    <row r="2254" spans="1:12" s="3327" customFormat="1" ht="13.5" customHeight="1">
      <c r="A2254" s="3354"/>
      <c r="B2254" s="3331" t="s">
        <v>4516</v>
      </c>
      <c r="C2254" s="3331" t="s">
        <v>4685</v>
      </c>
      <c r="D2254" s="3331" t="s">
        <v>4686</v>
      </c>
      <c r="E2254" s="3332">
        <v>169.7</v>
      </c>
      <c r="F2254" s="3332">
        <v>285</v>
      </c>
      <c r="G2254" s="3333">
        <v>42826</v>
      </c>
      <c r="H2254" s="3333">
        <v>42946</v>
      </c>
      <c r="I2254" s="3333">
        <v>43190</v>
      </c>
      <c r="J2254" s="3324"/>
      <c r="K2254" s="3334">
        <f t="shared" ref="K2254:K2255" si="365">E2254</f>
        <v>169.7</v>
      </c>
      <c r="L2254" s="3334">
        <f t="shared" ref="L2254:L2255" si="366">F2254/30</f>
        <v>9.5</v>
      </c>
    </row>
    <row r="2255" spans="1:12" s="3327" customFormat="1" ht="13.5" customHeight="1">
      <c r="A2255" s="3354" t="s">
        <v>4522</v>
      </c>
      <c r="B2255" s="3331" t="s">
        <v>4516</v>
      </c>
      <c r="C2255" s="3331" t="s">
        <v>4687</v>
      </c>
      <c r="D2255" s="3331" t="s">
        <v>4686</v>
      </c>
      <c r="E2255" s="3332">
        <v>169.7</v>
      </c>
      <c r="F2255" s="3332">
        <v>285</v>
      </c>
      <c r="G2255" s="3333">
        <v>42948</v>
      </c>
      <c r="H2255" s="3333">
        <v>43130</v>
      </c>
      <c r="I2255" s="3333">
        <v>43190</v>
      </c>
      <c r="J2255" s="3324"/>
      <c r="K2255" s="3334">
        <f t="shared" si="365"/>
        <v>169.7</v>
      </c>
      <c r="L2255" s="3334">
        <f t="shared" si="366"/>
        <v>9.5</v>
      </c>
    </row>
    <row r="2256" spans="1:12" s="3343" customFormat="1" ht="13.5" customHeight="1">
      <c r="A2256" s="3355"/>
      <c r="B2256" s="3336" t="s">
        <v>4516</v>
      </c>
      <c r="C2256" s="3336" t="s">
        <v>4688</v>
      </c>
      <c r="D2256" s="3336" t="s">
        <v>4689</v>
      </c>
      <c r="E2256" s="3339">
        <v>228</v>
      </c>
      <c r="F2256" s="3339">
        <v>270</v>
      </c>
      <c r="G2256" s="3340">
        <v>41066</v>
      </c>
      <c r="H2256" s="3340">
        <v>41363</v>
      </c>
      <c r="I2256" s="3340">
        <v>41364</v>
      </c>
      <c r="J2256" s="3336"/>
    </row>
    <row r="2257" spans="1:12" s="3343" customFormat="1" ht="13.5" customHeight="1">
      <c r="A2257" s="3354"/>
      <c r="B2257" s="3324" t="s">
        <v>4516</v>
      </c>
      <c r="C2257" s="3324" t="s">
        <v>4688</v>
      </c>
      <c r="D2257" s="3324" t="s">
        <v>4686</v>
      </c>
      <c r="E2257" s="3325">
        <v>223</v>
      </c>
      <c r="F2257" s="3325">
        <v>285</v>
      </c>
      <c r="G2257" s="3326">
        <v>41730</v>
      </c>
      <c r="H2257" s="3326">
        <v>41942</v>
      </c>
      <c r="I2257" s="3326">
        <v>42094</v>
      </c>
      <c r="J2257" s="3324"/>
    </row>
    <row r="2258" spans="1:12" s="3343" customFormat="1" ht="13.5" customHeight="1">
      <c r="A2258" s="3354"/>
      <c r="B2258" s="3324" t="s">
        <v>4516</v>
      </c>
      <c r="C2258" s="3324" t="s">
        <v>4690</v>
      </c>
      <c r="D2258" s="3324" t="s">
        <v>4686</v>
      </c>
      <c r="E2258" s="3325">
        <v>191.3</v>
      </c>
      <c r="F2258" s="3325">
        <v>285</v>
      </c>
      <c r="G2258" s="3326">
        <v>41944</v>
      </c>
      <c r="H2258" s="3326">
        <v>42034</v>
      </c>
      <c r="I2258" s="3326">
        <v>42094</v>
      </c>
      <c r="J2258" s="3324"/>
    </row>
    <row r="2259" spans="1:12" s="3343" customFormat="1" ht="13.5" customHeight="1">
      <c r="A2259" s="3354"/>
      <c r="B2259" s="3336" t="s">
        <v>4516</v>
      </c>
      <c r="C2259" s="3336" t="s">
        <v>4690</v>
      </c>
      <c r="D2259" s="3336" t="s">
        <v>4686</v>
      </c>
      <c r="E2259" s="3339">
        <v>191.3</v>
      </c>
      <c r="F2259" s="3339">
        <v>285</v>
      </c>
      <c r="G2259" s="3340">
        <v>42067</v>
      </c>
      <c r="H2259" s="3340">
        <v>42093</v>
      </c>
      <c r="I2259" s="3340">
        <v>42094</v>
      </c>
      <c r="J2259" s="3324"/>
    </row>
    <row r="2260" spans="1:12" s="3343" customFormat="1" ht="13.5" customHeight="1">
      <c r="A2260" s="3354"/>
      <c r="B2260" s="3336" t="s">
        <v>4516</v>
      </c>
      <c r="C2260" s="3336" t="s">
        <v>4690</v>
      </c>
      <c r="D2260" s="3336" t="s">
        <v>4686</v>
      </c>
      <c r="E2260" s="3339">
        <v>191.3</v>
      </c>
      <c r="F2260" s="3339">
        <v>275</v>
      </c>
      <c r="G2260" s="3340">
        <v>42095</v>
      </c>
      <c r="H2260" s="3340">
        <v>42185</v>
      </c>
      <c r="I2260" s="3340">
        <v>42460</v>
      </c>
      <c r="J2260" s="3324"/>
    </row>
    <row r="2261" spans="1:12" s="3343" customFormat="1" ht="13.5" customHeight="1">
      <c r="A2261" s="3354"/>
      <c r="B2261" s="3336" t="s">
        <v>4516</v>
      </c>
      <c r="C2261" s="3336" t="s">
        <v>4690</v>
      </c>
      <c r="D2261" s="3336" t="s">
        <v>4686</v>
      </c>
      <c r="E2261" s="3339">
        <v>191.3</v>
      </c>
      <c r="F2261" s="3339">
        <v>275</v>
      </c>
      <c r="G2261" s="3340">
        <v>42186</v>
      </c>
      <c r="H2261" s="3340">
        <v>42277</v>
      </c>
      <c r="I2261" s="3340">
        <v>42460</v>
      </c>
      <c r="J2261" s="3324"/>
    </row>
    <row r="2262" spans="1:12" s="3343" customFormat="1" ht="13.5" customHeight="1">
      <c r="A2262" s="3354"/>
      <c r="B2262" s="3336" t="s">
        <v>4516</v>
      </c>
      <c r="C2262" s="3336" t="s">
        <v>4691</v>
      </c>
      <c r="D2262" s="3336" t="s">
        <v>4686</v>
      </c>
      <c r="E2262" s="3339">
        <v>191.3</v>
      </c>
      <c r="F2262" s="3339">
        <v>275</v>
      </c>
      <c r="G2262" s="3340">
        <v>42278</v>
      </c>
      <c r="H2262" s="3340">
        <v>42459</v>
      </c>
      <c r="I2262" s="3340">
        <v>42460</v>
      </c>
      <c r="J2262" s="3324"/>
    </row>
    <row r="2263" spans="1:12" s="3343" customFormat="1" ht="13.5" customHeight="1">
      <c r="A2263" s="3354"/>
      <c r="B2263" s="3336" t="s">
        <v>4516</v>
      </c>
      <c r="C2263" s="3336" t="s">
        <v>4691</v>
      </c>
      <c r="D2263" s="3336" t="s">
        <v>4686</v>
      </c>
      <c r="E2263" s="3338">
        <v>201.6</v>
      </c>
      <c r="F2263" s="3339">
        <v>275</v>
      </c>
      <c r="G2263" s="3340">
        <v>42461</v>
      </c>
      <c r="H2263" s="3340">
        <v>42535</v>
      </c>
      <c r="I2263" s="3340">
        <v>42825</v>
      </c>
      <c r="J2263" s="3324"/>
    </row>
    <row r="2264" spans="1:12" s="3343" customFormat="1" ht="13.5" customHeight="1">
      <c r="A2264" s="3354"/>
      <c r="B2264" s="3336" t="s">
        <v>4516</v>
      </c>
      <c r="C2264" s="3336" t="s">
        <v>4692</v>
      </c>
      <c r="D2264" s="3336" t="s">
        <v>4686</v>
      </c>
      <c r="E2264" s="3339">
        <v>201.6</v>
      </c>
      <c r="F2264" s="3339">
        <v>275</v>
      </c>
      <c r="G2264" s="3340">
        <v>42536</v>
      </c>
      <c r="H2264" s="3340">
        <v>42824</v>
      </c>
      <c r="I2264" s="3340">
        <v>42825</v>
      </c>
      <c r="J2264" s="3324"/>
    </row>
    <row r="2265" spans="1:12" s="3343" customFormat="1" ht="13.5" customHeight="1">
      <c r="A2265" s="3354" t="s">
        <v>4522</v>
      </c>
      <c r="B2265" s="3331" t="s">
        <v>4516</v>
      </c>
      <c r="C2265" s="3331" t="s">
        <v>4693</v>
      </c>
      <c r="D2265" s="3331" t="s">
        <v>4686</v>
      </c>
      <c r="E2265" s="3332">
        <v>201.6</v>
      </c>
      <c r="F2265" s="3332">
        <v>290</v>
      </c>
      <c r="G2265" s="3333">
        <v>42826</v>
      </c>
      <c r="H2265" s="3333">
        <v>43130</v>
      </c>
      <c r="I2265" s="3333">
        <v>43190</v>
      </c>
      <c r="J2265" s="3324"/>
      <c r="K2265" s="3334">
        <f t="shared" ref="K2265" si="367">E2265</f>
        <v>201.6</v>
      </c>
      <c r="L2265" s="3334">
        <f t="shared" ref="L2265" si="368">F2265/30</f>
        <v>9.6666666666666661</v>
      </c>
    </row>
    <row r="2266" spans="1:12" s="3327" customFormat="1" ht="13.5" customHeight="1">
      <c r="A2266" s="3355"/>
      <c r="B2266" s="3336" t="s">
        <v>4516</v>
      </c>
      <c r="C2266" s="3336" t="s">
        <v>4694</v>
      </c>
      <c r="D2266" s="3336" t="s">
        <v>4695</v>
      </c>
      <c r="E2266" s="3339">
        <v>208.6</v>
      </c>
      <c r="F2266" s="3339">
        <v>270</v>
      </c>
      <c r="G2266" s="3340">
        <v>40634</v>
      </c>
      <c r="H2266" s="3340">
        <v>40846</v>
      </c>
      <c r="I2266" s="3340">
        <v>40999</v>
      </c>
      <c r="J2266" s="3336"/>
    </row>
    <row r="2267" spans="1:12" s="3327" customFormat="1" ht="13.5" customHeight="1">
      <c r="A2267" s="3354"/>
      <c r="B2267" s="3324" t="s">
        <v>4516</v>
      </c>
      <c r="C2267" s="3324" t="s">
        <v>4696</v>
      </c>
      <c r="D2267" s="3324" t="s">
        <v>4695</v>
      </c>
      <c r="E2267" s="3325">
        <v>208.6</v>
      </c>
      <c r="F2267" s="3325">
        <v>300</v>
      </c>
      <c r="G2267" s="3326">
        <v>41365</v>
      </c>
      <c r="H2267" s="3326">
        <v>41455</v>
      </c>
      <c r="I2267" s="3326">
        <v>41455</v>
      </c>
      <c r="J2267" s="3324"/>
    </row>
    <row r="2268" spans="1:12" s="3327" customFormat="1" ht="13.5" customHeight="1">
      <c r="A2268" s="3355"/>
      <c r="B2268" s="3336" t="s">
        <v>4516</v>
      </c>
      <c r="C2268" s="3336" t="s">
        <v>4697</v>
      </c>
      <c r="D2268" s="3336" t="s">
        <v>4698</v>
      </c>
      <c r="E2268" s="3339">
        <v>208.6</v>
      </c>
      <c r="F2268" s="3339">
        <v>300</v>
      </c>
      <c r="G2268" s="3340">
        <v>41456</v>
      </c>
      <c r="H2268" s="3340">
        <v>41728</v>
      </c>
      <c r="I2268" s="3340">
        <v>41729</v>
      </c>
      <c r="J2268" s="3336"/>
    </row>
    <row r="2269" spans="1:12" s="3327" customFormat="1" ht="13.5" customHeight="1">
      <c r="A2269" s="3354"/>
      <c r="B2269" s="3324" t="s">
        <v>4516</v>
      </c>
      <c r="C2269" s="3324" t="s">
        <v>4697</v>
      </c>
      <c r="D2269" s="3324" t="s">
        <v>4698</v>
      </c>
      <c r="E2269" s="3325">
        <v>208.6</v>
      </c>
      <c r="F2269" s="3325">
        <v>310</v>
      </c>
      <c r="G2269" s="3326">
        <v>41730</v>
      </c>
      <c r="H2269" s="3326">
        <v>41820</v>
      </c>
      <c r="I2269" s="3326">
        <v>41364</v>
      </c>
      <c r="J2269" s="3324"/>
    </row>
    <row r="2270" spans="1:12" s="3327" customFormat="1" ht="13.5" customHeight="1">
      <c r="A2270" s="3354"/>
      <c r="B2270" s="3324" t="s">
        <v>4516</v>
      </c>
      <c r="C2270" s="3324" t="s">
        <v>4570</v>
      </c>
      <c r="D2270" s="3324" t="s">
        <v>4698</v>
      </c>
      <c r="E2270" s="3325">
        <v>208.6</v>
      </c>
      <c r="F2270" s="3325">
        <v>310</v>
      </c>
      <c r="G2270" s="3326">
        <v>41821</v>
      </c>
      <c r="H2270" s="3326">
        <v>42093</v>
      </c>
      <c r="I2270" s="3326">
        <v>42094</v>
      </c>
      <c r="J2270" s="3324"/>
    </row>
    <row r="2271" spans="1:12" s="3327" customFormat="1" ht="13.5" customHeight="1">
      <c r="A2271" s="3354"/>
      <c r="B2271" s="3336" t="s">
        <v>4516</v>
      </c>
      <c r="C2271" s="3336" t="s">
        <v>4570</v>
      </c>
      <c r="D2271" s="3336" t="s">
        <v>4698</v>
      </c>
      <c r="E2271" s="3339">
        <v>208.6</v>
      </c>
      <c r="F2271" s="3339">
        <v>310</v>
      </c>
      <c r="G2271" s="3340">
        <v>42095</v>
      </c>
      <c r="H2271" s="3340">
        <v>42154</v>
      </c>
      <c r="I2271" s="3340">
        <v>42460</v>
      </c>
      <c r="J2271" s="3324"/>
    </row>
    <row r="2272" spans="1:12" s="3327" customFormat="1" ht="13.5" customHeight="1">
      <c r="A2272" s="3354"/>
      <c r="B2272" s="3336" t="s">
        <v>4516</v>
      </c>
      <c r="C2272" s="3336" t="s">
        <v>4654</v>
      </c>
      <c r="D2272" s="3336" t="s">
        <v>4698</v>
      </c>
      <c r="E2272" s="3339">
        <v>208.6</v>
      </c>
      <c r="F2272" s="3339">
        <v>310</v>
      </c>
      <c r="G2272" s="3340">
        <v>42156</v>
      </c>
      <c r="H2272" s="3340">
        <v>42368</v>
      </c>
      <c r="I2272" s="3340">
        <v>42369</v>
      </c>
      <c r="J2272" s="3324"/>
    </row>
    <row r="2273" spans="1:12" s="3327" customFormat="1" ht="13.5" customHeight="1">
      <c r="A2273" s="3354"/>
      <c r="B2273" s="3336" t="s">
        <v>4516</v>
      </c>
      <c r="C2273" s="3336" t="s">
        <v>4654</v>
      </c>
      <c r="D2273" s="3336" t="s">
        <v>4698</v>
      </c>
      <c r="E2273" s="3339">
        <v>208.6</v>
      </c>
      <c r="F2273" s="3339">
        <v>310</v>
      </c>
      <c r="G2273" s="3340">
        <v>42370</v>
      </c>
      <c r="H2273" s="3340">
        <v>42459</v>
      </c>
      <c r="I2273" s="3340">
        <v>42460</v>
      </c>
      <c r="J2273" s="3324"/>
    </row>
    <row r="2274" spans="1:12" s="3327" customFormat="1" ht="13.5" customHeight="1">
      <c r="A2274" s="3354"/>
      <c r="B2274" s="3336" t="s">
        <v>4516</v>
      </c>
      <c r="C2274" s="3336" t="s">
        <v>4699</v>
      </c>
      <c r="D2274" s="3336" t="s">
        <v>4698</v>
      </c>
      <c r="E2274" s="3338">
        <v>216.5</v>
      </c>
      <c r="F2274" s="3339">
        <v>255</v>
      </c>
      <c r="G2274" s="3340">
        <v>42461</v>
      </c>
      <c r="H2274" s="3340">
        <v>42794</v>
      </c>
      <c r="I2274" s="3340">
        <v>42825</v>
      </c>
      <c r="J2274" s="3324"/>
    </row>
    <row r="2275" spans="1:12" s="3327" customFormat="1" ht="13.5" customHeight="1">
      <c r="A2275" s="3354"/>
      <c r="B2275" s="3336" t="s">
        <v>4516</v>
      </c>
      <c r="C2275" s="3336" t="s">
        <v>4700</v>
      </c>
      <c r="D2275" s="3336" t="s">
        <v>4701</v>
      </c>
      <c r="E2275" s="3338">
        <v>216.5</v>
      </c>
      <c r="F2275" s="3339">
        <v>270</v>
      </c>
      <c r="G2275" s="3340">
        <v>42795</v>
      </c>
      <c r="H2275" s="3340">
        <v>42824</v>
      </c>
      <c r="I2275" s="3340">
        <v>42825</v>
      </c>
      <c r="J2275" s="3324"/>
    </row>
    <row r="2276" spans="1:12" s="3327" customFormat="1" ht="13.5" customHeight="1">
      <c r="A2276" s="3354" t="s">
        <v>4522</v>
      </c>
      <c r="B2276" s="3331" t="s">
        <v>4516</v>
      </c>
      <c r="C2276" s="3331" t="s">
        <v>4700</v>
      </c>
      <c r="D2276" s="3331" t="s">
        <v>4701</v>
      </c>
      <c r="E2276" s="3332">
        <v>216.5</v>
      </c>
      <c r="F2276" s="3332">
        <v>260</v>
      </c>
      <c r="G2276" s="3333">
        <v>42826</v>
      </c>
      <c r="H2276" s="3333">
        <v>43130</v>
      </c>
      <c r="I2276" s="3333">
        <v>43190</v>
      </c>
      <c r="J2276" s="3324"/>
      <c r="K2276" s="3334">
        <f t="shared" ref="K2276" si="369">E2276</f>
        <v>216.5</v>
      </c>
      <c r="L2276" s="3334">
        <f t="shared" ref="L2276" si="370">F2276/30</f>
        <v>8.6666666666666661</v>
      </c>
    </row>
    <row r="2277" spans="1:12" s="3327" customFormat="1" ht="13.5" customHeight="1">
      <c r="A2277" s="3355"/>
      <c r="B2277" s="3336" t="s">
        <v>4516</v>
      </c>
      <c r="C2277" s="3336" t="s">
        <v>4702</v>
      </c>
      <c r="D2277" s="3336" t="s">
        <v>4703</v>
      </c>
      <c r="E2277" s="3339">
        <v>225.4</v>
      </c>
      <c r="F2277" s="3339">
        <v>330</v>
      </c>
      <c r="G2277" s="3340">
        <v>41000</v>
      </c>
      <c r="H2277" s="3340">
        <v>41363</v>
      </c>
      <c r="I2277" s="3340">
        <v>41364</v>
      </c>
      <c r="J2277" s="3336"/>
    </row>
    <row r="2278" spans="1:12" s="3327" customFormat="1" ht="13.5" customHeight="1">
      <c r="A2278" s="3354"/>
      <c r="B2278" s="3324" t="s">
        <v>4516</v>
      </c>
      <c r="C2278" s="3324" t="s">
        <v>4702</v>
      </c>
      <c r="D2278" s="3324" t="s">
        <v>4704</v>
      </c>
      <c r="E2278" s="3325">
        <v>217.6</v>
      </c>
      <c r="F2278" s="3325">
        <v>330</v>
      </c>
      <c r="G2278" s="3326">
        <v>41730</v>
      </c>
      <c r="H2278" s="3326">
        <v>41988</v>
      </c>
      <c r="I2278" s="3326">
        <v>42094</v>
      </c>
      <c r="J2278" s="3324"/>
    </row>
    <row r="2279" spans="1:12" s="3327" customFormat="1" ht="13.5" customHeight="1">
      <c r="A2279" s="3354"/>
      <c r="B2279" s="3324" t="s">
        <v>4516</v>
      </c>
      <c r="C2279" s="3324" t="s">
        <v>4705</v>
      </c>
      <c r="D2279" s="3324" t="s">
        <v>4704</v>
      </c>
      <c r="E2279" s="3325">
        <v>217.6</v>
      </c>
      <c r="F2279" s="3325">
        <v>330</v>
      </c>
      <c r="G2279" s="3326">
        <v>41989</v>
      </c>
      <c r="H2279" s="3326">
        <v>42093</v>
      </c>
      <c r="I2279" s="3326">
        <v>42094</v>
      </c>
      <c r="J2279" s="3324"/>
    </row>
    <row r="2280" spans="1:12" s="3327" customFormat="1" ht="13.5" customHeight="1">
      <c r="A2280" s="3354"/>
      <c r="B2280" s="3336" t="s">
        <v>4516</v>
      </c>
      <c r="C2280" s="3336" t="s">
        <v>4705</v>
      </c>
      <c r="D2280" s="3336" t="s">
        <v>4704</v>
      </c>
      <c r="E2280" s="3339">
        <v>217.6</v>
      </c>
      <c r="F2280" s="3339">
        <v>320</v>
      </c>
      <c r="G2280" s="3340">
        <v>42095</v>
      </c>
      <c r="H2280" s="3340">
        <v>42353</v>
      </c>
      <c r="I2280" s="3340">
        <v>42460</v>
      </c>
      <c r="J2280" s="3324"/>
    </row>
    <row r="2281" spans="1:12" s="3327" customFormat="1" ht="12.75" customHeight="1">
      <c r="A2281" s="3354"/>
      <c r="B2281" s="3336" t="s">
        <v>4516</v>
      </c>
      <c r="C2281" s="3336" t="s">
        <v>4706</v>
      </c>
      <c r="D2281" s="3336" t="s">
        <v>4704</v>
      </c>
      <c r="E2281" s="3339">
        <v>217.6</v>
      </c>
      <c r="F2281" s="3339">
        <v>320</v>
      </c>
      <c r="G2281" s="3340">
        <v>42354</v>
      </c>
      <c r="H2281" s="3340">
        <v>42459</v>
      </c>
      <c r="I2281" s="3340">
        <v>42460</v>
      </c>
      <c r="J2281" s="3324"/>
    </row>
    <row r="2282" spans="1:12" s="3327" customFormat="1" ht="12.75" customHeight="1">
      <c r="A2282" s="3354"/>
      <c r="B2282" s="3336" t="s">
        <v>4516</v>
      </c>
      <c r="C2282" s="3336" t="s">
        <v>4706</v>
      </c>
      <c r="D2282" s="3336" t="s">
        <v>4704</v>
      </c>
      <c r="E2282" s="3339">
        <v>217.6</v>
      </c>
      <c r="F2282" s="3339">
        <v>300</v>
      </c>
      <c r="G2282" s="3340">
        <v>42461</v>
      </c>
      <c r="H2282" s="3340">
        <v>42824</v>
      </c>
      <c r="I2282" s="3340">
        <v>42825</v>
      </c>
      <c r="J2282" s="3324"/>
    </row>
    <row r="2283" spans="1:12" s="3327" customFormat="1" ht="12.75" customHeight="1">
      <c r="A2283" s="3354" t="s">
        <v>4522</v>
      </c>
      <c r="B2283" s="3331" t="s">
        <v>4516</v>
      </c>
      <c r="C2283" s="3331" t="s">
        <v>4707</v>
      </c>
      <c r="D2283" s="3331" t="s">
        <v>4577</v>
      </c>
      <c r="E2283" s="3332">
        <v>217.6</v>
      </c>
      <c r="F2283" s="3332">
        <v>310</v>
      </c>
      <c r="G2283" s="3333">
        <v>42826</v>
      </c>
      <c r="H2283" s="3333">
        <v>43130</v>
      </c>
      <c r="I2283" s="3333">
        <v>43190</v>
      </c>
      <c r="J2283" s="3324"/>
      <c r="K2283" s="3334">
        <f t="shared" ref="K2283" si="371">E2283</f>
        <v>217.6</v>
      </c>
      <c r="L2283" s="3334">
        <f t="shared" ref="L2283" si="372">F2283/30</f>
        <v>10.333333333333334</v>
      </c>
    </row>
    <row r="2284" spans="1:12" s="3327" customFormat="1" ht="13.5" customHeight="1">
      <c r="A2284" s="3355"/>
      <c r="B2284" s="3336" t="s">
        <v>4516</v>
      </c>
      <c r="C2284" s="3336" t="s">
        <v>4708</v>
      </c>
      <c r="D2284" s="3336" t="s">
        <v>4709</v>
      </c>
      <c r="E2284" s="3339">
        <v>351.6</v>
      </c>
      <c r="F2284" s="3339">
        <v>330</v>
      </c>
      <c r="G2284" s="3340">
        <v>41000</v>
      </c>
      <c r="H2284" s="3340">
        <v>41363</v>
      </c>
      <c r="I2284" s="3340">
        <v>41364</v>
      </c>
      <c r="J2284" s="3336"/>
    </row>
    <row r="2285" spans="1:12" s="3327" customFormat="1" ht="13.5" customHeight="1">
      <c r="A2285" s="3354"/>
      <c r="B2285" s="3324" t="s">
        <v>4516</v>
      </c>
      <c r="C2285" s="3324" t="s">
        <v>4708</v>
      </c>
      <c r="D2285" s="3324" t="s">
        <v>4710</v>
      </c>
      <c r="E2285" s="3325">
        <v>351.6</v>
      </c>
      <c r="F2285" s="3325">
        <v>330</v>
      </c>
      <c r="G2285" s="3326">
        <v>41730</v>
      </c>
      <c r="H2285" s="3326">
        <v>42093</v>
      </c>
      <c r="I2285" s="3326">
        <v>42094</v>
      </c>
      <c r="J2285" s="3324"/>
    </row>
    <row r="2286" spans="1:12" s="3327" customFormat="1" ht="13.5" customHeight="1">
      <c r="A2286" s="3354"/>
      <c r="B2286" s="3336" t="s">
        <v>4516</v>
      </c>
      <c r="C2286" s="3336" t="s">
        <v>4708</v>
      </c>
      <c r="D2286" s="3336" t="s">
        <v>4710</v>
      </c>
      <c r="E2286" s="3339">
        <v>351.6</v>
      </c>
      <c r="F2286" s="3339">
        <v>336</v>
      </c>
      <c r="G2286" s="3340">
        <v>42095</v>
      </c>
      <c r="H2286" s="3340">
        <v>42459</v>
      </c>
      <c r="I2286" s="3340">
        <v>42460</v>
      </c>
      <c r="J2286" s="3324"/>
    </row>
    <row r="2287" spans="1:12" s="3327" customFormat="1" ht="13.5" customHeight="1">
      <c r="A2287" s="3354"/>
      <c r="B2287" s="3336" t="s">
        <v>4516</v>
      </c>
      <c r="C2287" s="3336" t="s">
        <v>4708</v>
      </c>
      <c r="D2287" s="3336" t="s">
        <v>4710</v>
      </c>
      <c r="E2287" s="3339">
        <v>351.6</v>
      </c>
      <c r="F2287" s="3339">
        <v>338</v>
      </c>
      <c r="G2287" s="3340">
        <v>42461</v>
      </c>
      <c r="H2287" s="3340">
        <v>42824</v>
      </c>
      <c r="I2287" s="3340">
        <v>42825</v>
      </c>
      <c r="J2287" s="3324"/>
    </row>
    <row r="2288" spans="1:12" s="3327" customFormat="1" ht="13.5" customHeight="1">
      <c r="A2288" s="3354" t="s">
        <v>4522</v>
      </c>
      <c r="B2288" s="3331" t="s">
        <v>4516</v>
      </c>
      <c r="C2288" s="3331" t="s">
        <v>4708</v>
      </c>
      <c r="D2288" s="3331" t="s">
        <v>4710</v>
      </c>
      <c r="E2288" s="3332">
        <v>351.6</v>
      </c>
      <c r="F2288" s="3332">
        <v>340</v>
      </c>
      <c r="G2288" s="3333">
        <v>42826</v>
      </c>
      <c r="H2288" s="3333">
        <v>43130</v>
      </c>
      <c r="I2288" s="3333">
        <v>43190</v>
      </c>
      <c r="J2288" s="3324"/>
      <c r="K2288" s="3334">
        <f t="shared" ref="K2288" si="373">E2288</f>
        <v>351.6</v>
      </c>
      <c r="L2288" s="3334">
        <f t="shared" ref="L2288" si="374">F2288/30</f>
        <v>11.333333333333334</v>
      </c>
    </row>
    <row r="2289" spans="1:12" s="3327" customFormat="1" ht="13.5" customHeight="1">
      <c r="A2289" s="3355"/>
      <c r="B2289" s="3336" t="s">
        <v>4516</v>
      </c>
      <c r="C2289" s="3336" t="s">
        <v>4711</v>
      </c>
      <c r="D2289" s="3336" t="s">
        <v>4712</v>
      </c>
      <c r="E2289" s="3339">
        <v>303.60000000000002</v>
      </c>
      <c r="F2289" s="3339">
        <v>335</v>
      </c>
      <c r="G2289" s="3340">
        <v>41000</v>
      </c>
      <c r="H2289" s="3340">
        <v>41363</v>
      </c>
      <c r="I2289" s="3340">
        <v>41364</v>
      </c>
      <c r="J2289" s="3336"/>
    </row>
    <row r="2290" spans="1:12" s="3327" customFormat="1" ht="13.5" customHeight="1">
      <c r="A2290" s="3354"/>
      <c r="B2290" s="3324" t="s">
        <v>4516</v>
      </c>
      <c r="C2290" s="3324" t="s">
        <v>4711</v>
      </c>
      <c r="D2290" s="3324" t="s">
        <v>4713</v>
      </c>
      <c r="E2290" s="3325">
        <v>303.60000000000002</v>
      </c>
      <c r="F2290" s="3325">
        <v>350</v>
      </c>
      <c r="G2290" s="3326">
        <v>41730</v>
      </c>
      <c r="H2290" s="3326">
        <v>42093</v>
      </c>
      <c r="I2290" s="3326">
        <v>42094</v>
      </c>
      <c r="J2290" s="3324"/>
    </row>
    <row r="2291" spans="1:12" s="3327" customFormat="1" ht="13.5" customHeight="1">
      <c r="A2291" s="3354"/>
      <c r="B2291" s="3336" t="s">
        <v>4516</v>
      </c>
      <c r="C2291" s="3336" t="s">
        <v>4711</v>
      </c>
      <c r="D2291" s="3336" t="s">
        <v>4713</v>
      </c>
      <c r="E2291" s="3339">
        <v>303.60000000000002</v>
      </c>
      <c r="F2291" s="3339">
        <v>356</v>
      </c>
      <c r="G2291" s="3340">
        <v>42095</v>
      </c>
      <c r="H2291" s="3340">
        <v>42459</v>
      </c>
      <c r="I2291" s="3340">
        <v>42460</v>
      </c>
      <c r="J2291" s="3324"/>
    </row>
    <row r="2292" spans="1:12" s="3327" customFormat="1" ht="13.5" customHeight="1">
      <c r="A2292" s="3354"/>
      <c r="B2292" s="3336" t="s">
        <v>4516</v>
      </c>
      <c r="C2292" s="3336" t="s">
        <v>4711</v>
      </c>
      <c r="D2292" s="3336" t="s">
        <v>4713</v>
      </c>
      <c r="E2292" s="3339">
        <v>303.60000000000002</v>
      </c>
      <c r="F2292" s="3339">
        <v>366</v>
      </c>
      <c r="G2292" s="3340">
        <v>42461</v>
      </c>
      <c r="H2292" s="3340">
        <v>42824</v>
      </c>
      <c r="I2292" s="3340">
        <v>42825</v>
      </c>
      <c r="J2292" s="3324"/>
    </row>
    <row r="2293" spans="1:12" s="3327" customFormat="1" ht="13.5" customHeight="1">
      <c r="A2293" s="3354" t="s">
        <v>4522</v>
      </c>
      <c r="B2293" s="3331" t="s">
        <v>4516</v>
      </c>
      <c r="C2293" s="3331" t="s">
        <v>4714</v>
      </c>
      <c r="D2293" s="3331" t="s">
        <v>4713</v>
      </c>
      <c r="E2293" s="3332">
        <v>303.60000000000002</v>
      </c>
      <c r="F2293" s="3332">
        <v>376</v>
      </c>
      <c r="G2293" s="3333">
        <v>42826</v>
      </c>
      <c r="H2293" s="3333">
        <v>43130</v>
      </c>
      <c r="I2293" s="3333">
        <v>43190</v>
      </c>
      <c r="J2293" s="3324"/>
      <c r="K2293" s="3334">
        <f t="shared" ref="K2293" si="375">E2293</f>
        <v>303.60000000000002</v>
      </c>
      <c r="L2293" s="3334">
        <f t="shared" ref="L2293" si="376">F2293/30</f>
        <v>12.533333333333333</v>
      </c>
    </row>
    <row r="2294" spans="1:12" s="3327" customFormat="1" ht="13.5" customHeight="1">
      <c r="A2294" s="3355"/>
      <c r="B2294" s="3336" t="s">
        <v>4516</v>
      </c>
      <c r="C2294" s="3336" t="s">
        <v>4715</v>
      </c>
      <c r="D2294" s="3336" t="s">
        <v>4716</v>
      </c>
      <c r="E2294" s="3339">
        <v>273</v>
      </c>
      <c r="F2294" s="3339">
        <v>300</v>
      </c>
      <c r="G2294" s="3340">
        <v>41000</v>
      </c>
      <c r="H2294" s="3340">
        <v>41363</v>
      </c>
      <c r="I2294" s="3340">
        <v>41364</v>
      </c>
      <c r="J2294" s="3336"/>
    </row>
    <row r="2295" spans="1:12" s="3327" customFormat="1" ht="13.5" customHeight="1">
      <c r="A2295" s="3354"/>
      <c r="B2295" s="3324" t="s">
        <v>4516</v>
      </c>
      <c r="C2295" s="3324" t="s">
        <v>4715</v>
      </c>
      <c r="D2295" s="3324" t="s">
        <v>4717</v>
      </c>
      <c r="E2295" s="3325">
        <v>273</v>
      </c>
      <c r="F2295" s="3325">
        <v>300</v>
      </c>
      <c r="G2295" s="3326">
        <v>41730</v>
      </c>
      <c r="H2295" s="3326">
        <v>41942</v>
      </c>
      <c r="I2295" s="3326">
        <v>42094</v>
      </c>
      <c r="J2295" s="3324"/>
    </row>
    <row r="2296" spans="1:12" s="3327" customFormat="1" ht="14.25" customHeight="1">
      <c r="A2296" s="3354"/>
      <c r="B2296" s="3324" t="s">
        <v>4516</v>
      </c>
      <c r="C2296" s="3324" t="s">
        <v>4715</v>
      </c>
      <c r="D2296" s="3324" t="s">
        <v>4717</v>
      </c>
      <c r="E2296" s="3325">
        <v>273</v>
      </c>
      <c r="F2296" s="3325">
        <v>300</v>
      </c>
      <c r="G2296" s="3326">
        <v>41944</v>
      </c>
      <c r="H2296" s="3326">
        <v>42093</v>
      </c>
      <c r="I2296" s="3326">
        <v>42094</v>
      </c>
      <c r="J2296" s="3324"/>
    </row>
    <row r="2297" spans="1:12" s="3327" customFormat="1" ht="13.5" customHeight="1">
      <c r="A2297" s="3354"/>
      <c r="B2297" s="3336" t="s">
        <v>4516</v>
      </c>
      <c r="C2297" s="3336" t="s">
        <v>4715</v>
      </c>
      <c r="D2297" s="3336" t="s">
        <v>4717</v>
      </c>
      <c r="E2297" s="3339">
        <v>273</v>
      </c>
      <c r="F2297" s="3339">
        <v>306</v>
      </c>
      <c r="G2297" s="3340">
        <v>42095</v>
      </c>
      <c r="H2297" s="3340">
        <v>42246</v>
      </c>
      <c r="I2297" s="3340">
        <v>42460</v>
      </c>
      <c r="J2297" s="3324"/>
    </row>
    <row r="2298" spans="1:12" s="3327" customFormat="1" ht="13.5" customHeight="1">
      <c r="A2298" s="3354"/>
      <c r="B2298" s="3336" t="s">
        <v>4516</v>
      </c>
      <c r="C2298" s="3336" t="s">
        <v>4718</v>
      </c>
      <c r="D2298" s="3336" t="s">
        <v>4717</v>
      </c>
      <c r="E2298" s="3339">
        <v>273</v>
      </c>
      <c r="F2298" s="3339">
        <v>306</v>
      </c>
      <c r="G2298" s="3340">
        <v>42248</v>
      </c>
      <c r="H2298" s="3340">
        <v>42459</v>
      </c>
      <c r="I2298" s="3340">
        <v>42460</v>
      </c>
      <c r="J2298" s="3324"/>
    </row>
    <row r="2299" spans="1:12" s="3327" customFormat="1" ht="13.5" customHeight="1">
      <c r="A2299" s="3354"/>
      <c r="B2299" s="3336" t="s">
        <v>4516</v>
      </c>
      <c r="C2299" s="3336" t="s">
        <v>4718</v>
      </c>
      <c r="D2299" s="3336" t="s">
        <v>4717</v>
      </c>
      <c r="E2299" s="3338">
        <v>274.5</v>
      </c>
      <c r="F2299" s="3339">
        <v>320</v>
      </c>
      <c r="G2299" s="3340">
        <v>42461</v>
      </c>
      <c r="H2299" s="3340">
        <v>42824</v>
      </c>
      <c r="I2299" s="3340">
        <v>42825</v>
      </c>
      <c r="J2299" s="3324"/>
    </row>
    <row r="2300" spans="1:12" s="3327" customFormat="1" ht="13.5" customHeight="1">
      <c r="A2300" s="3354" t="s">
        <v>4522</v>
      </c>
      <c r="B2300" s="3331" t="s">
        <v>4516</v>
      </c>
      <c r="C2300" s="3331" t="s">
        <v>4718</v>
      </c>
      <c r="D2300" s="3331" t="s">
        <v>4717</v>
      </c>
      <c r="E2300" s="3347">
        <v>274.5</v>
      </c>
      <c r="F2300" s="3332">
        <v>325</v>
      </c>
      <c r="G2300" s="3333">
        <v>42826</v>
      </c>
      <c r="H2300" s="3333">
        <v>43130</v>
      </c>
      <c r="I2300" s="3333">
        <v>43190</v>
      </c>
      <c r="J2300" s="3324"/>
      <c r="K2300" s="3334">
        <f t="shared" ref="K2300" si="377">E2300</f>
        <v>274.5</v>
      </c>
      <c r="L2300" s="3334">
        <f t="shared" ref="L2300" si="378">F2300/30</f>
        <v>10.833333333333334</v>
      </c>
    </row>
    <row r="2301" spans="1:12" s="3327" customFormat="1" ht="13.5" customHeight="1">
      <c r="A2301" s="3355"/>
      <c r="B2301" s="3336" t="s">
        <v>4516</v>
      </c>
      <c r="C2301" s="3336" t="s">
        <v>4719</v>
      </c>
      <c r="D2301" s="3336" t="s">
        <v>4720</v>
      </c>
      <c r="E2301" s="3339">
        <v>235</v>
      </c>
      <c r="F2301" s="3339">
        <v>270</v>
      </c>
      <c r="G2301" s="3340">
        <v>41000</v>
      </c>
      <c r="H2301" s="3340">
        <v>41363</v>
      </c>
      <c r="I2301" s="3340">
        <v>41364</v>
      </c>
      <c r="J2301" s="3336"/>
    </row>
    <row r="2302" spans="1:12" s="3327" customFormat="1" ht="12.75" customHeight="1">
      <c r="A2302" s="3354"/>
      <c r="B2302" s="3324" t="s">
        <v>4516</v>
      </c>
      <c r="C2302" s="3324" t="s">
        <v>4719</v>
      </c>
      <c r="D2302" s="3324" t="s">
        <v>4721</v>
      </c>
      <c r="E2302" s="3325">
        <v>235</v>
      </c>
      <c r="F2302" s="3325">
        <v>280</v>
      </c>
      <c r="G2302" s="3326">
        <v>41730</v>
      </c>
      <c r="H2302" s="3326">
        <v>42093</v>
      </c>
      <c r="I2302" s="3326">
        <v>42094</v>
      </c>
      <c r="J2302" s="3324"/>
    </row>
    <row r="2303" spans="1:12" s="3327" customFormat="1" ht="13.5" customHeight="1">
      <c r="A2303" s="3354"/>
      <c r="B2303" s="3336" t="s">
        <v>4516</v>
      </c>
      <c r="C2303" s="3336" t="s">
        <v>4719</v>
      </c>
      <c r="D2303" s="3336" t="s">
        <v>4721</v>
      </c>
      <c r="E2303" s="3339">
        <v>235</v>
      </c>
      <c r="F2303" s="3339">
        <v>285</v>
      </c>
      <c r="G2303" s="3340">
        <v>42095</v>
      </c>
      <c r="H2303" s="3340">
        <v>42459</v>
      </c>
      <c r="I2303" s="3340">
        <v>42460</v>
      </c>
      <c r="J2303" s="3324"/>
    </row>
    <row r="2304" spans="1:12" s="3327" customFormat="1" ht="13.5" customHeight="1">
      <c r="A2304" s="3354"/>
      <c r="B2304" s="3336" t="s">
        <v>4516</v>
      </c>
      <c r="C2304" s="3336" t="s">
        <v>4722</v>
      </c>
      <c r="D2304" s="3336" t="s">
        <v>4721</v>
      </c>
      <c r="E2304" s="3339">
        <v>235</v>
      </c>
      <c r="F2304" s="3339">
        <v>290</v>
      </c>
      <c r="G2304" s="3340">
        <v>42461</v>
      </c>
      <c r="H2304" s="3340">
        <v>42824</v>
      </c>
      <c r="I2304" s="3340">
        <v>42825</v>
      </c>
      <c r="J2304" s="3324"/>
    </row>
    <row r="2305" spans="1:12" s="3327" customFormat="1" ht="13.5" customHeight="1">
      <c r="A2305" s="3354"/>
      <c r="B2305" s="3331" t="s">
        <v>4516</v>
      </c>
      <c r="C2305" s="3331" t="s">
        <v>4722</v>
      </c>
      <c r="D2305" s="3331" t="s">
        <v>4721</v>
      </c>
      <c r="E2305" s="3332">
        <v>235</v>
      </c>
      <c r="F2305" s="3332">
        <v>310</v>
      </c>
      <c r="G2305" s="3341">
        <v>42826</v>
      </c>
      <c r="H2305" s="3341">
        <v>43114</v>
      </c>
      <c r="I2305" s="3341">
        <v>43190</v>
      </c>
      <c r="J2305" s="3324"/>
      <c r="K2305" s="3334">
        <f t="shared" ref="K2305:K2306" si="379">E2305</f>
        <v>235</v>
      </c>
      <c r="L2305" s="3334">
        <f t="shared" ref="L2305:L2306" si="380">F2305/30</f>
        <v>10.333333333333334</v>
      </c>
    </row>
    <row r="2306" spans="1:12" s="3327" customFormat="1" ht="13.5" customHeight="1">
      <c r="A2306" s="3354" t="s">
        <v>4522</v>
      </c>
      <c r="B2306" s="3331" t="s">
        <v>4516</v>
      </c>
      <c r="C2306" s="3331" t="s">
        <v>4723</v>
      </c>
      <c r="D2306" s="3331" t="s">
        <v>4724</v>
      </c>
      <c r="E2306" s="3332">
        <v>235</v>
      </c>
      <c r="F2306" s="3332">
        <v>279</v>
      </c>
      <c r="G2306" s="3333">
        <v>43115</v>
      </c>
      <c r="H2306" s="3333">
        <v>43130</v>
      </c>
      <c r="I2306" s="3333">
        <v>43190</v>
      </c>
      <c r="J2306" s="3324"/>
      <c r="K2306" s="3334">
        <f t="shared" si="379"/>
        <v>235</v>
      </c>
      <c r="L2306" s="3334">
        <f t="shared" si="380"/>
        <v>9.3000000000000007</v>
      </c>
    </row>
    <row r="2307" spans="1:12" s="3327" customFormat="1" ht="13.5" customHeight="1">
      <c r="A2307" s="3355"/>
      <c r="B2307" s="3336" t="s">
        <v>4516</v>
      </c>
      <c r="C2307" s="3336" t="s">
        <v>4725</v>
      </c>
      <c r="D2307" s="3336" t="s">
        <v>4726</v>
      </c>
      <c r="E2307" s="3339">
        <v>213.5</v>
      </c>
      <c r="F2307" s="3339">
        <v>300</v>
      </c>
      <c r="G2307" s="3340">
        <v>41000</v>
      </c>
      <c r="H2307" s="3340">
        <v>41363</v>
      </c>
      <c r="I2307" s="3340">
        <v>41364</v>
      </c>
      <c r="J2307" s="3336"/>
    </row>
    <row r="2308" spans="1:12" s="3327" customFormat="1" ht="13.5" customHeight="1">
      <c r="A2308" s="3354"/>
      <c r="B2308" s="3324" t="s">
        <v>4516</v>
      </c>
      <c r="C2308" s="3324" t="s">
        <v>4727</v>
      </c>
      <c r="D2308" s="3324" t="s">
        <v>4728</v>
      </c>
      <c r="E2308" s="3325">
        <v>213.5</v>
      </c>
      <c r="F2308" s="3325">
        <v>300</v>
      </c>
      <c r="G2308" s="3326">
        <v>41730</v>
      </c>
      <c r="H2308" s="3326">
        <v>42093</v>
      </c>
      <c r="I2308" s="3326">
        <v>42094</v>
      </c>
      <c r="J2308" s="3324"/>
    </row>
    <row r="2309" spans="1:12" s="3327" customFormat="1" ht="13.5" customHeight="1">
      <c r="A2309" s="3354"/>
      <c r="B2309" s="3331" t="s">
        <v>4516</v>
      </c>
      <c r="C2309" s="3331" t="s">
        <v>4727</v>
      </c>
      <c r="D2309" s="3331" t="s">
        <v>4728</v>
      </c>
      <c r="E2309" s="3332">
        <v>187.6</v>
      </c>
      <c r="F2309" s="3407">
        <v>300</v>
      </c>
      <c r="G2309" s="3333">
        <v>42095</v>
      </c>
      <c r="H2309" s="3333">
        <v>42277</v>
      </c>
      <c r="I2309" s="3333">
        <v>42460</v>
      </c>
      <c r="J2309" s="3324"/>
      <c r="K2309" s="3334">
        <f t="shared" ref="K2309" si="381">E2309</f>
        <v>187.6</v>
      </c>
      <c r="L2309" s="3334">
        <f t="shared" ref="L2309" si="382">F2309/30</f>
        <v>10</v>
      </c>
    </row>
    <row r="2310" spans="1:12" s="3327" customFormat="1" ht="13.5" customHeight="1">
      <c r="A2310" s="3354"/>
      <c r="B2310" s="3336" t="s">
        <v>4516</v>
      </c>
      <c r="C2310" s="3336" t="s">
        <v>4729</v>
      </c>
      <c r="D2310" s="3336" t="s">
        <v>4728</v>
      </c>
      <c r="E2310" s="3339">
        <v>187.6</v>
      </c>
      <c r="F2310" s="3339">
        <v>300</v>
      </c>
      <c r="G2310" s="3340">
        <v>42343</v>
      </c>
      <c r="H2310" s="3340">
        <v>42368</v>
      </c>
      <c r="I2310" s="3340">
        <v>42460</v>
      </c>
      <c r="J2310" s="3324"/>
    </row>
    <row r="2311" spans="1:12" s="3327" customFormat="1" ht="13.5" customHeight="1">
      <c r="A2311" s="3354"/>
      <c r="B2311" s="3336" t="s">
        <v>4516</v>
      </c>
      <c r="C2311" s="3336" t="s">
        <v>4649</v>
      </c>
      <c r="D2311" s="3336" t="s">
        <v>4728</v>
      </c>
      <c r="E2311" s="3339">
        <v>187.6</v>
      </c>
      <c r="F2311" s="3339">
        <v>300</v>
      </c>
      <c r="G2311" s="3340">
        <v>42370</v>
      </c>
      <c r="H2311" s="3340">
        <v>42459</v>
      </c>
      <c r="I2311" s="3340">
        <v>42460</v>
      </c>
      <c r="J2311" s="3324"/>
    </row>
    <row r="2312" spans="1:12" s="3327" customFormat="1" ht="13.5" customHeight="1">
      <c r="A2312" s="3354"/>
      <c r="B2312" s="3336" t="s">
        <v>4516</v>
      </c>
      <c r="C2312" s="3336" t="s">
        <v>4730</v>
      </c>
      <c r="D2312" s="3336" t="s">
        <v>4728</v>
      </c>
      <c r="E2312" s="3339">
        <v>132.44999999999999</v>
      </c>
      <c r="F2312" s="3339">
        <v>280</v>
      </c>
      <c r="G2312" s="3340">
        <v>42480</v>
      </c>
      <c r="H2312" s="3340">
        <v>42694</v>
      </c>
      <c r="I2312" s="3340">
        <v>42825</v>
      </c>
      <c r="J2312" s="3324"/>
    </row>
    <row r="2313" spans="1:12" s="3327" customFormat="1" ht="13.5" customHeight="1">
      <c r="A2313" s="3354"/>
      <c r="B2313" s="3336" t="s">
        <v>4516</v>
      </c>
      <c r="C2313" s="3336" t="s">
        <v>4731</v>
      </c>
      <c r="D2313" s="3336" t="s">
        <v>4732</v>
      </c>
      <c r="E2313" s="3339">
        <v>132.44999999999999</v>
      </c>
      <c r="F2313" s="3339">
        <v>260</v>
      </c>
      <c r="G2313" s="3340">
        <v>42705</v>
      </c>
      <c r="H2313" s="3340">
        <v>42824</v>
      </c>
      <c r="I2313" s="3340">
        <v>42825</v>
      </c>
      <c r="J2313" s="3324"/>
    </row>
    <row r="2314" spans="1:12" s="3327" customFormat="1" ht="13.5" customHeight="1">
      <c r="A2314" s="3354" t="s">
        <v>4522</v>
      </c>
      <c r="B2314" s="3331" t="s">
        <v>4516</v>
      </c>
      <c r="C2314" s="3331" t="s">
        <v>4731</v>
      </c>
      <c r="D2314" s="3331" t="s">
        <v>4732</v>
      </c>
      <c r="E2314" s="3332">
        <v>132.44999999999999</v>
      </c>
      <c r="F2314" s="3332">
        <v>260</v>
      </c>
      <c r="G2314" s="3333">
        <v>42826</v>
      </c>
      <c r="H2314" s="3333">
        <v>43130</v>
      </c>
      <c r="I2314" s="3333">
        <v>43190</v>
      </c>
      <c r="J2314" s="3324"/>
      <c r="K2314" s="3334">
        <f t="shared" ref="K2314" si="383">E2314</f>
        <v>132.44999999999999</v>
      </c>
      <c r="L2314" s="3334">
        <f t="shared" ref="L2314" si="384">F2314/30</f>
        <v>8.6666666666666661</v>
      </c>
    </row>
    <row r="2315" spans="1:12" s="3327" customFormat="1" ht="13.5" customHeight="1">
      <c r="A2315" s="3354"/>
      <c r="B2315" s="3336" t="s">
        <v>4516</v>
      </c>
      <c r="C2315" s="3336" t="s">
        <v>4733</v>
      </c>
      <c r="D2315" s="3336" t="s">
        <v>4734</v>
      </c>
      <c r="E2315" s="3339">
        <v>25.9</v>
      </c>
      <c r="F2315" s="3339">
        <v>300</v>
      </c>
      <c r="G2315" s="3340">
        <v>42278</v>
      </c>
      <c r="H2315" s="3340">
        <v>42459</v>
      </c>
      <c r="I2315" s="3340">
        <v>42460</v>
      </c>
      <c r="J2315" s="3324"/>
    </row>
    <row r="2316" spans="1:12" s="3327" customFormat="1" ht="13.5" customHeight="1">
      <c r="A2316" s="3354"/>
      <c r="B2316" s="3336" t="s">
        <v>4516</v>
      </c>
      <c r="C2316" s="3336" t="s">
        <v>4733</v>
      </c>
      <c r="D2316" s="3336" t="s">
        <v>4735</v>
      </c>
      <c r="E2316" s="3339">
        <v>238.18</v>
      </c>
      <c r="F2316" s="3339">
        <v>280</v>
      </c>
      <c r="G2316" s="3340">
        <v>42461</v>
      </c>
      <c r="H2316" s="3340">
        <v>42499</v>
      </c>
      <c r="I2316" s="3340">
        <v>42825</v>
      </c>
      <c r="J2316" s="3324"/>
    </row>
    <row r="2317" spans="1:12" s="3327" customFormat="1" ht="13.5" customHeight="1">
      <c r="A2317" s="3354"/>
      <c r="B2317" s="3336" t="s">
        <v>4516</v>
      </c>
      <c r="C2317" s="3336" t="s">
        <v>4736</v>
      </c>
      <c r="D2317" s="3336" t="s">
        <v>4735</v>
      </c>
      <c r="E2317" s="3339">
        <v>238.18</v>
      </c>
      <c r="F2317" s="3339">
        <v>280</v>
      </c>
      <c r="G2317" s="3340">
        <v>42614</v>
      </c>
      <c r="H2317" s="3340">
        <v>42824</v>
      </c>
      <c r="I2317" s="3340">
        <v>42825</v>
      </c>
      <c r="J2317" s="3324"/>
    </row>
    <row r="2318" spans="1:12" s="3327" customFormat="1" ht="13.5" customHeight="1">
      <c r="A2318" s="3354" t="s">
        <v>4522</v>
      </c>
      <c r="B2318" s="3331" t="s">
        <v>4516</v>
      </c>
      <c r="C2318" s="3331" t="s">
        <v>4736</v>
      </c>
      <c r="D2318" s="3331" t="s">
        <v>4728</v>
      </c>
      <c r="E2318" s="3332">
        <v>238.18</v>
      </c>
      <c r="F2318" s="3332">
        <v>190</v>
      </c>
      <c r="G2318" s="3333">
        <v>42826</v>
      </c>
      <c r="H2318" s="3333">
        <v>43130</v>
      </c>
      <c r="I2318" s="3333">
        <v>43190</v>
      </c>
      <c r="J2318" s="3324"/>
      <c r="K2318" s="3334">
        <f t="shared" ref="K2318" si="385">E2318</f>
        <v>238.18</v>
      </c>
      <c r="L2318" s="3334">
        <f t="shared" ref="L2318" si="386">F2318/30</f>
        <v>6.333333333333333</v>
      </c>
    </row>
    <row r="2319" spans="1:12" s="3327" customFormat="1" ht="13.5" customHeight="1">
      <c r="A2319" s="3355"/>
      <c r="B2319" s="3336" t="s">
        <v>4516</v>
      </c>
      <c r="C2319" s="3336" t="s">
        <v>4486</v>
      </c>
      <c r="D2319" s="3336" t="s">
        <v>4737</v>
      </c>
      <c r="E2319" s="3339">
        <v>96.4</v>
      </c>
      <c r="F2319" s="3339">
        <v>270</v>
      </c>
      <c r="G2319" s="3340">
        <v>41000</v>
      </c>
      <c r="H2319" s="3340">
        <v>41363</v>
      </c>
      <c r="I2319" s="3340">
        <v>41364</v>
      </c>
      <c r="J2319" s="3336"/>
    </row>
    <row r="2320" spans="1:12" s="3327" customFormat="1" ht="13.5" customHeight="1">
      <c r="A2320" s="3354"/>
      <c r="B2320" s="3324" t="s">
        <v>4516</v>
      </c>
      <c r="C2320" s="3324" t="s">
        <v>4738</v>
      </c>
      <c r="D2320" s="3324" t="s">
        <v>4732</v>
      </c>
      <c r="E2320" s="3325">
        <v>96.4</v>
      </c>
      <c r="F2320" s="3325">
        <v>280</v>
      </c>
      <c r="G2320" s="3326">
        <v>41730</v>
      </c>
      <c r="H2320" s="3326">
        <v>42093</v>
      </c>
      <c r="I2320" s="3326">
        <v>42094</v>
      </c>
      <c r="J2320" s="3324"/>
    </row>
    <row r="2321" spans="1:10" s="3327" customFormat="1" ht="13.5" customHeight="1">
      <c r="A2321" s="3354"/>
      <c r="B2321" s="3336" t="s">
        <v>4516</v>
      </c>
      <c r="C2321" s="3336" t="s">
        <v>4738</v>
      </c>
      <c r="D2321" s="3336" t="s">
        <v>4732</v>
      </c>
      <c r="E2321" s="3339">
        <v>96.4</v>
      </c>
      <c r="F2321" s="3339">
        <v>280</v>
      </c>
      <c r="G2321" s="3340">
        <v>42095</v>
      </c>
      <c r="H2321" s="3340">
        <v>42284</v>
      </c>
      <c r="I2321" s="3340">
        <v>42460</v>
      </c>
      <c r="J2321" s="3324"/>
    </row>
    <row r="2322" spans="1:10" s="3327" customFormat="1" ht="13.5" customHeight="1">
      <c r="A2322" s="3354"/>
      <c r="B2322" s="3336" t="s">
        <v>4516</v>
      </c>
      <c r="C2322" s="3336" t="s">
        <v>4733</v>
      </c>
      <c r="D2322" s="3336" t="s">
        <v>4732</v>
      </c>
      <c r="E2322" s="3339">
        <v>96.4</v>
      </c>
      <c r="F2322" s="3339">
        <v>280</v>
      </c>
      <c r="G2322" s="3340">
        <v>42285</v>
      </c>
      <c r="H2322" s="3340">
        <v>42459</v>
      </c>
      <c r="I2322" s="3340">
        <v>42460</v>
      </c>
      <c r="J2322" s="3324"/>
    </row>
    <row r="2323" spans="1:10" s="3327" customFormat="1" ht="13.5" customHeight="1">
      <c r="A2323" s="3354"/>
      <c r="B2323" s="3324" t="s">
        <v>4516</v>
      </c>
      <c r="C2323" s="3324" t="s">
        <v>4739</v>
      </c>
      <c r="D2323" s="3324" t="s">
        <v>4740</v>
      </c>
      <c r="E2323" s="3325">
        <v>227.3</v>
      </c>
      <c r="F2323" s="3325">
        <v>300</v>
      </c>
      <c r="G2323" s="3326">
        <v>41730</v>
      </c>
      <c r="H2323" s="3326">
        <v>41881</v>
      </c>
      <c r="I2323" s="3326">
        <v>41882</v>
      </c>
      <c r="J2323" s="3324"/>
    </row>
    <row r="2324" spans="1:10" s="3327" customFormat="1" ht="13.5" customHeight="1">
      <c r="A2324" s="3354"/>
      <c r="B2324" s="3324" t="s">
        <v>4516</v>
      </c>
      <c r="C2324" s="3324" t="s">
        <v>4739</v>
      </c>
      <c r="D2324" s="3324" t="s">
        <v>4740</v>
      </c>
      <c r="E2324" s="3325">
        <v>227.3</v>
      </c>
      <c r="F2324" s="3325">
        <v>300</v>
      </c>
      <c r="G2324" s="3326">
        <v>41883</v>
      </c>
      <c r="H2324" s="3326">
        <v>41912</v>
      </c>
      <c r="I2324" s="3326">
        <v>42094</v>
      </c>
      <c r="J2324" s="3324"/>
    </row>
    <row r="2325" spans="1:10" s="3327" customFormat="1" ht="13.5" customHeight="1">
      <c r="A2325" s="3354"/>
      <c r="B2325" s="3324" t="s">
        <v>4516</v>
      </c>
      <c r="C2325" s="3324" t="s">
        <v>4739</v>
      </c>
      <c r="D2325" s="3324" t="s">
        <v>4740</v>
      </c>
      <c r="E2325" s="3325">
        <v>227.3</v>
      </c>
      <c r="F2325" s="3325">
        <v>300</v>
      </c>
      <c r="G2325" s="3326">
        <v>41913</v>
      </c>
      <c r="H2325" s="3326">
        <v>42034</v>
      </c>
      <c r="I2325" s="3326">
        <v>42094</v>
      </c>
      <c r="J2325" s="3324"/>
    </row>
    <row r="2326" spans="1:10" s="3327" customFormat="1" ht="13.5" customHeight="1">
      <c r="A2326" s="3355"/>
      <c r="B2326" s="3350" t="s">
        <v>4516</v>
      </c>
      <c r="C2326" s="3351" t="s">
        <v>4654</v>
      </c>
      <c r="D2326" s="3351" t="s">
        <v>4740</v>
      </c>
      <c r="E2326" s="3352">
        <v>227.3</v>
      </c>
      <c r="F2326" s="3352">
        <v>300</v>
      </c>
      <c r="G2326" s="3353">
        <v>42036</v>
      </c>
      <c r="H2326" s="3353">
        <v>42046</v>
      </c>
      <c r="I2326" s="3353">
        <v>42094</v>
      </c>
      <c r="J2326" s="3324"/>
    </row>
    <row r="2327" spans="1:10" s="3327" customFormat="1" ht="13.5" customHeight="1">
      <c r="A2327" s="3355"/>
      <c r="B2327" s="3350" t="s">
        <v>4516</v>
      </c>
      <c r="C2327" s="3351" t="s">
        <v>4654</v>
      </c>
      <c r="D2327" s="3351" t="s">
        <v>4740</v>
      </c>
      <c r="E2327" s="3352">
        <v>227.3</v>
      </c>
      <c r="F2327" s="3352">
        <v>300</v>
      </c>
      <c r="G2327" s="3353">
        <v>42047</v>
      </c>
      <c r="H2327" s="3353">
        <v>42059</v>
      </c>
      <c r="I2327" s="3353">
        <v>42094</v>
      </c>
      <c r="J2327" s="3324"/>
    </row>
    <row r="2328" spans="1:10" s="3327" customFormat="1" ht="13.5" customHeight="1">
      <c r="A2328" s="3355"/>
      <c r="B2328" s="3350" t="s">
        <v>4516</v>
      </c>
      <c r="C2328" s="3351" t="s">
        <v>4654</v>
      </c>
      <c r="D2328" s="3351" t="s">
        <v>4740</v>
      </c>
      <c r="E2328" s="3352">
        <v>227.3</v>
      </c>
      <c r="F2328" s="3352">
        <v>300</v>
      </c>
      <c r="G2328" s="3353">
        <v>42060</v>
      </c>
      <c r="H2328" s="3353">
        <v>42063</v>
      </c>
      <c r="I2328" s="3353">
        <v>42094</v>
      </c>
      <c r="J2328" s="3324"/>
    </row>
    <row r="2329" spans="1:10" s="3327" customFormat="1" ht="13.5" customHeight="1">
      <c r="A2329" s="3355"/>
      <c r="B2329" s="3350" t="s">
        <v>4516</v>
      </c>
      <c r="C2329" s="3351" t="s">
        <v>4654</v>
      </c>
      <c r="D2329" s="3351" t="s">
        <v>4740</v>
      </c>
      <c r="E2329" s="3352">
        <v>227.3</v>
      </c>
      <c r="F2329" s="3352">
        <v>300</v>
      </c>
      <c r="G2329" s="3353">
        <v>42064</v>
      </c>
      <c r="H2329" s="3353">
        <v>42070</v>
      </c>
      <c r="I2329" s="3353">
        <v>42094</v>
      </c>
      <c r="J2329" s="3324"/>
    </row>
    <row r="2330" spans="1:10" s="3327" customFormat="1" ht="13.5" customHeight="1">
      <c r="A2330" s="3355"/>
      <c r="B2330" s="3350" t="s">
        <v>4516</v>
      </c>
      <c r="C2330" s="3351" t="s">
        <v>4654</v>
      </c>
      <c r="D2330" s="3351" t="s">
        <v>4740</v>
      </c>
      <c r="E2330" s="3352">
        <v>227.3</v>
      </c>
      <c r="F2330" s="3352">
        <v>300</v>
      </c>
      <c r="G2330" s="3353">
        <v>42071</v>
      </c>
      <c r="H2330" s="3353">
        <v>42079</v>
      </c>
      <c r="I2330" s="3353">
        <v>42094</v>
      </c>
      <c r="J2330" s="3324"/>
    </row>
    <row r="2331" spans="1:10" s="3327" customFormat="1" ht="13.5" customHeight="1">
      <c r="A2331" s="3355"/>
      <c r="B2331" s="3350" t="s">
        <v>4516</v>
      </c>
      <c r="C2331" s="3351" t="s">
        <v>4654</v>
      </c>
      <c r="D2331" s="3351" t="s">
        <v>4740</v>
      </c>
      <c r="E2331" s="3352">
        <v>227.3</v>
      </c>
      <c r="F2331" s="3352">
        <v>300</v>
      </c>
      <c r="G2331" s="3353">
        <v>42080</v>
      </c>
      <c r="H2331" s="3353">
        <v>42109</v>
      </c>
      <c r="I2331" s="3353">
        <v>42109</v>
      </c>
      <c r="J2331" s="3324"/>
    </row>
    <row r="2332" spans="1:10" s="3327" customFormat="1" ht="13.5" customHeight="1">
      <c r="A2332" s="3355"/>
      <c r="B2332" s="3350" t="s">
        <v>4516</v>
      </c>
      <c r="C2332" s="3351" t="s">
        <v>4654</v>
      </c>
      <c r="D2332" s="3351" t="s">
        <v>4740</v>
      </c>
      <c r="E2332" s="3352">
        <v>227.3</v>
      </c>
      <c r="F2332" s="3352">
        <v>300</v>
      </c>
      <c r="G2332" s="3353">
        <v>42110</v>
      </c>
      <c r="H2332" s="3353">
        <v>42124</v>
      </c>
      <c r="I2332" s="3353">
        <v>42460</v>
      </c>
      <c r="J2332" s="3324"/>
    </row>
    <row r="2333" spans="1:10" s="3327" customFormat="1" ht="13.5" customHeight="1">
      <c r="A2333" s="3355"/>
      <c r="B2333" s="3350" t="s">
        <v>4516</v>
      </c>
      <c r="C2333" s="3351" t="s">
        <v>4654</v>
      </c>
      <c r="D2333" s="3351" t="s">
        <v>4740</v>
      </c>
      <c r="E2333" s="3352">
        <v>227.3</v>
      </c>
      <c r="F2333" s="3352">
        <v>300</v>
      </c>
      <c r="G2333" s="3353">
        <v>42125</v>
      </c>
      <c r="H2333" s="3353">
        <v>42137</v>
      </c>
      <c r="I2333" s="3353">
        <v>42369</v>
      </c>
      <c r="J2333" s="3324"/>
    </row>
    <row r="2334" spans="1:10" s="3327" customFormat="1" ht="13.5" customHeight="1">
      <c r="A2334" s="3355"/>
      <c r="B2334" s="3336" t="s">
        <v>4516</v>
      </c>
      <c r="C2334" s="3336" t="s">
        <v>4654</v>
      </c>
      <c r="D2334" s="3336" t="s">
        <v>4740</v>
      </c>
      <c r="E2334" s="3339">
        <v>227.3</v>
      </c>
      <c r="F2334" s="3339">
        <v>300</v>
      </c>
      <c r="G2334" s="3340">
        <v>42138</v>
      </c>
      <c r="H2334" s="3340">
        <v>42154</v>
      </c>
      <c r="I2334" s="3340">
        <v>42369</v>
      </c>
      <c r="J2334" s="3324"/>
    </row>
    <row r="2335" spans="1:10" s="3327" customFormat="1" ht="13.5" customHeight="1">
      <c r="A2335" s="3355"/>
      <c r="B2335" s="3336" t="s">
        <v>4516</v>
      </c>
      <c r="C2335" s="3336" t="s">
        <v>4741</v>
      </c>
      <c r="D2335" s="3336" t="s">
        <v>4740</v>
      </c>
      <c r="E2335" s="3339">
        <v>227.3</v>
      </c>
      <c r="F2335" s="3339">
        <v>300</v>
      </c>
      <c r="G2335" s="3340">
        <v>42156</v>
      </c>
      <c r="H2335" s="3340">
        <v>42277</v>
      </c>
      <c r="I2335" s="3340">
        <v>42460</v>
      </c>
      <c r="J2335" s="3324"/>
    </row>
    <row r="2336" spans="1:10" s="3327" customFormat="1" ht="13.5" customHeight="1">
      <c r="A2336" s="3355"/>
      <c r="B2336" s="3336" t="s">
        <v>4516</v>
      </c>
      <c r="C2336" s="3336" t="s">
        <v>4742</v>
      </c>
      <c r="D2336" s="3336" t="s">
        <v>4740</v>
      </c>
      <c r="E2336" s="3339">
        <v>227.3</v>
      </c>
      <c r="F2336" s="3339">
        <v>300</v>
      </c>
      <c r="G2336" s="3340">
        <v>42278</v>
      </c>
      <c r="H2336" s="3340">
        <v>42459</v>
      </c>
      <c r="I2336" s="3340">
        <v>42460</v>
      </c>
      <c r="J2336" s="3324"/>
    </row>
    <row r="2337" spans="1:12" s="3327" customFormat="1" ht="13.5" customHeight="1">
      <c r="A2337" s="3355"/>
      <c r="B2337" s="3336" t="s">
        <v>4516</v>
      </c>
      <c r="C2337" s="3336" t="s">
        <v>4742</v>
      </c>
      <c r="D2337" s="3336" t="s">
        <v>4740</v>
      </c>
      <c r="E2337" s="3338">
        <v>229.7</v>
      </c>
      <c r="F2337" s="3339">
        <v>300</v>
      </c>
      <c r="G2337" s="3340">
        <v>42461</v>
      </c>
      <c r="H2337" s="3340">
        <v>42824</v>
      </c>
      <c r="I2337" s="3340">
        <v>42825</v>
      </c>
      <c r="J2337" s="3324"/>
    </row>
    <row r="2338" spans="1:12" s="3327" customFormat="1" ht="13.5" customHeight="1">
      <c r="A2338" s="3355"/>
      <c r="B2338" s="3331" t="s">
        <v>4516</v>
      </c>
      <c r="C2338" s="3331" t="s">
        <v>4743</v>
      </c>
      <c r="D2338" s="3331" t="s">
        <v>4740</v>
      </c>
      <c r="E2338" s="3332">
        <v>229.7</v>
      </c>
      <c r="F2338" s="3332">
        <v>310</v>
      </c>
      <c r="G2338" s="3333">
        <v>42826</v>
      </c>
      <c r="H2338" s="3333">
        <v>42977</v>
      </c>
      <c r="I2338" s="3333">
        <v>43190</v>
      </c>
      <c r="J2338" s="3324"/>
      <c r="K2338" s="3334">
        <f t="shared" ref="K2338:K2339" si="387">E2338</f>
        <v>229.7</v>
      </c>
      <c r="L2338" s="3334">
        <f t="shared" ref="L2338:L2339" si="388">F2338/30</f>
        <v>10.333333333333334</v>
      </c>
    </row>
    <row r="2339" spans="1:12" s="3327" customFormat="1" ht="13.5" customHeight="1">
      <c r="A2339" s="3355" t="s">
        <v>4522</v>
      </c>
      <c r="B2339" s="3331" t="s">
        <v>4516</v>
      </c>
      <c r="C2339" s="3331" t="s">
        <v>4744</v>
      </c>
      <c r="D2339" s="3331" t="s">
        <v>4740</v>
      </c>
      <c r="E2339" s="3332">
        <v>229.7</v>
      </c>
      <c r="F2339" s="3332">
        <v>350</v>
      </c>
      <c r="G2339" s="3333">
        <v>42979</v>
      </c>
      <c r="H2339" s="3333">
        <v>43130</v>
      </c>
      <c r="I2339" s="3333">
        <v>43190</v>
      </c>
      <c r="J2339" s="3324"/>
      <c r="K2339" s="3334">
        <f t="shared" si="387"/>
        <v>229.7</v>
      </c>
      <c r="L2339" s="3334">
        <f t="shared" si="388"/>
        <v>11.666666666666666</v>
      </c>
    </row>
    <row r="2340" spans="1:12" s="3327" customFormat="1" ht="13.5" customHeight="1">
      <c r="A2340" s="3355"/>
      <c r="B2340" s="3336" t="s">
        <v>4516</v>
      </c>
      <c r="C2340" s="3336" t="s">
        <v>4745</v>
      </c>
      <c r="D2340" s="3336" t="s">
        <v>4746</v>
      </c>
      <c r="E2340" s="3339">
        <v>312.60000000000002</v>
      </c>
      <c r="F2340" s="3339">
        <v>335</v>
      </c>
      <c r="G2340" s="3340">
        <v>41000</v>
      </c>
      <c r="H2340" s="3340">
        <v>41363</v>
      </c>
      <c r="I2340" s="3340">
        <v>41364</v>
      </c>
      <c r="J2340" s="3336"/>
    </row>
    <row r="2341" spans="1:12" s="3327" customFormat="1" ht="13.5" customHeight="1">
      <c r="A2341" s="3354"/>
      <c r="B2341" s="3324" t="s">
        <v>4516</v>
      </c>
      <c r="C2341" s="3324" t="s">
        <v>4745</v>
      </c>
      <c r="D2341" s="3324" t="s">
        <v>4747</v>
      </c>
      <c r="E2341" s="3325">
        <v>312.60000000000002</v>
      </c>
      <c r="F2341" s="3325">
        <v>350</v>
      </c>
      <c r="G2341" s="3326">
        <v>41730</v>
      </c>
      <c r="H2341" s="3326">
        <v>42093</v>
      </c>
      <c r="I2341" s="3326">
        <v>42094</v>
      </c>
      <c r="J2341" s="3324"/>
    </row>
    <row r="2342" spans="1:12" s="3327" customFormat="1" ht="13.5" customHeight="1">
      <c r="A2342" s="3354"/>
      <c r="B2342" s="3336" t="s">
        <v>4516</v>
      </c>
      <c r="C2342" s="3336" t="s">
        <v>4745</v>
      </c>
      <c r="D2342" s="3336" t="s">
        <v>4747</v>
      </c>
      <c r="E2342" s="3339">
        <v>312.60000000000002</v>
      </c>
      <c r="F2342" s="3339">
        <v>356</v>
      </c>
      <c r="G2342" s="3340">
        <v>42095</v>
      </c>
      <c r="H2342" s="3340">
        <v>42459</v>
      </c>
      <c r="I2342" s="3340">
        <v>42460</v>
      </c>
      <c r="J2342" s="3324"/>
    </row>
    <row r="2343" spans="1:12" s="3327" customFormat="1" ht="13.5" customHeight="1">
      <c r="A2343" s="3354"/>
      <c r="B2343" s="3336" t="s">
        <v>4516</v>
      </c>
      <c r="C2343" s="3336" t="s">
        <v>4745</v>
      </c>
      <c r="D2343" s="3336" t="s">
        <v>4747</v>
      </c>
      <c r="E2343" s="3339">
        <v>312.60000000000002</v>
      </c>
      <c r="F2343" s="3339">
        <v>358</v>
      </c>
      <c r="G2343" s="3340">
        <v>42461</v>
      </c>
      <c r="H2343" s="3340">
        <v>42824</v>
      </c>
      <c r="I2343" s="3340">
        <v>42825</v>
      </c>
      <c r="J2343" s="3324"/>
    </row>
    <row r="2344" spans="1:12" s="3327" customFormat="1" ht="13.5" customHeight="1">
      <c r="A2344" s="3354" t="s">
        <v>4522</v>
      </c>
      <c r="B2344" s="3331" t="s">
        <v>4516</v>
      </c>
      <c r="C2344" s="3331" t="s">
        <v>4745</v>
      </c>
      <c r="D2344" s="3331" t="s">
        <v>4747</v>
      </c>
      <c r="E2344" s="3332">
        <v>312.60000000000002</v>
      </c>
      <c r="F2344" s="3332">
        <v>350</v>
      </c>
      <c r="G2344" s="3333">
        <v>42826</v>
      </c>
      <c r="H2344" s="3333">
        <v>43130</v>
      </c>
      <c r="I2344" s="3333">
        <v>43190</v>
      </c>
      <c r="J2344" s="3324"/>
      <c r="K2344" s="3334">
        <f t="shared" ref="K2344" si="389">E2344</f>
        <v>312.60000000000002</v>
      </c>
      <c r="L2344" s="3334">
        <f t="shared" ref="L2344" si="390">F2344/30</f>
        <v>11.666666666666666</v>
      </c>
    </row>
    <row r="2345" spans="1:12" s="3327" customFormat="1" ht="13.5" customHeight="1">
      <c r="A2345" s="3354"/>
      <c r="B2345" s="3324" t="s">
        <v>4516</v>
      </c>
      <c r="C2345" s="3324" t="s">
        <v>4748</v>
      </c>
      <c r="D2345" s="3324" t="s">
        <v>4749</v>
      </c>
      <c r="E2345" s="3325">
        <v>347</v>
      </c>
      <c r="F2345" s="3325">
        <v>330</v>
      </c>
      <c r="G2345" s="3326">
        <v>41000</v>
      </c>
      <c r="H2345" s="3326">
        <v>41371</v>
      </c>
      <c r="I2345" s="3326">
        <v>41364</v>
      </c>
      <c r="J2345" s="3324"/>
    </row>
    <row r="2346" spans="1:12" s="3327" customFormat="1" ht="13.5" customHeight="1">
      <c r="A2346" s="3354"/>
      <c r="B2346" s="3324" t="s">
        <v>4516</v>
      </c>
      <c r="C2346" s="3324" t="s">
        <v>4748</v>
      </c>
      <c r="D2346" s="3324" t="s">
        <v>4750</v>
      </c>
      <c r="E2346" s="3325">
        <v>173.1</v>
      </c>
      <c r="F2346" s="3325">
        <v>350</v>
      </c>
      <c r="G2346" s="3326">
        <v>41730</v>
      </c>
      <c r="H2346" s="3326">
        <v>41789</v>
      </c>
      <c r="I2346" s="3326">
        <v>42094</v>
      </c>
      <c r="J2346" s="3324"/>
    </row>
    <row r="2347" spans="1:12" s="3327" customFormat="1" ht="13.5" customHeight="1">
      <c r="A2347" s="3354"/>
      <c r="B2347" s="3324" t="s">
        <v>4516</v>
      </c>
      <c r="C2347" s="3403" t="s">
        <v>4751</v>
      </c>
      <c r="D2347" s="3324" t="s">
        <v>4750</v>
      </c>
      <c r="E2347" s="3325">
        <v>173.1</v>
      </c>
      <c r="F2347" s="3325">
        <v>350</v>
      </c>
      <c r="G2347" s="3326">
        <v>41791</v>
      </c>
      <c r="H2347" s="3326">
        <v>42093</v>
      </c>
      <c r="I2347" s="3326">
        <v>42094</v>
      </c>
      <c r="J2347" s="3324"/>
    </row>
    <row r="2348" spans="1:12" s="3327" customFormat="1" ht="13.5" customHeight="1">
      <c r="A2348" s="3354"/>
      <c r="B2348" s="3336" t="s">
        <v>4516</v>
      </c>
      <c r="C2348" s="3336" t="s">
        <v>4751</v>
      </c>
      <c r="D2348" s="3336" t="s">
        <v>4750</v>
      </c>
      <c r="E2348" s="3339">
        <v>173.1</v>
      </c>
      <c r="F2348" s="3339">
        <v>356</v>
      </c>
      <c r="G2348" s="3340">
        <v>42095</v>
      </c>
      <c r="H2348" s="3340">
        <v>42459</v>
      </c>
      <c r="I2348" s="3340">
        <v>42460</v>
      </c>
      <c r="J2348" s="3324"/>
    </row>
    <row r="2349" spans="1:12" s="3327" customFormat="1" ht="13.5" customHeight="1">
      <c r="A2349" s="3354"/>
      <c r="B2349" s="3336" t="s">
        <v>4516</v>
      </c>
      <c r="C2349" s="3336" t="s">
        <v>4530</v>
      </c>
      <c r="D2349" s="3336" t="s">
        <v>4752</v>
      </c>
      <c r="E2349" s="3339">
        <v>347</v>
      </c>
      <c r="F2349" s="3339">
        <v>370</v>
      </c>
      <c r="G2349" s="3340">
        <v>42461</v>
      </c>
      <c r="H2349" s="3340">
        <v>42824</v>
      </c>
      <c r="I2349" s="3340">
        <v>42825</v>
      </c>
      <c r="J2349" s="3324"/>
    </row>
    <row r="2350" spans="1:12" s="3327" customFormat="1" ht="13.5" customHeight="1">
      <c r="A2350" s="3354"/>
      <c r="B2350" s="3331" t="s">
        <v>4516</v>
      </c>
      <c r="C2350" s="3331" t="s">
        <v>4753</v>
      </c>
      <c r="D2350" s="3331" t="s">
        <v>4752</v>
      </c>
      <c r="E2350" s="3332">
        <v>347</v>
      </c>
      <c r="F2350" s="3332">
        <v>370</v>
      </c>
      <c r="G2350" s="3333">
        <v>42826</v>
      </c>
      <c r="H2350" s="3333">
        <v>42946</v>
      </c>
      <c r="I2350" s="3333">
        <v>43190</v>
      </c>
      <c r="J2350" s="3324"/>
      <c r="K2350" s="3334">
        <f t="shared" ref="K2350:K2351" si="391">E2350</f>
        <v>347</v>
      </c>
      <c r="L2350" s="3334">
        <f t="shared" ref="L2350:L2351" si="392">F2350/30</f>
        <v>12.333333333333334</v>
      </c>
    </row>
    <row r="2351" spans="1:12" s="3327" customFormat="1" ht="13.5" customHeight="1">
      <c r="A2351" s="3354" t="s">
        <v>4522</v>
      </c>
      <c r="B2351" s="3331" t="s">
        <v>4516</v>
      </c>
      <c r="C2351" s="3331" t="s">
        <v>4754</v>
      </c>
      <c r="D2351" s="3331" t="s">
        <v>4752</v>
      </c>
      <c r="E2351" s="3332">
        <v>347</v>
      </c>
      <c r="F2351" s="3332">
        <v>400</v>
      </c>
      <c r="G2351" s="3333">
        <v>42948</v>
      </c>
      <c r="H2351" s="3333">
        <v>43130</v>
      </c>
      <c r="I2351" s="3333">
        <v>43190</v>
      </c>
      <c r="J2351" s="3324"/>
      <c r="K2351" s="3334">
        <f t="shared" si="391"/>
        <v>347</v>
      </c>
      <c r="L2351" s="3334">
        <f t="shared" si="392"/>
        <v>13.333333333333334</v>
      </c>
    </row>
    <row r="2352" spans="1:12" s="3327" customFormat="1" ht="13.5" customHeight="1">
      <c r="A2352" s="3354"/>
      <c r="B2352" s="3324" t="s">
        <v>4516</v>
      </c>
      <c r="C2352" s="3324" t="s">
        <v>4755</v>
      </c>
      <c r="D2352" s="3324" t="s">
        <v>4756</v>
      </c>
      <c r="E2352" s="3325">
        <v>173.9</v>
      </c>
      <c r="F2352" s="3325">
        <v>340</v>
      </c>
      <c r="G2352" s="3326">
        <v>41730</v>
      </c>
      <c r="H2352" s="3326">
        <v>42093</v>
      </c>
      <c r="I2352" s="3326">
        <v>42094</v>
      </c>
      <c r="J2352" s="3324"/>
    </row>
    <row r="2353" spans="1:12" s="3327" customFormat="1" ht="13.5" customHeight="1">
      <c r="A2353" s="3354"/>
      <c r="B2353" s="3336" t="s">
        <v>4516</v>
      </c>
      <c r="C2353" s="3336" t="s">
        <v>4755</v>
      </c>
      <c r="D2353" s="3336" t="s">
        <v>4756</v>
      </c>
      <c r="E2353" s="3339">
        <v>173.9</v>
      </c>
      <c r="F2353" s="3339">
        <v>340</v>
      </c>
      <c r="G2353" s="3340">
        <v>42095</v>
      </c>
      <c r="H2353" s="3340">
        <v>42373</v>
      </c>
      <c r="I2353" s="3340">
        <v>42460</v>
      </c>
      <c r="J2353" s="3324"/>
    </row>
    <row r="2354" spans="1:12" s="3327" customFormat="1" ht="13.5" customHeight="1">
      <c r="A2354" s="3354"/>
      <c r="B2354" s="3331" t="s">
        <v>4516</v>
      </c>
      <c r="C2354" s="3351" t="s">
        <v>4755</v>
      </c>
      <c r="D2354" s="3351" t="s">
        <v>4756</v>
      </c>
      <c r="E2354" s="3352">
        <v>173.9</v>
      </c>
      <c r="F2354" s="3352">
        <v>340</v>
      </c>
      <c r="G2354" s="3353">
        <v>42374</v>
      </c>
      <c r="H2354" s="3333">
        <v>42459</v>
      </c>
      <c r="I2354" s="3353">
        <v>42460</v>
      </c>
      <c r="J2354" s="3324"/>
    </row>
    <row r="2355" spans="1:12" s="3327" customFormat="1" ht="13.5" customHeight="1">
      <c r="A2355" s="3355"/>
      <c r="B2355" s="3336" t="s">
        <v>4516</v>
      </c>
      <c r="C2355" s="3336" t="s">
        <v>4757</v>
      </c>
      <c r="D2355" s="3336" t="s">
        <v>4758</v>
      </c>
      <c r="E2355" s="3352">
        <v>173.9</v>
      </c>
      <c r="F2355" s="3339">
        <v>280</v>
      </c>
      <c r="G2355" s="3340">
        <v>41188</v>
      </c>
      <c r="H2355" s="3340">
        <v>41363</v>
      </c>
      <c r="I2355" s="3340">
        <v>41364</v>
      </c>
      <c r="J2355" s="3336"/>
    </row>
    <row r="2356" spans="1:12" s="3327" customFormat="1" ht="13.5" customHeight="1">
      <c r="A2356" s="3354"/>
      <c r="B2356" s="3324" t="s">
        <v>4516</v>
      </c>
      <c r="C2356" s="3324" t="s">
        <v>4757</v>
      </c>
      <c r="D2356" s="3324" t="s">
        <v>4759</v>
      </c>
      <c r="E2356" s="3325">
        <v>219.3</v>
      </c>
      <c r="F2356" s="3325">
        <v>240</v>
      </c>
      <c r="G2356" s="3326">
        <v>41730</v>
      </c>
      <c r="H2356" s="3326">
        <v>42093</v>
      </c>
      <c r="I2356" s="3326">
        <v>42094</v>
      </c>
      <c r="J2356" s="3324"/>
    </row>
    <row r="2357" spans="1:12" s="3327" customFormat="1" ht="13.5" customHeight="1">
      <c r="A2357" s="3354"/>
      <c r="B2357" s="3336" t="s">
        <v>4516</v>
      </c>
      <c r="C2357" s="3336" t="s">
        <v>4757</v>
      </c>
      <c r="D2357" s="3336" t="s">
        <v>4759</v>
      </c>
      <c r="E2357" s="3339">
        <v>219.3</v>
      </c>
      <c r="F2357" s="3339">
        <v>270</v>
      </c>
      <c r="G2357" s="3340">
        <v>42095</v>
      </c>
      <c r="H2357" s="3340">
        <v>42141</v>
      </c>
      <c r="I2357" s="3340">
        <v>42460</v>
      </c>
      <c r="J2357" s="3324"/>
    </row>
    <row r="2358" spans="1:12" s="3327" customFormat="1" ht="13.5" customHeight="1">
      <c r="A2358" s="3354"/>
      <c r="B2358" s="3336" t="s">
        <v>4516</v>
      </c>
      <c r="C2358" s="3336" t="s">
        <v>4760</v>
      </c>
      <c r="D2358" s="3336" t="s">
        <v>4759</v>
      </c>
      <c r="E2358" s="3339">
        <v>219.3</v>
      </c>
      <c r="F2358" s="3339">
        <v>270</v>
      </c>
      <c r="G2358" s="3340">
        <v>42145</v>
      </c>
      <c r="H2358" s="3340">
        <v>42459</v>
      </c>
      <c r="I2358" s="3340">
        <v>42460</v>
      </c>
      <c r="J2358" s="3324"/>
    </row>
    <row r="2359" spans="1:12" s="3327" customFormat="1" ht="13.5" customHeight="1">
      <c r="A2359" s="3354"/>
      <c r="B2359" s="3336" t="s">
        <v>4516</v>
      </c>
      <c r="C2359" s="3336" t="s">
        <v>4760</v>
      </c>
      <c r="D2359" s="3336" t="s">
        <v>4759</v>
      </c>
      <c r="E2359" s="3338">
        <v>219.31</v>
      </c>
      <c r="F2359" s="3339">
        <v>270</v>
      </c>
      <c r="G2359" s="3340">
        <v>42461</v>
      </c>
      <c r="H2359" s="3340">
        <v>42824</v>
      </c>
      <c r="I2359" s="3340">
        <v>42825</v>
      </c>
      <c r="J2359" s="3324"/>
    </row>
    <row r="2360" spans="1:12" s="3327" customFormat="1" ht="13.5" customHeight="1">
      <c r="A2360" s="3354" t="s">
        <v>4522</v>
      </c>
      <c r="B2360" s="3331" t="s">
        <v>4516</v>
      </c>
      <c r="C2360" s="3331" t="s">
        <v>4760</v>
      </c>
      <c r="D2360" s="3331" t="s">
        <v>4759</v>
      </c>
      <c r="E2360" s="3347">
        <v>219.31</v>
      </c>
      <c r="F2360" s="3332">
        <v>275</v>
      </c>
      <c r="G2360" s="3333">
        <v>42826</v>
      </c>
      <c r="H2360" s="3333">
        <v>43130</v>
      </c>
      <c r="I2360" s="3333">
        <v>43190</v>
      </c>
      <c r="J2360" s="3324"/>
      <c r="K2360" s="3334">
        <f t="shared" ref="K2360" si="393">E2360</f>
        <v>219.31</v>
      </c>
      <c r="L2360" s="3334">
        <f t="shared" ref="L2360" si="394">F2360/30</f>
        <v>9.1666666666666661</v>
      </c>
    </row>
    <row r="2361" spans="1:12" s="3327" customFormat="1" ht="13.5" customHeight="1">
      <c r="A2361" s="3355"/>
      <c r="B2361" s="3336" t="s">
        <v>4516</v>
      </c>
      <c r="C2361" s="3336" t="s">
        <v>4649</v>
      </c>
      <c r="D2361" s="3336" t="s">
        <v>4761</v>
      </c>
      <c r="E2361" s="3339">
        <v>265.3</v>
      </c>
      <c r="F2361" s="3339">
        <v>270</v>
      </c>
      <c r="G2361" s="3340">
        <v>41061</v>
      </c>
      <c r="H2361" s="3340">
        <v>41363</v>
      </c>
      <c r="I2361" s="3340">
        <v>41364</v>
      </c>
      <c r="J2361" s="3336"/>
    </row>
    <row r="2362" spans="1:12" s="3327" customFormat="1" ht="13.5" customHeight="1">
      <c r="A2362" s="3354"/>
      <c r="B2362" s="3324" t="s">
        <v>4516</v>
      </c>
      <c r="C2362" s="3324" t="s">
        <v>4649</v>
      </c>
      <c r="D2362" s="3324" t="s">
        <v>4762</v>
      </c>
      <c r="E2362" s="3325">
        <v>265.3</v>
      </c>
      <c r="F2362" s="3325">
        <v>270</v>
      </c>
      <c r="G2362" s="3326">
        <v>41365</v>
      </c>
      <c r="H2362" s="3326">
        <v>41728</v>
      </c>
      <c r="I2362" s="3326">
        <v>41729</v>
      </c>
      <c r="J2362" s="3324"/>
    </row>
    <row r="2363" spans="1:12" s="3327" customFormat="1" ht="13.5" customHeight="1">
      <c r="A2363" s="3354"/>
      <c r="B2363" s="3324" t="s">
        <v>4516</v>
      </c>
      <c r="C2363" s="3324" t="s">
        <v>4649</v>
      </c>
      <c r="D2363" s="3324" t="s">
        <v>4762</v>
      </c>
      <c r="E2363" s="3325">
        <v>265.3</v>
      </c>
      <c r="F2363" s="3325">
        <v>260</v>
      </c>
      <c r="G2363" s="3326">
        <v>41730</v>
      </c>
      <c r="H2363" s="3326">
        <v>42093</v>
      </c>
      <c r="I2363" s="3326">
        <v>42094</v>
      </c>
      <c r="J2363" s="3324"/>
    </row>
    <row r="2364" spans="1:12" s="3327" customFormat="1" ht="13.5" customHeight="1">
      <c r="A2364" s="3354"/>
      <c r="B2364" s="3336" t="s">
        <v>4516</v>
      </c>
      <c r="C2364" s="3336" t="s">
        <v>4649</v>
      </c>
      <c r="D2364" s="3336" t="s">
        <v>4762</v>
      </c>
      <c r="E2364" s="3339">
        <v>265.3</v>
      </c>
      <c r="F2364" s="3339">
        <v>266</v>
      </c>
      <c r="G2364" s="3340">
        <v>42095</v>
      </c>
      <c r="H2364" s="3340">
        <v>42368</v>
      </c>
      <c r="I2364" s="3340">
        <v>42460</v>
      </c>
      <c r="J2364" s="3324"/>
    </row>
    <row r="2365" spans="1:12" s="3327" customFormat="1" ht="13.5" customHeight="1">
      <c r="A2365" s="3354"/>
      <c r="B2365" s="3331" t="s">
        <v>4516</v>
      </c>
      <c r="C2365" s="3351" t="s">
        <v>4649</v>
      </c>
      <c r="D2365" s="3351" t="s">
        <v>4762</v>
      </c>
      <c r="E2365" s="3352">
        <v>265.3</v>
      </c>
      <c r="F2365" s="3352">
        <v>266</v>
      </c>
      <c r="G2365" s="3353">
        <v>42370</v>
      </c>
      <c r="H2365" s="3333">
        <v>42459</v>
      </c>
      <c r="I2365" s="3353">
        <v>42460</v>
      </c>
      <c r="J2365" s="3324"/>
    </row>
    <row r="2366" spans="1:12" s="3327" customFormat="1" ht="13.5" customHeight="1">
      <c r="A2366" s="3354"/>
      <c r="B2366" s="3336" t="s">
        <v>4516</v>
      </c>
      <c r="C2366" s="3336" t="s">
        <v>4763</v>
      </c>
      <c r="D2366" s="3336" t="s">
        <v>4762</v>
      </c>
      <c r="E2366" s="3339">
        <v>273.7</v>
      </c>
      <c r="F2366" s="3339">
        <v>266</v>
      </c>
      <c r="G2366" s="3340">
        <v>42461</v>
      </c>
      <c r="H2366" s="3340">
        <v>42734</v>
      </c>
      <c r="I2366" s="3340">
        <v>42825</v>
      </c>
      <c r="J2366" s="3324"/>
    </row>
    <row r="2367" spans="1:12" s="3327" customFormat="1" ht="13.5" customHeight="1">
      <c r="A2367" s="3354"/>
      <c r="B2367" s="3336" t="s">
        <v>4516</v>
      </c>
      <c r="C2367" s="3336" t="s">
        <v>4763</v>
      </c>
      <c r="D2367" s="3336" t="s">
        <v>4764</v>
      </c>
      <c r="E2367" s="3339">
        <v>206.92</v>
      </c>
      <c r="F2367" s="3339">
        <v>266</v>
      </c>
      <c r="G2367" s="3340">
        <v>42736</v>
      </c>
      <c r="H2367" s="3340">
        <v>42824</v>
      </c>
      <c r="I2367" s="3340">
        <v>42825</v>
      </c>
      <c r="J2367" s="3324"/>
    </row>
    <row r="2368" spans="1:12" s="3327" customFormat="1" ht="13.5" customHeight="1">
      <c r="A2368" s="3354"/>
      <c r="B2368" s="3331" t="s">
        <v>4516</v>
      </c>
      <c r="C2368" s="3331" t="s">
        <v>4763</v>
      </c>
      <c r="D2368" s="3331"/>
      <c r="E2368" s="3332">
        <v>206.92</v>
      </c>
      <c r="F2368" s="3332">
        <v>266</v>
      </c>
      <c r="G2368" s="3333">
        <v>42826</v>
      </c>
      <c r="H2368" s="3333">
        <v>42916</v>
      </c>
      <c r="I2368" s="3333">
        <v>43190</v>
      </c>
      <c r="J2368" s="3324"/>
      <c r="K2368" s="3334">
        <f t="shared" ref="K2368:K2369" si="395">E2368</f>
        <v>206.92</v>
      </c>
      <c r="L2368" s="3334">
        <f t="shared" ref="L2368:L2369" si="396">F2368/30</f>
        <v>8.8666666666666671</v>
      </c>
    </row>
    <row r="2369" spans="1:12" s="3327" customFormat="1" ht="13.5" customHeight="1">
      <c r="A2369" s="3354" t="s">
        <v>4522</v>
      </c>
      <c r="B2369" s="3331" t="s">
        <v>4516</v>
      </c>
      <c r="C2369" s="3331" t="s">
        <v>4765</v>
      </c>
      <c r="D2369" s="3331" t="s">
        <v>4762</v>
      </c>
      <c r="E2369" s="3332">
        <v>206.92</v>
      </c>
      <c r="F2369" s="3332">
        <v>270</v>
      </c>
      <c r="G2369" s="3400">
        <v>42917</v>
      </c>
      <c r="H2369" s="3333">
        <v>43130</v>
      </c>
      <c r="I2369" s="3400">
        <v>43190</v>
      </c>
      <c r="J2369" s="3324"/>
      <c r="K2369" s="3334">
        <f t="shared" si="395"/>
        <v>206.92</v>
      </c>
      <c r="L2369" s="3334">
        <f t="shared" si="396"/>
        <v>9</v>
      </c>
    </row>
    <row r="2370" spans="1:12" s="3327" customFormat="1" ht="13.5" customHeight="1">
      <c r="A2370" s="3354"/>
      <c r="B2370" s="3336" t="s">
        <v>4516</v>
      </c>
      <c r="C2370" s="3336" t="s">
        <v>4766</v>
      </c>
      <c r="D2370" s="3336" t="s">
        <v>4767</v>
      </c>
      <c r="E2370" s="3339">
        <v>66.8</v>
      </c>
      <c r="F2370" s="3339">
        <v>266</v>
      </c>
      <c r="G2370" s="3340">
        <v>42736</v>
      </c>
      <c r="H2370" s="3340">
        <v>42824</v>
      </c>
      <c r="I2370" s="3340">
        <v>42825</v>
      </c>
      <c r="J2370" s="3324"/>
    </row>
    <row r="2371" spans="1:12" s="3327" customFormat="1" ht="13.5" customHeight="1">
      <c r="A2371" s="3354"/>
      <c r="B2371" s="3331" t="s">
        <v>4516</v>
      </c>
      <c r="C2371" s="3331" t="s">
        <v>4766</v>
      </c>
      <c r="D2371" s="3331"/>
      <c r="E2371" s="3332">
        <v>66.8</v>
      </c>
      <c r="F2371" s="3332">
        <v>266</v>
      </c>
      <c r="G2371" s="3333">
        <v>42826</v>
      </c>
      <c r="H2371" s="3333">
        <v>43043</v>
      </c>
      <c r="I2371" s="3333">
        <v>43190</v>
      </c>
      <c r="J2371" s="3324"/>
      <c r="K2371" s="3334">
        <f t="shared" ref="K2371:K2372" si="397">E2371</f>
        <v>66.8</v>
      </c>
      <c r="L2371" s="3334">
        <f t="shared" ref="L2371:L2372" si="398">F2371/30</f>
        <v>8.8666666666666671</v>
      </c>
    </row>
    <row r="2372" spans="1:12" s="3327" customFormat="1" ht="13.5" customHeight="1">
      <c r="A2372" s="3354" t="s">
        <v>4522</v>
      </c>
      <c r="B2372" s="3331" t="s">
        <v>4516</v>
      </c>
      <c r="C2372" s="3331" t="s">
        <v>4768</v>
      </c>
      <c r="D2372" s="3331"/>
      <c r="E2372" s="3332">
        <v>66.8</v>
      </c>
      <c r="F2372" s="3332">
        <v>266</v>
      </c>
      <c r="G2372" s="3333">
        <v>43044</v>
      </c>
      <c r="H2372" s="3333">
        <v>43130</v>
      </c>
      <c r="I2372" s="3333">
        <v>43190</v>
      </c>
      <c r="J2372" s="3324"/>
      <c r="K2372" s="3334">
        <f t="shared" si="397"/>
        <v>66.8</v>
      </c>
      <c r="L2372" s="3334">
        <f t="shared" si="398"/>
        <v>8.8666666666666671</v>
      </c>
    </row>
    <row r="2373" spans="1:12" s="3327" customFormat="1" ht="13.5" customHeight="1">
      <c r="A2373" s="3355"/>
      <c r="B2373" s="3336" t="s">
        <v>4516</v>
      </c>
      <c r="C2373" s="3336" t="s">
        <v>4617</v>
      </c>
      <c r="D2373" s="3336" t="s">
        <v>4769</v>
      </c>
      <c r="E2373" s="3339">
        <v>123.2</v>
      </c>
      <c r="F2373" s="3339">
        <v>270</v>
      </c>
      <c r="G2373" s="3340">
        <v>41000</v>
      </c>
      <c r="H2373" s="3340">
        <v>41363</v>
      </c>
      <c r="I2373" s="3340">
        <v>41364</v>
      </c>
      <c r="J2373" s="3336"/>
    </row>
    <row r="2374" spans="1:12" s="3327" customFormat="1" ht="13.5" customHeight="1">
      <c r="A2374" s="3354"/>
      <c r="B2374" s="3324" t="s">
        <v>4516</v>
      </c>
      <c r="C2374" s="3324" t="s">
        <v>4770</v>
      </c>
      <c r="D2374" s="3324" t="s">
        <v>4771</v>
      </c>
      <c r="E2374" s="3325">
        <v>319.7</v>
      </c>
      <c r="F2374" s="3325">
        <v>280</v>
      </c>
      <c r="G2374" s="3326">
        <v>41730</v>
      </c>
      <c r="H2374" s="3326">
        <v>42093</v>
      </c>
      <c r="I2374" s="3326">
        <v>42094</v>
      </c>
      <c r="J2374" s="3324"/>
    </row>
    <row r="2375" spans="1:12" s="3327" customFormat="1" ht="13.5" customHeight="1">
      <c r="A2375" s="3354"/>
      <c r="B2375" s="3336" t="s">
        <v>4516</v>
      </c>
      <c r="C2375" s="3336" t="s">
        <v>4770</v>
      </c>
      <c r="D2375" s="3336" t="s">
        <v>4771</v>
      </c>
      <c r="E2375" s="3339">
        <v>319.7</v>
      </c>
      <c r="F2375" s="3339">
        <v>285</v>
      </c>
      <c r="G2375" s="3340">
        <v>42095</v>
      </c>
      <c r="H2375" s="3340">
        <v>42154</v>
      </c>
      <c r="I2375" s="3340">
        <v>42460</v>
      </c>
      <c r="J2375" s="3379"/>
    </row>
    <row r="2376" spans="1:12" s="3327" customFormat="1" ht="13.5" customHeight="1">
      <c r="A2376" s="3354"/>
      <c r="B2376" s="3336" t="s">
        <v>4516</v>
      </c>
      <c r="C2376" s="3336" t="s">
        <v>4770</v>
      </c>
      <c r="D2376" s="3336" t="s">
        <v>4771</v>
      </c>
      <c r="E2376" s="3397">
        <v>123.2</v>
      </c>
      <c r="F2376" s="3397">
        <v>285</v>
      </c>
      <c r="G2376" s="3398">
        <v>42156</v>
      </c>
      <c r="H2376" s="3340">
        <v>42277</v>
      </c>
      <c r="I2376" s="3398">
        <v>42277</v>
      </c>
      <c r="J2376" s="3379"/>
    </row>
    <row r="2377" spans="1:12" s="3327" customFormat="1" ht="13.5" customHeight="1">
      <c r="A2377" s="3354"/>
      <c r="B2377" s="3336" t="s">
        <v>4516</v>
      </c>
      <c r="C2377" s="3372" t="s">
        <v>4772</v>
      </c>
      <c r="D2377" s="3336" t="s">
        <v>4771</v>
      </c>
      <c r="E2377" s="3397">
        <v>123.2</v>
      </c>
      <c r="F2377" s="3397">
        <v>285</v>
      </c>
      <c r="G2377" s="3398">
        <v>42278</v>
      </c>
      <c r="H2377" s="3340">
        <v>42459</v>
      </c>
      <c r="I2377" s="3398">
        <v>42460</v>
      </c>
      <c r="J2377" s="3379"/>
    </row>
    <row r="2378" spans="1:12" s="3327" customFormat="1" ht="13.5" customHeight="1">
      <c r="A2378" s="3354"/>
      <c r="B2378" s="3336" t="s">
        <v>4516</v>
      </c>
      <c r="C2378" s="3372" t="s">
        <v>4773</v>
      </c>
      <c r="D2378" s="3336" t="s">
        <v>4771</v>
      </c>
      <c r="E2378" s="3397">
        <v>164.86</v>
      </c>
      <c r="F2378" s="3397">
        <v>285</v>
      </c>
      <c r="G2378" s="3398">
        <v>42461</v>
      </c>
      <c r="H2378" s="3340">
        <v>42824</v>
      </c>
      <c r="I2378" s="3398">
        <v>42825</v>
      </c>
      <c r="J2378" s="3379"/>
    </row>
    <row r="2379" spans="1:12" s="3327" customFormat="1" ht="13.5" customHeight="1">
      <c r="A2379" s="3354"/>
      <c r="B2379" s="3331" t="s">
        <v>4516</v>
      </c>
      <c r="C2379" s="3378" t="s">
        <v>4773</v>
      </c>
      <c r="D2379" s="3331" t="s">
        <v>4771</v>
      </c>
      <c r="E2379" s="3399">
        <v>164.86</v>
      </c>
      <c r="F2379" s="3399">
        <v>270</v>
      </c>
      <c r="G2379" s="3400">
        <v>42826</v>
      </c>
      <c r="H2379" s="3333">
        <v>42916</v>
      </c>
      <c r="I2379" s="3400">
        <v>43190</v>
      </c>
      <c r="J2379" s="3379"/>
      <c r="K2379" s="3334">
        <f t="shared" ref="K2379:K2381" si="399">E2379</f>
        <v>164.86</v>
      </c>
      <c r="L2379" s="3334">
        <f t="shared" ref="L2379:L2381" si="400">F2379/30</f>
        <v>9</v>
      </c>
    </row>
    <row r="2380" spans="1:12" s="3327" customFormat="1" ht="13.5" customHeight="1">
      <c r="A2380" s="3354"/>
      <c r="B2380" s="3331" t="s">
        <v>4516</v>
      </c>
      <c r="C2380" s="3378" t="s">
        <v>4774</v>
      </c>
      <c r="D2380" s="3331" t="s">
        <v>4771</v>
      </c>
      <c r="E2380" s="3399">
        <v>164.86</v>
      </c>
      <c r="F2380" s="3399">
        <v>270</v>
      </c>
      <c r="G2380" s="3408">
        <v>42917</v>
      </c>
      <c r="H2380" s="3341">
        <v>43099</v>
      </c>
      <c r="I2380" s="3408">
        <v>43190</v>
      </c>
      <c r="J2380" s="3379"/>
      <c r="K2380" s="3334">
        <f t="shared" si="399"/>
        <v>164.86</v>
      </c>
      <c r="L2380" s="3334">
        <f t="shared" si="400"/>
        <v>9</v>
      </c>
    </row>
    <row r="2381" spans="1:12" s="3327" customFormat="1" ht="13.5" customHeight="1">
      <c r="A2381" s="3354" t="s">
        <v>4522</v>
      </c>
      <c r="B2381" s="3331" t="s">
        <v>4516</v>
      </c>
      <c r="C2381" s="3378" t="s">
        <v>4775</v>
      </c>
      <c r="D2381" s="3331" t="s">
        <v>4771</v>
      </c>
      <c r="E2381" s="3399">
        <v>164.86</v>
      </c>
      <c r="F2381" s="3399">
        <v>263</v>
      </c>
      <c r="G2381" s="3400">
        <v>43101</v>
      </c>
      <c r="H2381" s="3333">
        <v>43130</v>
      </c>
      <c r="I2381" s="3400">
        <v>43190</v>
      </c>
      <c r="J2381" s="3379"/>
      <c r="K2381" s="3334">
        <f t="shared" si="399"/>
        <v>164.86</v>
      </c>
      <c r="L2381" s="3334">
        <f t="shared" si="400"/>
        <v>8.7666666666666675</v>
      </c>
    </row>
    <row r="2382" spans="1:12" s="3327" customFormat="1" ht="13.5" customHeight="1">
      <c r="A2382" s="3354"/>
      <c r="B2382" s="3336" t="s">
        <v>4516</v>
      </c>
      <c r="C2382" s="3372" t="s">
        <v>4570</v>
      </c>
      <c r="D2382" s="3336" t="s">
        <v>4776</v>
      </c>
      <c r="E2382" s="3397">
        <v>196.5</v>
      </c>
      <c r="F2382" s="3397">
        <v>285</v>
      </c>
      <c r="G2382" s="3398">
        <v>42156</v>
      </c>
      <c r="H2382" s="3340">
        <v>42368</v>
      </c>
      <c r="I2382" s="3398">
        <v>42369</v>
      </c>
      <c r="J2382" s="3379"/>
    </row>
    <row r="2383" spans="1:12" s="3327" customFormat="1" ht="13.5" customHeight="1">
      <c r="A2383" s="3354"/>
      <c r="B2383" s="3336" t="s">
        <v>4516</v>
      </c>
      <c r="C2383" s="3372" t="s">
        <v>4570</v>
      </c>
      <c r="D2383" s="3336" t="s">
        <v>4776</v>
      </c>
      <c r="E2383" s="3397">
        <v>196.5</v>
      </c>
      <c r="F2383" s="3397">
        <v>285</v>
      </c>
      <c r="G2383" s="3398">
        <v>42370</v>
      </c>
      <c r="H2383" s="3340">
        <v>42459</v>
      </c>
      <c r="I2383" s="3398">
        <v>42460</v>
      </c>
      <c r="J2383" s="3379"/>
    </row>
    <row r="2384" spans="1:12" s="3327" customFormat="1" ht="13.5" customHeight="1">
      <c r="A2384" s="3354"/>
      <c r="B2384" s="3336" t="s">
        <v>4516</v>
      </c>
      <c r="C2384" s="3372" t="s">
        <v>4570</v>
      </c>
      <c r="D2384" s="3336" t="s">
        <v>4776</v>
      </c>
      <c r="E2384" s="3397">
        <v>196.5</v>
      </c>
      <c r="F2384" s="3397">
        <v>240</v>
      </c>
      <c r="G2384" s="3340">
        <v>42461</v>
      </c>
      <c r="H2384" s="3340">
        <v>42824</v>
      </c>
      <c r="I2384" s="3340">
        <v>42825</v>
      </c>
      <c r="J2384" s="3379"/>
    </row>
    <row r="2385" spans="1:14" s="3327" customFormat="1" ht="13.5" customHeight="1">
      <c r="A2385" s="3354"/>
      <c r="B2385" s="3331" t="s">
        <v>4516</v>
      </c>
      <c r="C2385" s="3378" t="s">
        <v>4570</v>
      </c>
      <c r="D2385" s="3378" t="s">
        <v>4777</v>
      </c>
      <c r="E2385" s="3399">
        <v>196.5</v>
      </c>
      <c r="F2385" s="3399">
        <v>270</v>
      </c>
      <c r="G2385" s="3400">
        <v>42826</v>
      </c>
      <c r="H2385" s="3333">
        <v>42916</v>
      </c>
      <c r="I2385" s="3400">
        <v>43190</v>
      </c>
      <c r="J2385" s="3379"/>
      <c r="K2385" s="3334">
        <f t="shared" ref="K2385:K2386" si="401">E2385</f>
        <v>196.5</v>
      </c>
      <c r="L2385" s="3334">
        <f t="shared" ref="L2385:L2386" si="402">F2385/30</f>
        <v>9</v>
      </c>
    </row>
    <row r="2386" spans="1:14" s="3327" customFormat="1" ht="13.5" customHeight="1">
      <c r="A2386" s="3354" t="s">
        <v>4522</v>
      </c>
      <c r="B2386" s="3331" t="s">
        <v>4516</v>
      </c>
      <c r="C2386" s="3378" t="s">
        <v>4774</v>
      </c>
      <c r="D2386" s="3378" t="s">
        <v>4777</v>
      </c>
      <c r="E2386" s="3399">
        <v>196.5</v>
      </c>
      <c r="F2386" s="3399">
        <v>270</v>
      </c>
      <c r="G2386" s="3400">
        <v>42917</v>
      </c>
      <c r="H2386" s="3333">
        <v>43130</v>
      </c>
      <c r="I2386" s="3400">
        <v>43190</v>
      </c>
      <c r="J2386" s="3379"/>
      <c r="K2386" s="3334">
        <f t="shared" si="401"/>
        <v>196.5</v>
      </c>
      <c r="L2386" s="3359">
        <f t="shared" si="402"/>
        <v>9</v>
      </c>
      <c r="M2386" s="3360"/>
      <c r="N2386" s="3360">
        <f>SUMPRODUCT(K2044:K2386,L2044:L2386)/SUM(K2044:K2386)</f>
        <v>9.9482878278781293</v>
      </c>
    </row>
    <row r="2387" spans="1:14" ht="13.5" customHeight="1" outlineLevel="1">
      <c r="A2387" s="3361">
        <v>42</v>
      </c>
      <c r="B2387" s="3401" t="s">
        <v>4778</v>
      </c>
      <c r="C2387" s="3401"/>
      <c r="D2387" s="3401"/>
      <c r="E2387" s="3402">
        <v>9172.7900000000009</v>
      </c>
      <c r="F2387" s="3402">
        <v>12337</v>
      </c>
      <c r="G2387" s="3402"/>
      <c r="H2387" s="3402"/>
      <c r="I2387" s="3402"/>
      <c r="J2387" s="3402">
        <v>0</v>
      </c>
    </row>
    <row r="2388" spans="1:14" s="3327" customFormat="1" ht="13.5" customHeight="1">
      <c r="A2388" s="3355"/>
      <c r="B2388" s="3336" t="s">
        <v>4779</v>
      </c>
      <c r="C2388" s="3336" t="s">
        <v>4780</v>
      </c>
      <c r="D2388" s="3336" t="s">
        <v>4781</v>
      </c>
      <c r="E2388" s="3339">
        <v>255.1</v>
      </c>
      <c r="F2388" s="3339">
        <v>230</v>
      </c>
      <c r="G2388" s="3340">
        <v>41000</v>
      </c>
      <c r="H2388" s="3340">
        <v>41363</v>
      </c>
      <c r="I2388" s="3340">
        <v>41364</v>
      </c>
      <c r="J2388" s="3336"/>
    </row>
    <row r="2389" spans="1:14" s="3327" customFormat="1" ht="13.5" customHeight="1">
      <c r="A2389" s="3354"/>
      <c r="B2389" s="3324" t="s">
        <v>4779</v>
      </c>
      <c r="C2389" s="3324" t="s">
        <v>4780</v>
      </c>
      <c r="D2389" s="3324" t="s">
        <v>4782</v>
      </c>
      <c r="E2389" s="3325">
        <v>255.1</v>
      </c>
      <c r="F2389" s="3325">
        <v>235</v>
      </c>
      <c r="G2389" s="3326">
        <v>41730</v>
      </c>
      <c r="H2389" s="3326">
        <v>42093</v>
      </c>
      <c r="I2389" s="3326">
        <v>42094</v>
      </c>
      <c r="J2389" s="3324"/>
    </row>
    <row r="2390" spans="1:14" s="3327" customFormat="1" ht="13.5" customHeight="1">
      <c r="A2390" s="3354"/>
      <c r="B2390" s="3336" t="s">
        <v>4779</v>
      </c>
      <c r="C2390" s="3336" t="s">
        <v>4780</v>
      </c>
      <c r="D2390" s="3336" t="s">
        <v>4782</v>
      </c>
      <c r="E2390" s="3339">
        <v>255.1</v>
      </c>
      <c r="F2390" s="3339">
        <v>240</v>
      </c>
      <c r="G2390" s="3340">
        <v>42095</v>
      </c>
      <c r="H2390" s="3340">
        <v>42154</v>
      </c>
      <c r="I2390" s="3340">
        <v>42155</v>
      </c>
      <c r="J2390" s="3324"/>
    </row>
    <row r="2391" spans="1:14" s="3327" customFormat="1" ht="13.5" customHeight="1">
      <c r="A2391" s="3354"/>
      <c r="B2391" s="3336" t="s">
        <v>4779</v>
      </c>
      <c r="C2391" s="3336" t="s">
        <v>4780</v>
      </c>
      <c r="D2391" s="3336" t="s">
        <v>4782</v>
      </c>
      <c r="E2391" s="3339">
        <v>255.1</v>
      </c>
      <c r="F2391" s="3339">
        <v>240</v>
      </c>
      <c r="G2391" s="3340">
        <v>42156</v>
      </c>
      <c r="H2391" s="3340">
        <v>42277</v>
      </c>
      <c r="I2391" s="3340">
        <v>42460</v>
      </c>
      <c r="J2391" s="3324"/>
    </row>
    <row r="2392" spans="1:14" s="3327" customFormat="1" ht="13.5" customHeight="1">
      <c r="A2392" s="3354"/>
      <c r="B2392" s="3336" t="s">
        <v>4779</v>
      </c>
      <c r="C2392" s="3336" t="s">
        <v>3443</v>
      </c>
      <c r="D2392" s="3336" t="s">
        <v>4782</v>
      </c>
      <c r="E2392" s="3339">
        <v>255.1</v>
      </c>
      <c r="F2392" s="3339">
        <v>235</v>
      </c>
      <c r="G2392" s="3340">
        <v>42314</v>
      </c>
      <c r="H2392" s="3340">
        <v>42338</v>
      </c>
      <c r="I2392" s="3340">
        <v>42460</v>
      </c>
      <c r="J2392" s="3324"/>
    </row>
    <row r="2393" spans="1:14" s="3327" customFormat="1" ht="13.5" customHeight="1">
      <c r="A2393" s="3354"/>
      <c r="B2393" s="3336" t="s">
        <v>4779</v>
      </c>
      <c r="C2393" s="3336" t="s">
        <v>4783</v>
      </c>
      <c r="D2393" s="3336" t="s">
        <v>4782</v>
      </c>
      <c r="E2393" s="3339">
        <v>255.1</v>
      </c>
      <c r="F2393" s="3339">
        <v>180</v>
      </c>
      <c r="G2393" s="3340">
        <v>42379</v>
      </c>
      <c r="H2393" s="3340">
        <v>42459</v>
      </c>
      <c r="I2393" s="3340">
        <v>42460</v>
      </c>
      <c r="J2393" s="3324"/>
    </row>
    <row r="2394" spans="1:14" s="3327" customFormat="1" ht="13.5" customHeight="1">
      <c r="A2394" s="3354"/>
      <c r="B2394" s="3336" t="s">
        <v>4779</v>
      </c>
      <c r="C2394" s="3336" t="s">
        <v>4783</v>
      </c>
      <c r="D2394" s="3336" t="s">
        <v>4782</v>
      </c>
      <c r="E2394" s="3339">
        <v>255.1</v>
      </c>
      <c r="F2394" s="3339">
        <v>180</v>
      </c>
      <c r="G2394" s="3340">
        <v>42461</v>
      </c>
      <c r="H2394" s="3340">
        <v>42824</v>
      </c>
      <c r="I2394" s="3340">
        <v>42825</v>
      </c>
      <c r="J2394" s="3324"/>
    </row>
    <row r="2395" spans="1:14" s="3327" customFormat="1" ht="13.5" customHeight="1">
      <c r="A2395" s="3354" t="s">
        <v>4784</v>
      </c>
      <c r="B2395" s="3331" t="s">
        <v>4779</v>
      </c>
      <c r="C2395" s="3331" t="s">
        <v>4783</v>
      </c>
      <c r="D2395" s="3331" t="s">
        <v>4782</v>
      </c>
      <c r="E2395" s="3332">
        <v>255.1</v>
      </c>
      <c r="F2395" s="3332">
        <v>210</v>
      </c>
      <c r="G2395" s="3333">
        <v>42826</v>
      </c>
      <c r="H2395" s="3333">
        <v>43130</v>
      </c>
      <c r="I2395" s="3333">
        <v>43190</v>
      </c>
      <c r="J2395" s="3324"/>
      <c r="K2395" s="3334">
        <f t="shared" ref="K2395" si="403">E2395</f>
        <v>255.1</v>
      </c>
      <c r="L2395" s="3334">
        <f t="shared" ref="L2395" si="404">F2395/30</f>
        <v>7</v>
      </c>
    </row>
    <row r="2396" spans="1:14" s="3327" customFormat="1" ht="13.5" customHeight="1">
      <c r="A2396" s="3355"/>
      <c r="B2396" s="3336" t="s">
        <v>4779</v>
      </c>
      <c r="C2396" s="3336" t="s">
        <v>4785</v>
      </c>
      <c r="D2396" s="3336" t="s">
        <v>4786</v>
      </c>
      <c r="E2396" s="3339">
        <v>339.5</v>
      </c>
      <c r="F2396" s="3339">
        <v>200</v>
      </c>
      <c r="G2396" s="3340">
        <v>41320</v>
      </c>
      <c r="H2396" s="3340">
        <v>41728</v>
      </c>
      <c r="I2396" s="3340">
        <v>41729</v>
      </c>
      <c r="J2396" s="3336"/>
    </row>
    <row r="2397" spans="1:14" s="3327" customFormat="1" ht="13.5" customHeight="1">
      <c r="A2397" s="3354"/>
      <c r="B2397" s="3336" t="s">
        <v>4779</v>
      </c>
      <c r="C2397" s="3336" t="s">
        <v>4785</v>
      </c>
      <c r="D2397" s="3336" t="s">
        <v>4786</v>
      </c>
      <c r="E2397" s="3339">
        <v>339.5</v>
      </c>
      <c r="F2397" s="3339">
        <v>200</v>
      </c>
      <c r="G2397" s="3340">
        <v>41730</v>
      </c>
      <c r="H2397" s="3340">
        <v>41979</v>
      </c>
      <c r="I2397" s="3340">
        <v>42094</v>
      </c>
      <c r="J2397" s="3324"/>
    </row>
    <row r="2398" spans="1:14" s="3327" customFormat="1" ht="13.5" customHeight="1">
      <c r="A2398" s="3354"/>
      <c r="B2398" s="3350" t="s">
        <v>4779</v>
      </c>
      <c r="C2398" s="3351" t="s">
        <v>4787</v>
      </c>
      <c r="D2398" s="3351" t="s">
        <v>4786</v>
      </c>
      <c r="E2398" s="3352">
        <v>339.5</v>
      </c>
      <c r="F2398" s="3352">
        <v>200</v>
      </c>
      <c r="G2398" s="3353">
        <v>42005</v>
      </c>
      <c r="H2398" s="3353">
        <v>42028</v>
      </c>
      <c r="I2398" s="3353">
        <v>42094</v>
      </c>
      <c r="J2398" s="3324"/>
    </row>
    <row r="2399" spans="1:14" s="3327" customFormat="1" ht="13.5" customHeight="1">
      <c r="A2399" s="3354"/>
      <c r="B2399" s="3350" t="s">
        <v>4779</v>
      </c>
      <c r="C2399" s="3351" t="s">
        <v>4787</v>
      </c>
      <c r="D2399" s="3351" t="s">
        <v>4786</v>
      </c>
      <c r="E2399" s="3352">
        <v>339.5</v>
      </c>
      <c r="F2399" s="3352">
        <v>200</v>
      </c>
      <c r="G2399" s="3353">
        <v>42029</v>
      </c>
      <c r="H2399" s="3353">
        <v>42049</v>
      </c>
      <c r="I2399" s="3353">
        <v>42094</v>
      </c>
      <c r="J2399" s="3324"/>
    </row>
    <row r="2400" spans="1:14" s="3327" customFormat="1" ht="13.5" customHeight="1">
      <c r="A2400" s="3354"/>
      <c r="B2400" s="3350" t="s">
        <v>4779</v>
      </c>
      <c r="C2400" s="3351" t="s">
        <v>4787</v>
      </c>
      <c r="D2400" s="3351" t="s">
        <v>4786</v>
      </c>
      <c r="E2400" s="3352">
        <v>339.5</v>
      </c>
      <c r="F2400" s="3352">
        <v>200</v>
      </c>
      <c r="G2400" s="3353">
        <v>42050</v>
      </c>
      <c r="H2400" s="3353">
        <v>42063</v>
      </c>
      <c r="I2400" s="3353">
        <v>42094</v>
      </c>
      <c r="J2400" s="3324"/>
    </row>
    <row r="2401" spans="1:12" s="3327" customFormat="1" ht="13.5" customHeight="1">
      <c r="A2401" s="3354"/>
      <c r="B2401" s="3350" t="s">
        <v>4779</v>
      </c>
      <c r="C2401" s="3351" t="s">
        <v>4787</v>
      </c>
      <c r="D2401" s="3351" t="s">
        <v>4786</v>
      </c>
      <c r="E2401" s="3352">
        <v>339.5</v>
      </c>
      <c r="F2401" s="3352">
        <v>200</v>
      </c>
      <c r="G2401" s="3353">
        <v>42064</v>
      </c>
      <c r="H2401" s="3353">
        <v>42099</v>
      </c>
      <c r="I2401" s="3353">
        <v>42155</v>
      </c>
      <c r="J2401" s="3324"/>
    </row>
    <row r="2402" spans="1:12" s="3327" customFormat="1" ht="13.5" customHeight="1">
      <c r="A2402" s="3354"/>
      <c r="B2402" s="3370" t="s">
        <v>4779</v>
      </c>
      <c r="C2402" s="3324" t="s">
        <v>4787</v>
      </c>
      <c r="D2402" s="3344" t="s">
        <v>4786</v>
      </c>
      <c r="E2402" s="3325">
        <v>339.5</v>
      </c>
      <c r="F2402" s="3325">
        <v>200</v>
      </c>
      <c r="G2402" s="3326">
        <v>42115</v>
      </c>
      <c r="H2402" s="3326">
        <v>42119</v>
      </c>
      <c r="I2402" s="3326">
        <v>42124</v>
      </c>
      <c r="J2402" s="3324"/>
    </row>
    <row r="2403" spans="1:12" s="3327" customFormat="1" ht="13.5" customHeight="1">
      <c r="A2403" s="3354"/>
      <c r="B2403" s="3336" t="s">
        <v>4779</v>
      </c>
      <c r="C2403" s="3336" t="s">
        <v>4787</v>
      </c>
      <c r="D2403" s="3336" t="s">
        <v>4786</v>
      </c>
      <c r="E2403" s="3339">
        <v>339.5</v>
      </c>
      <c r="F2403" s="3339">
        <v>200</v>
      </c>
      <c r="G2403" s="3340">
        <v>42120</v>
      </c>
      <c r="H2403" s="3340">
        <v>42141</v>
      </c>
      <c r="I2403" s="3340">
        <v>42155</v>
      </c>
      <c r="J2403" s="3324"/>
    </row>
    <row r="2404" spans="1:12" s="3327" customFormat="1" ht="13.5" customHeight="1">
      <c r="A2404" s="3354"/>
      <c r="B2404" s="3336" t="s">
        <v>4779</v>
      </c>
      <c r="C2404" s="3336" t="s">
        <v>4788</v>
      </c>
      <c r="D2404" s="3336" t="s">
        <v>4789</v>
      </c>
      <c r="E2404" s="3339">
        <v>169</v>
      </c>
      <c r="F2404" s="3339">
        <v>270</v>
      </c>
      <c r="G2404" s="3340">
        <v>42142</v>
      </c>
      <c r="H2404" s="3340">
        <v>42459</v>
      </c>
      <c r="I2404" s="3340">
        <v>42460</v>
      </c>
      <c r="J2404" s="3324"/>
    </row>
    <row r="2405" spans="1:12" s="3327" customFormat="1" ht="13.5" customHeight="1">
      <c r="A2405" s="3354"/>
      <c r="B2405" s="3336" t="s">
        <v>4779</v>
      </c>
      <c r="C2405" s="3336" t="s">
        <v>4788</v>
      </c>
      <c r="D2405" s="3336" t="s">
        <v>4789</v>
      </c>
      <c r="E2405" s="3339">
        <v>169</v>
      </c>
      <c r="F2405" s="3339">
        <v>285</v>
      </c>
      <c r="G2405" s="3340">
        <v>42461</v>
      </c>
      <c r="H2405" s="3340">
        <v>42824</v>
      </c>
      <c r="I2405" s="3340">
        <v>42825</v>
      </c>
      <c r="J2405" s="3324"/>
    </row>
    <row r="2406" spans="1:12" s="3327" customFormat="1" ht="13.5" customHeight="1">
      <c r="A2406" s="3354" t="s">
        <v>4784</v>
      </c>
      <c r="B2406" s="3331" t="s">
        <v>4779</v>
      </c>
      <c r="C2406" s="3331" t="s">
        <v>4788</v>
      </c>
      <c r="D2406" s="3331" t="s">
        <v>4786</v>
      </c>
      <c r="E2406" s="3332">
        <v>169</v>
      </c>
      <c r="F2406" s="3332">
        <v>290</v>
      </c>
      <c r="G2406" s="3333">
        <v>42826</v>
      </c>
      <c r="H2406" s="3333">
        <v>43130</v>
      </c>
      <c r="I2406" s="3333">
        <v>43190</v>
      </c>
      <c r="J2406" s="3324"/>
      <c r="K2406" s="3334">
        <f t="shared" ref="K2406" si="405">E2406</f>
        <v>169</v>
      </c>
      <c r="L2406" s="3334">
        <f t="shared" ref="L2406" si="406">F2406/30</f>
        <v>9.6666666666666661</v>
      </c>
    </row>
    <row r="2407" spans="1:12" s="3327" customFormat="1" ht="13.5" customHeight="1">
      <c r="A2407" s="3354"/>
      <c r="B2407" s="3336" t="s">
        <v>4779</v>
      </c>
      <c r="C2407" s="3336" t="s">
        <v>4790</v>
      </c>
      <c r="D2407" s="3336" t="s">
        <v>4791</v>
      </c>
      <c r="E2407" s="3339">
        <v>174.17</v>
      </c>
      <c r="F2407" s="3339">
        <v>270</v>
      </c>
      <c r="G2407" s="3340">
        <v>42142</v>
      </c>
      <c r="H2407" s="3340">
        <v>42459</v>
      </c>
      <c r="I2407" s="3340">
        <v>42460</v>
      </c>
      <c r="J2407" s="3324"/>
    </row>
    <row r="2408" spans="1:12" s="3327" customFormat="1" ht="13.5" customHeight="1">
      <c r="A2408" s="3354"/>
      <c r="B2408" s="3336" t="s">
        <v>4779</v>
      </c>
      <c r="C2408" s="3336" t="s">
        <v>4790</v>
      </c>
      <c r="D2408" s="3336" t="s">
        <v>4791</v>
      </c>
      <c r="E2408" s="3339">
        <v>174.17</v>
      </c>
      <c r="F2408" s="3339">
        <v>270</v>
      </c>
      <c r="G2408" s="3340">
        <v>42461</v>
      </c>
      <c r="H2408" s="3340">
        <v>42664</v>
      </c>
      <c r="I2408" s="3340">
        <v>42825</v>
      </c>
      <c r="J2408" s="3324"/>
    </row>
    <row r="2409" spans="1:12" s="3327" customFormat="1" ht="13.5" customHeight="1">
      <c r="A2409" s="3354"/>
      <c r="B2409" s="3331" t="s">
        <v>4779</v>
      </c>
      <c r="C2409" s="3331" t="s">
        <v>4792</v>
      </c>
      <c r="D2409" s="3331" t="s">
        <v>4789</v>
      </c>
      <c r="E2409" s="3332">
        <v>174.17</v>
      </c>
      <c r="F2409" s="3332">
        <v>260</v>
      </c>
      <c r="G2409" s="3333">
        <v>42826</v>
      </c>
      <c r="H2409" s="3333">
        <v>42986</v>
      </c>
      <c r="I2409" s="3333">
        <v>43190</v>
      </c>
      <c r="J2409" s="3324"/>
      <c r="K2409" s="3334">
        <f t="shared" ref="K2409:K2410" si="407">E2409</f>
        <v>174.17</v>
      </c>
      <c r="L2409" s="3334">
        <f t="shared" ref="L2409:L2410" si="408">F2409/30</f>
        <v>8.6666666666666661</v>
      </c>
    </row>
    <row r="2410" spans="1:12" s="3327" customFormat="1" ht="13.5" customHeight="1">
      <c r="A2410" s="3354" t="s">
        <v>4784</v>
      </c>
      <c r="B2410" s="3331" t="s">
        <v>4779</v>
      </c>
      <c r="C2410" s="3331" t="s">
        <v>4793</v>
      </c>
      <c r="D2410" s="3331" t="s">
        <v>4789</v>
      </c>
      <c r="E2410" s="3332">
        <v>174.17</v>
      </c>
      <c r="F2410" s="3332">
        <v>290</v>
      </c>
      <c r="G2410" s="3333">
        <v>42987</v>
      </c>
      <c r="H2410" s="3333">
        <v>43130</v>
      </c>
      <c r="I2410" s="3333">
        <v>43190</v>
      </c>
      <c r="J2410" s="3324"/>
      <c r="K2410" s="3334">
        <f t="shared" si="407"/>
        <v>174.17</v>
      </c>
      <c r="L2410" s="3334">
        <f t="shared" si="408"/>
        <v>9.6666666666666661</v>
      </c>
    </row>
    <row r="2411" spans="1:12" s="3327" customFormat="1" ht="13.5" customHeight="1">
      <c r="A2411" s="3355"/>
      <c r="B2411" s="3336" t="s">
        <v>4779</v>
      </c>
      <c r="C2411" s="3336" t="s">
        <v>4794</v>
      </c>
      <c r="D2411" s="3336" t="s">
        <v>4795</v>
      </c>
      <c r="E2411" s="3339">
        <v>332.79999999999995</v>
      </c>
      <c r="F2411" s="3339">
        <v>275</v>
      </c>
      <c r="G2411" s="3340">
        <v>41000</v>
      </c>
      <c r="H2411" s="3340">
        <v>41363</v>
      </c>
      <c r="I2411" s="3340">
        <v>41364</v>
      </c>
      <c r="J2411" s="3336"/>
    </row>
    <row r="2412" spans="1:12" s="3327" customFormat="1" ht="13.5" customHeight="1">
      <c r="A2412" s="3354"/>
      <c r="B2412" s="3324" t="s">
        <v>4779</v>
      </c>
      <c r="C2412" s="3324" t="s">
        <v>4794</v>
      </c>
      <c r="D2412" s="3324" t="s">
        <v>4796</v>
      </c>
      <c r="E2412" s="3325">
        <v>327.8</v>
      </c>
      <c r="F2412" s="3325">
        <v>280</v>
      </c>
      <c r="G2412" s="3326">
        <v>41751</v>
      </c>
      <c r="H2412" s="3326">
        <v>41789</v>
      </c>
      <c r="I2412" s="3326">
        <v>41759</v>
      </c>
      <c r="J2412" s="3324"/>
    </row>
    <row r="2413" spans="1:12" s="3327" customFormat="1" ht="13.5" customHeight="1">
      <c r="A2413" s="3354"/>
      <c r="B2413" s="3324" t="s">
        <v>4779</v>
      </c>
      <c r="C2413" s="3324" t="s">
        <v>4797</v>
      </c>
      <c r="D2413" s="3324" t="s">
        <v>4796</v>
      </c>
      <c r="E2413" s="3325">
        <v>327.8</v>
      </c>
      <c r="F2413" s="3325">
        <v>280</v>
      </c>
      <c r="G2413" s="3326">
        <v>41791</v>
      </c>
      <c r="H2413" s="3326">
        <v>42042</v>
      </c>
      <c r="I2413" s="3326">
        <v>42094</v>
      </c>
      <c r="J2413" s="3324"/>
    </row>
    <row r="2414" spans="1:12" s="3327" customFormat="1" ht="12.75" customHeight="1">
      <c r="A2414" s="3354"/>
      <c r="B2414" s="3324" t="s">
        <v>4779</v>
      </c>
      <c r="C2414" s="3324" t="s">
        <v>4797</v>
      </c>
      <c r="D2414" s="3324" t="s">
        <v>4796</v>
      </c>
      <c r="E2414" s="3325">
        <v>327.8</v>
      </c>
      <c r="F2414" s="3325">
        <v>200</v>
      </c>
      <c r="G2414" s="3326">
        <v>42070</v>
      </c>
      <c r="H2414" s="3326">
        <v>42093</v>
      </c>
      <c r="I2414" s="3326">
        <v>42094</v>
      </c>
      <c r="J2414" s="3324"/>
    </row>
    <row r="2415" spans="1:12" s="3327" customFormat="1" ht="12.75" customHeight="1">
      <c r="A2415" s="3354"/>
      <c r="B2415" s="3336" t="s">
        <v>4779</v>
      </c>
      <c r="C2415" s="3336" t="s">
        <v>4797</v>
      </c>
      <c r="D2415" s="3336" t="s">
        <v>4796</v>
      </c>
      <c r="E2415" s="3339">
        <v>327.8</v>
      </c>
      <c r="F2415" s="3339">
        <v>200</v>
      </c>
      <c r="G2415" s="3340">
        <v>42095</v>
      </c>
      <c r="H2415" s="3340">
        <v>42141</v>
      </c>
      <c r="I2415" s="3340">
        <v>42155</v>
      </c>
      <c r="J2415" s="3324"/>
    </row>
    <row r="2416" spans="1:12" s="3327" customFormat="1" ht="12.75" customHeight="1">
      <c r="A2416" s="3354"/>
      <c r="B2416" s="3336" t="s">
        <v>4779</v>
      </c>
      <c r="C2416" s="3336" t="s">
        <v>4142</v>
      </c>
      <c r="D2416" s="3336" t="s">
        <v>4798</v>
      </c>
      <c r="E2416" s="3339">
        <v>169.6</v>
      </c>
      <c r="F2416" s="3339">
        <v>270</v>
      </c>
      <c r="G2416" s="3340">
        <v>42142</v>
      </c>
      <c r="H2416" s="3340">
        <v>42459</v>
      </c>
      <c r="I2416" s="3340">
        <v>42460</v>
      </c>
      <c r="J2416" s="3324"/>
    </row>
    <row r="2417" spans="1:12" s="3327" customFormat="1" ht="12.75" customHeight="1">
      <c r="A2417" s="3354"/>
      <c r="B2417" s="3336" t="s">
        <v>4779</v>
      </c>
      <c r="C2417" s="3336" t="s">
        <v>4142</v>
      </c>
      <c r="D2417" s="3336" t="s">
        <v>4798</v>
      </c>
      <c r="E2417" s="3339">
        <v>169.6</v>
      </c>
      <c r="F2417" s="3339">
        <v>280</v>
      </c>
      <c r="G2417" s="3340">
        <v>42461</v>
      </c>
      <c r="H2417" s="3340">
        <v>42824</v>
      </c>
      <c r="I2417" s="3340">
        <v>42825</v>
      </c>
      <c r="J2417" s="3324"/>
    </row>
    <row r="2418" spans="1:12" s="3327" customFormat="1" ht="12.75" customHeight="1">
      <c r="A2418" s="3354" t="s">
        <v>4784</v>
      </c>
      <c r="B2418" s="3331" t="s">
        <v>4779</v>
      </c>
      <c r="C2418" s="3331" t="s">
        <v>4142</v>
      </c>
      <c r="D2418" s="3331" t="s">
        <v>4798</v>
      </c>
      <c r="E2418" s="3332">
        <v>169.6</v>
      </c>
      <c r="F2418" s="3332">
        <v>295</v>
      </c>
      <c r="G2418" s="3333">
        <v>42826</v>
      </c>
      <c r="H2418" s="3333">
        <v>43130</v>
      </c>
      <c r="I2418" s="3333">
        <v>43190</v>
      </c>
      <c r="J2418" s="3324"/>
      <c r="K2418" s="3334">
        <f t="shared" ref="K2418" si="409">E2418</f>
        <v>169.6</v>
      </c>
      <c r="L2418" s="3334">
        <f t="shared" ref="L2418" si="410">F2418/30</f>
        <v>9.8333333333333339</v>
      </c>
    </row>
    <row r="2419" spans="1:12" s="3327" customFormat="1" ht="13.5" customHeight="1">
      <c r="A2419" s="3354"/>
      <c r="B2419" s="3336" t="s">
        <v>4779</v>
      </c>
      <c r="C2419" s="3336" t="s">
        <v>4799</v>
      </c>
      <c r="D2419" s="3336" t="s">
        <v>4800</v>
      </c>
      <c r="E2419" s="3339">
        <v>162.43</v>
      </c>
      <c r="F2419" s="3339">
        <v>300</v>
      </c>
      <c r="G2419" s="3340">
        <v>42142</v>
      </c>
      <c r="H2419" s="3340">
        <v>42459</v>
      </c>
      <c r="I2419" s="3340">
        <v>42460</v>
      </c>
      <c r="J2419" s="3324"/>
    </row>
    <row r="2420" spans="1:12" s="3327" customFormat="1" ht="12.75" customHeight="1">
      <c r="A2420" s="3354"/>
      <c r="B2420" s="3336" t="s">
        <v>4779</v>
      </c>
      <c r="C2420" s="3336" t="s">
        <v>4799</v>
      </c>
      <c r="D2420" s="3336" t="s">
        <v>4800</v>
      </c>
      <c r="E2420" s="3339">
        <v>162.43</v>
      </c>
      <c r="F2420" s="3339">
        <v>300</v>
      </c>
      <c r="G2420" s="3340">
        <v>42461</v>
      </c>
      <c r="H2420" s="3340">
        <v>42585</v>
      </c>
      <c r="I2420" s="3340">
        <v>42825</v>
      </c>
      <c r="J2420" s="3324"/>
    </row>
    <row r="2421" spans="1:12" s="3327" customFormat="1" ht="12.75" customHeight="1">
      <c r="A2421" s="3354"/>
      <c r="B2421" s="3336" t="s">
        <v>4779</v>
      </c>
      <c r="C2421" s="3336" t="s">
        <v>4801</v>
      </c>
      <c r="D2421" s="3336" t="s">
        <v>4802</v>
      </c>
      <c r="E2421" s="3339">
        <v>162.43</v>
      </c>
      <c r="F2421" s="3339">
        <v>300</v>
      </c>
      <c r="G2421" s="3340">
        <v>42586</v>
      </c>
      <c r="H2421" s="3340">
        <v>42824</v>
      </c>
      <c r="I2421" s="3340">
        <v>42825</v>
      </c>
      <c r="J2421" s="3324"/>
    </row>
    <row r="2422" spans="1:12" s="3327" customFormat="1" ht="12.75" customHeight="1">
      <c r="A2422" s="3354" t="s">
        <v>4784</v>
      </c>
      <c r="B2422" s="3331" t="s">
        <v>4779</v>
      </c>
      <c r="C2422" s="3331" t="s">
        <v>4801</v>
      </c>
      <c r="D2422" s="3331" t="s">
        <v>4796</v>
      </c>
      <c r="E2422" s="3332">
        <v>162.43</v>
      </c>
      <c r="F2422" s="3332">
        <v>300</v>
      </c>
      <c r="G2422" s="3333">
        <v>42826</v>
      </c>
      <c r="H2422" s="3333">
        <v>43130</v>
      </c>
      <c r="I2422" s="3333">
        <v>43190</v>
      </c>
      <c r="J2422" s="3324"/>
      <c r="K2422" s="3334">
        <f t="shared" ref="K2422" si="411">E2422</f>
        <v>162.43</v>
      </c>
      <c r="L2422" s="3334">
        <f t="shared" ref="L2422" si="412">F2422/30</f>
        <v>10</v>
      </c>
    </row>
    <row r="2423" spans="1:12" s="3327" customFormat="1" ht="13.5" customHeight="1">
      <c r="A2423" s="3354"/>
      <c r="B2423" s="3324" t="s">
        <v>4779</v>
      </c>
      <c r="C2423" s="3324" t="s">
        <v>4803</v>
      </c>
      <c r="D2423" s="3324" t="s">
        <v>4804</v>
      </c>
      <c r="E2423" s="3325">
        <v>167.1</v>
      </c>
      <c r="F2423" s="3325">
        <v>300</v>
      </c>
      <c r="G2423" s="3326">
        <v>41730</v>
      </c>
      <c r="H2423" s="3326">
        <v>41850</v>
      </c>
      <c r="I2423" s="3326">
        <v>41729</v>
      </c>
      <c r="J2423" s="3324"/>
    </row>
    <row r="2424" spans="1:12" s="3327" customFormat="1" ht="13.5" customHeight="1">
      <c r="A2424" s="3354"/>
      <c r="B2424" s="3324" t="s">
        <v>4779</v>
      </c>
      <c r="C2424" s="3324" t="s">
        <v>4581</v>
      </c>
      <c r="D2424" s="3324" t="s">
        <v>4804</v>
      </c>
      <c r="E2424" s="3325">
        <v>167.1</v>
      </c>
      <c r="F2424" s="3325">
        <v>300</v>
      </c>
      <c r="G2424" s="3326">
        <v>41892</v>
      </c>
      <c r="H2424" s="3326">
        <v>41893</v>
      </c>
      <c r="I2424" s="3326">
        <v>42094</v>
      </c>
      <c r="J2424" s="3324"/>
    </row>
    <row r="2425" spans="1:12" s="3327" customFormat="1" ht="13.5" customHeight="1">
      <c r="A2425" s="3354"/>
      <c r="B2425" s="3324" t="s">
        <v>4779</v>
      </c>
      <c r="C2425" s="3324" t="s">
        <v>4805</v>
      </c>
      <c r="D2425" s="3324" t="s">
        <v>4804</v>
      </c>
      <c r="E2425" s="3325">
        <v>167.1</v>
      </c>
      <c r="F2425" s="3325">
        <v>300</v>
      </c>
      <c r="G2425" s="3326">
        <v>41894</v>
      </c>
      <c r="H2425" s="3326">
        <v>42093</v>
      </c>
      <c r="I2425" s="3326">
        <v>42094</v>
      </c>
      <c r="J2425" s="3324"/>
    </row>
    <row r="2426" spans="1:12" s="3327" customFormat="1" ht="13.5" customHeight="1">
      <c r="A2426" s="3354"/>
      <c r="B2426" s="3336" t="s">
        <v>4779</v>
      </c>
      <c r="C2426" s="3336" t="s">
        <v>4805</v>
      </c>
      <c r="D2426" s="3336" t="s">
        <v>4804</v>
      </c>
      <c r="E2426" s="3339">
        <v>167.1</v>
      </c>
      <c r="F2426" s="3339">
        <v>300</v>
      </c>
      <c r="G2426" s="3340">
        <v>42095</v>
      </c>
      <c r="H2426" s="3340">
        <v>42141</v>
      </c>
      <c r="I2426" s="3340">
        <v>42155</v>
      </c>
      <c r="J2426" s="3324"/>
    </row>
    <row r="2427" spans="1:12" s="3327" customFormat="1" ht="13.5" customHeight="1">
      <c r="A2427" s="3355"/>
      <c r="B2427" s="3336" t="s">
        <v>4779</v>
      </c>
      <c r="C2427" s="3336" t="s">
        <v>4806</v>
      </c>
      <c r="D2427" s="3336" t="s">
        <v>4807</v>
      </c>
      <c r="E2427" s="3339">
        <v>172.1</v>
      </c>
      <c r="F2427" s="3339">
        <v>310</v>
      </c>
      <c r="G2427" s="3340">
        <v>41000</v>
      </c>
      <c r="H2427" s="3340">
        <v>41363</v>
      </c>
      <c r="I2427" s="3340">
        <v>41729</v>
      </c>
      <c r="J2427" s="3336"/>
    </row>
    <row r="2428" spans="1:12" s="3327" customFormat="1" ht="13.5" customHeight="1">
      <c r="A2428" s="3354"/>
      <c r="B2428" s="3324" t="s">
        <v>4779</v>
      </c>
      <c r="C2428" s="3324" t="s">
        <v>4808</v>
      </c>
      <c r="D2428" s="3324" t="s">
        <v>4809</v>
      </c>
      <c r="E2428" s="3325">
        <v>172.1</v>
      </c>
      <c r="F2428" s="3325">
        <v>315</v>
      </c>
      <c r="G2428" s="3326">
        <v>41730</v>
      </c>
      <c r="H2428" s="3326">
        <v>41850</v>
      </c>
      <c r="I2428" s="3326">
        <v>41850</v>
      </c>
      <c r="J2428" s="3324"/>
    </row>
    <row r="2429" spans="1:12" s="3327" customFormat="1" ht="13.5" customHeight="1">
      <c r="A2429" s="3354"/>
      <c r="B2429" s="3324" t="s">
        <v>4779</v>
      </c>
      <c r="C2429" s="3324" t="s">
        <v>4810</v>
      </c>
      <c r="D2429" s="3324" t="s">
        <v>4809</v>
      </c>
      <c r="E2429" s="3325">
        <v>172.1</v>
      </c>
      <c r="F2429" s="3325">
        <v>315</v>
      </c>
      <c r="G2429" s="3326">
        <v>41892</v>
      </c>
      <c r="H2429" s="3326">
        <v>42093</v>
      </c>
      <c r="I2429" s="3326">
        <v>42094</v>
      </c>
      <c r="J2429" s="3324"/>
    </row>
    <row r="2430" spans="1:12" s="3327" customFormat="1" ht="13.5" customHeight="1">
      <c r="A2430" s="3354"/>
      <c r="B2430" s="3336" t="s">
        <v>4779</v>
      </c>
      <c r="C2430" s="3336" t="s">
        <v>4810</v>
      </c>
      <c r="D2430" s="3336" t="s">
        <v>4809</v>
      </c>
      <c r="E2430" s="3339">
        <v>172.1</v>
      </c>
      <c r="F2430" s="3339">
        <v>320</v>
      </c>
      <c r="G2430" s="3340">
        <v>42095</v>
      </c>
      <c r="H2430" s="3340">
        <v>42127</v>
      </c>
      <c r="I2430" s="3340">
        <v>42155</v>
      </c>
      <c r="J2430" s="3324"/>
    </row>
    <row r="2431" spans="1:12" s="3327" customFormat="1" ht="13.5" customHeight="1">
      <c r="A2431" s="3354"/>
      <c r="B2431" s="3336" t="s">
        <v>4779</v>
      </c>
      <c r="C2431" s="3336" t="s">
        <v>3590</v>
      </c>
      <c r="D2431" s="3336" t="s">
        <v>4804</v>
      </c>
      <c r="E2431" s="3339">
        <v>339.2</v>
      </c>
      <c r="F2431" s="3339">
        <v>330</v>
      </c>
      <c r="G2431" s="3340">
        <v>42142</v>
      </c>
      <c r="H2431" s="3340">
        <v>42459</v>
      </c>
      <c r="I2431" s="3340">
        <v>42460</v>
      </c>
      <c r="J2431" s="3324"/>
    </row>
    <row r="2432" spans="1:12" s="3327" customFormat="1" ht="11.25">
      <c r="A2432" s="3354"/>
      <c r="B2432" s="3336" t="s">
        <v>4779</v>
      </c>
      <c r="C2432" s="3336" t="s">
        <v>3590</v>
      </c>
      <c r="D2432" s="3336" t="s">
        <v>4804</v>
      </c>
      <c r="E2432" s="3339">
        <v>339.2</v>
      </c>
      <c r="F2432" s="3339">
        <v>340</v>
      </c>
      <c r="G2432" s="3340">
        <v>42461</v>
      </c>
      <c r="H2432" s="3340">
        <v>42734</v>
      </c>
      <c r="I2432" s="3340">
        <v>42825</v>
      </c>
      <c r="J2432" s="3324"/>
    </row>
    <row r="2433" spans="1:12" s="3327" customFormat="1" ht="11.25">
      <c r="A2433" s="3354"/>
      <c r="B2433" s="3336" t="s">
        <v>4779</v>
      </c>
      <c r="C2433" s="3336" t="s">
        <v>3152</v>
      </c>
      <c r="D2433" s="3336" t="s">
        <v>4804</v>
      </c>
      <c r="E2433" s="3339">
        <v>339.2</v>
      </c>
      <c r="F2433" s="3339">
        <v>340</v>
      </c>
      <c r="G2433" s="3340">
        <v>42736</v>
      </c>
      <c r="H2433" s="3340">
        <v>42824</v>
      </c>
      <c r="I2433" s="3340">
        <v>42825</v>
      </c>
      <c r="J2433" s="3324"/>
    </row>
    <row r="2434" spans="1:12" s="3327" customFormat="1" ht="13.5" customHeight="1">
      <c r="A2434" s="3354"/>
      <c r="B2434" s="3331" t="s">
        <v>4779</v>
      </c>
      <c r="C2434" s="3331" t="s">
        <v>3152</v>
      </c>
      <c r="D2434" s="3331" t="s">
        <v>4804</v>
      </c>
      <c r="E2434" s="3332">
        <v>339.2</v>
      </c>
      <c r="F2434" s="3332">
        <v>350</v>
      </c>
      <c r="G2434" s="3333">
        <v>42826</v>
      </c>
      <c r="H2434" s="3333">
        <v>42885</v>
      </c>
      <c r="I2434" s="3333">
        <v>42886</v>
      </c>
      <c r="J2434" s="3324"/>
      <c r="K2434" s="3334">
        <f t="shared" ref="K2434:K2438" si="413">E2434</f>
        <v>339.2</v>
      </c>
      <c r="L2434" s="3334">
        <f t="shared" ref="L2434:L2438" si="414">F2434/30</f>
        <v>11.666666666666666</v>
      </c>
    </row>
    <row r="2435" spans="1:12" s="3327" customFormat="1" ht="13.5" customHeight="1">
      <c r="A2435" s="3354"/>
      <c r="B2435" s="3331" t="s">
        <v>4779</v>
      </c>
      <c r="C2435" s="3331" t="s">
        <v>3152</v>
      </c>
      <c r="D2435" s="3331" t="s">
        <v>4804</v>
      </c>
      <c r="E2435" s="3332">
        <v>339.2</v>
      </c>
      <c r="F2435" s="3332">
        <v>360</v>
      </c>
      <c r="G2435" s="3333">
        <v>42887</v>
      </c>
      <c r="H2435" s="3333">
        <v>42898</v>
      </c>
      <c r="I2435" s="3333">
        <v>43190</v>
      </c>
      <c r="J2435" s="3324"/>
      <c r="K2435" s="3334">
        <f t="shared" si="413"/>
        <v>339.2</v>
      </c>
      <c r="L2435" s="3334">
        <f t="shared" si="414"/>
        <v>12</v>
      </c>
    </row>
    <row r="2436" spans="1:12" s="3327" customFormat="1" ht="13.5" customHeight="1">
      <c r="A2436" s="3354"/>
      <c r="B2436" s="3331" t="s">
        <v>4779</v>
      </c>
      <c r="C2436" s="3331" t="s">
        <v>4811</v>
      </c>
      <c r="D2436" s="3331" t="s">
        <v>4804</v>
      </c>
      <c r="E2436" s="3332">
        <v>339.2</v>
      </c>
      <c r="F2436" s="3332">
        <v>385</v>
      </c>
      <c r="G2436" s="3333">
        <v>42899</v>
      </c>
      <c r="H2436" s="3333">
        <v>42946</v>
      </c>
      <c r="I2436" s="3333">
        <v>43190</v>
      </c>
      <c r="J2436" s="3324"/>
      <c r="K2436" s="3334">
        <f t="shared" si="413"/>
        <v>339.2</v>
      </c>
      <c r="L2436" s="3334">
        <f t="shared" si="414"/>
        <v>12.833333333333334</v>
      </c>
    </row>
    <row r="2437" spans="1:12" s="3327" customFormat="1" ht="13.5" customHeight="1">
      <c r="A2437" s="3354" t="s">
        <v>4784</v>
      </c>
      <c r="B2437" s="3331" t="s">
        <v>4779</v>
      </c>
      <c r="C2437" s="3331" t="s">
        <v>4812</v>
      </c>
      <c r="D2437" s="3331" t="s">
        <v>4804</v>
      </c>
      <c r="E2437" s="3332">
        <v>175.28</v>
      </c>
      <c r="F2437" s="3332">
        <v>385</v>
      </c>
      <c r="G2437" s="3333">
        <v>42948</v>
      </c>
      <c r="H2437" s="3333">
        <v>43130</v>
      </c>
      <c r="I2437" s="3333">
        <v>43190</v>
      </c>
      <c r="J2437" s="3324"/>
      <c r="K2437" s="3334">
        <f t="shared" si="413"/>
        <v>175.28</v>
      </c>
      <c r="L2437" s="3334">
        <f t="shared" si="414"/>
        <v>12.833333333333334</v>
      </c>
    </row>
    <row r="2438" spans="1:12" s="3327" customFormat="1" ht="13.5" customHeight="1">
      <c r="A2438" s="3354" t="s">
        <v>4784</v>
      </c>
      <c r="B2438" s="3331" t="s">
        <v>4779</v>
      </c>
      <c r="C2438" s="3331" t="s">
        <v>4813</v>
      </c>
      <c r="D2438" s="3331" t="s">
        <v>4814</v>
      </c>
      <c r="E2438" s="3332">
        <v>163.92</v>
      </c>
      <c r="F2438" s="3332">
        <v>385</v>
      </c>
      <c r="G2438" s="3333">
        <v>42948</v>
      </c>
      <c r="H2438" s="3333">
        <v>43130</v>
      </c>
      <c r="I2438" s="3333">
        <v>43190</v>
      </c>
      <c r="J2438" s="3324"/>
      <c r="K2438" s="3334">
        <f t="shared" si="413"/>
        <v>163.92</v>
      </c>
      <c r="L2438" s="3334">
        <f t="shared" si="414"/>
        <v>12.833333333333334</v>
      </c>
    </row>
    <row r="2439" spans="1:12" s="3327" customFormat="1" ht="13.5" customHeight="1">
      <c r="A2439" s="3354"/>
      <c r="B2439" s="3324" t="s">
        <v>4779</v>
      </c>
      <c r="C2439" s="3324" t="s">
        <v>4815</v>
      </c>
      <c r="D2439" s="3324" t="s">
        <v>4816</v>
      </c>
      <c r="E2439" s="3325">
        <v>260</v>
      </c>
      <c r="F2439" s="3325">
        <v>240</v>
      </c>
      <c r="G2439" s="3326">
        <v>41730</v>
      </c>
      <c r="H2439" s="3326">
        <v>41973</v>
      </c>
      <c r="I2439" s="3326">
        <v>42094</v>
      </c>
      <c r="J2439" s="3324"/>
    </row>
    <row r="2440" spans="1:12" s="3327" customFormat="1" ht="13.5" customHeight="1">
      <c r="A2440" s="3354"/>
      <c r="B2440" s="3324" t="s">
        <v>4779</v>
      </c>
      <c r="C2440" s="3324" t="s">
        <v>4815</v>
      </c>
      <c r="D2440" s="3324" t="s">
        <v>4816</v>
      </c>
      <c r="E2440" s="3325">
        <v>260</v>
      </c>
      <c r="F2440" s="3325">
        <v>240</v>
      </c>
      <c r="G2440" s="3326">
        <v>41974</v>
      </c>
      <c r="H2440" s="3326">
        <v>42093</v>
      </c>
      <c r="I2440" s="3326">
        <v>42094</v>
      </c>
      <c r="J2440" s="3324"/>
    </row>
    <row r="2441" spans="1:12" s="3327" customFormat="1" ht="13.5" customHeight="1">
      <c r="A2441" s="3354"/>
      <c r="B2441" s="3336" t="s">
        <v>4779</v>
      </c>
      <c r="C2441" s="3336" t="s">
        <v>4815</v>
      </c>
      <c r="D2441" s="3336" t="s">
        <v>4816</v>
      </c>
      <c r="E2441" s="3339">
        <v>260</v>
      </c>
      <c r="F2441" s="3339">
        <v>240</v>
      </c>
      <c r="G2441" s="3340">
        <v>42095</v>
      </c>
      <c r="H2441" s="3340">
        <v>42246</v>
      </c>
      <c r="I2441" s="3340">
        <v>42460</v>
      </c>
      <c r="J2441" s="3324"/>
    </row>
    <row r="2442" spans="1:12" s="3327" customFormat="1" ht="13.5" customHeight="1">
      <c r="A2442" s="3354"/>
      <c r="B2442" s="3336" t="s">
        <v>4779</v>
      </c>
      <c r="C2442" s="3336" t="s">
        <v>4780</v>
      </c>
      <c r="D2442" s="3336" t="s">
        <v>4817</v>
      </c>
      <c r="E2442" s="3339">
        <v>347.1</v>
      </c>
      <c r="F2442" s="3339">
        <v>242</v>
      </c>
      <c r="G2442" s="3340">
        <v>42248</v>
      </c>
      <c r="H2442" s="3340">
        <v>42459</v>
      </c>
      <c r="I2442" s="3340">
        <v>42460</v>
      </c>
      <c r="J2442" s="3324"/>
    </row>
    <row r="2443" spans="1:12" s="3327" customFormat="1" ht="15.75" customHeight="1">
      <c r="A2443" s="3354"/>
      <c r="B2443" s="3336" t="s">
        <v>4779</v>
      </c>
      <c r="C2443" s="3336" t="s">
        <v>4780</v>
      </c>
      <c r="D2443" s="3336" t="s">
        <v>4817</v>
      </c>
      <c r="E2443" s="3339">
        <v>347.1</v>
      </c>
      <c r="F2443" s="3339">
        <v>265</v>
      </c>
      <c r="G2443" s="3340">
        <v>42461</v>
      </c>
      <c r="H2443" s="3340">
        <v>42824</v>
      </c>
      <c r="I2443" s="3340">
        <v>42825</v>
      </c>
      <c r="J2443" s="3324"/>
    </row>
    <row r="2444" spans="1:12" s="3327" customFormat="1" ht="13.5" customHeight="1">
      <c r="A2444" s="3354"/>
      <c r="B2444" s="3331" t="s">
        <v>4779</v>
      </c>
      <c r="C2444" s="3331" t="s">
        <v>4780</v>
      </c>
      <c r="D2444" s="3331" t="s">
        <v>4816</v>
      </c>
      <c r="E2444" s="3332">
        <v>347.1</v>
      </c>
      <c r="F2444" s="3332">
        <v>260</v>
      </c>
      <c r="G2444" s="3333">
        <v>42826</v>
      </c>
      <c r="H2444" s="3333">
        <v>42885</v>
      </c>
      <c r="I2444" s="3333">
        <v>42886</v>
      </c>
      <c r="J2444" s="3324"/>
      <c r="K2444" s="3334">
        <f t="shared" ref="K2444:K2447" si="415">E2444</f>
        <v>347.1</v>
      </c>
      <c r="L2444" s="3334">
        <f t="shared" ref="L2444:L2447" si="416">F2444/30</f>
        <v>8.6666666666666661</v>
      </c>
    </row>
    <row r="2445" spans="1:12" s="3327" customFormat="1" ht="13.5" customHeight="1">
      <c r="A2445" s="3354" t="s">
        <v>4784</v>
      </c>
      <c r="B2445" s="3331" t="s">
        <v>4779</v>
      </c>
      <c r="C2445" s="3331" t="s">
        <v>4095</v>
      </c>
      <c r="D2445" s="3331" t="s">
        <v>4818</v>
      </c>
      <c r="E2445" s="3332">
        <v>95.12</v>
      </c>
      <c r="F2445" s="3332">
        <v>360</v>
      </c>
      <c r="G2445" s="3333">
        <v>42887</v>
      </c>
      <c r="H2445" s="3333">
        <v>43130</v>
      </c>
      <c r="I2445" s="3333">
        <v>43190</v>
      </c>
      <c r="J2445" s="3324"/>
      <c r="K2445" s="3334">
        <f t="shared" si="415"/>
        <v>95.12</v>
      </c>
      <c r="L2445" s="3334">
        <f t="shared" si="416"/>
        <v>12</v>
      </c>
    </row>
    <row r="2446" spans="1:12" s="3327" customFormat="1" ht="13.5" customHeight="1">
      <c r="A2446" s="3354" t="s">
        <v>4784</v>
      </c>
      <c r="B2446" s="3331" t="s">
        <v>4779</v>
      </c>
      <c r="C2446" s="3331" t="s">
        <v>4090</v>
      </c>
      <c r="D2446" s="3331" t="s">
        <v>4819</v>
      </c>
      <c r="E2446" s="3332">
        <v>87.35</v>
      </c>
      <c r="F2446" s="3332">
        <v>360</v>
      </c>
      <c r="G2446" s="3333">
        <v>42887</v>
      </c>
      <c r="H2446" s="3333">
        <v>43130</v>
      </c>
      <c r="I2446" s="3333">
        <v>43190</v>
      </c>
      <c r="J2446" s="3324"/>
      <c r="K2446" s="3334">
        <f t="shared" si="415"/>
        <v>87.35</v>
      </c>
      <c r="L2446" s="3334">
        <f t="shared" si="416"/>
        <v>12</v>
      </c>
    </row>
    <row r="2447" spans="1:12" s="3327" customFormat="1" ht="13.5" customHeight="1">
      <c r="A2447" s="3354" t="s">
        <v>4784</v>
      </c>
      <c r="B2447" s="3331" t="s">
        <v>4779</v>
      </c>
      <c r="C2447" s="3331" t="s">
        <v>4820</v>
      </c>
      <c r="D2447" s="3331" t="s">
        <v>4821</v>
      </c>
      <c r="E2447" s="3332">
        <v>164.65</v>
      </c>
      <c r="F2447" s="3332">
        <v>360</v>
      </c>
      <c r="G2447" s="3333">
        <v>42887</v>
      </c>
      <c r="H2447" s="3333">
        <v>43130</v>
      </c>
      <c r="I2447" s="3333">
        <v>43190</v>
      </c>
      <c r="J2447" s="3324"/>
      <c r="K2447" s="3334">
        <f t="shared" si="415"/>
        <v>164.65</v>
      </c>
      <c r="L2447" s="3334">
        <f t="shared" si="416"/>
        <v>12</v>
      </c>
    </row>
    <row r="2448" spans="1:12" s="3327" customFormat="1" ht="13.5" customHeight="1">
      <c r="A2448" s="3355"/>
      <c r="B2448" s="3336" t="s">
        <v>4779</v>
      </c>
      <c r="C2448" s="3336" t="s">
        <v>4581</v>
      </c>
      <c r="D2448" s="3336" t="s">
        <v>4822</v>
      </c>
      <c r="E2448" s="3339">
        <v>250.9</v>
      </c>
      <c r="F2448" s="3339">
        <v>270</v>
      </c>
      <c r="G2448" s="3340">
        <v>40643</v>
      </c>
      <c r="H2448" s="3340">
        <v>40998</v>
      </c>
      <c r="I2448" s="3340">
        <v>40999</v>
      </c>
      <c r="J2448" s="3336"/>
    </row>
    <row r="2449" spans="1:12" s="3327" customFormat="1" ht="13.5" customHeight="1">
      <c r="A2449" s="3323"/>
      <c r="B2449" s="3324" t="s">
        <v>4779</v>
      </c>
      <c r="C2449" s="3324" t="s">
        <v>4581</v>
      </c>
      <c r="D2449" s="3324" t="s">
        <v>4823</v>
      </c>
      <c r="E2449" s="3325">
        <v>240.9</v>
      </c>
      <c r="F2449" s="3325">
        <v>275</v>
      </c>
      <c r="G2449" s="3326">
        <v>41730</v>
      </c>
      <c r="H2449" s="3326">
        <v>41820</v>
      </c>
      <c r="I2449" s="3326">
        <v>41364</v>
      </c>
      <c r="J2449" s="3324"/>
    </row>
    <row r="2450" spans="1:12" s="3327" customFormat="1" ht="13.5" customHeight="1">
      <c r="A2450" s="3354"/>
      <c r="B2450" s="3324" t="s">
        <v>4779</v>
      </c>
      <c r="C2450" s="3324" t="s">
        <v>4824</v>
      </c>
      <c r="D2450" s="3324" t="s">
        <v>4825</v>
      </c>
      <c r="E2450" s="3325">
        <v>240.9</v>
      </c>
      <c r="F2450" s="3325">
        <v>275</v>
      </c>
      <c r="G2450" s="3326">
        <v>41883</v>
      </c>
      <c r="H2450" s="3326">
        <v>41927</v>
      </c>
      <c r="I2450" s="3326">
        <v>42094</v>
      </c>
      <c r="J2450" s="3324"/>
    </row>
    <row r="2451" spans="1:12" s="3327" customFormat="1" ht="13.5" customHeight="1">
      <c r="A2451" s="3354"/>
      <c r="B2451" s="3324" t="s">
        <v>4779</v>
      </c>
      <c r="C2451" s="3324" t="s">
        <v>4826</v>
      </c>
      <c r="D2451" s="3324" t="s">
        <v>4825</v>
      </c>
      <c r="E2451" s="3325">
        <v>240.9</v>
      </c>
      <c r="F2451" s="3325">
        <v>275</v>
      </c>
      <c r="G2451" s="3326">
        <v>41944</v>
      </c>
      <c r="H2451" s="3326">
        <v>41945</v>
      </c>
      <c r="I2451" s="3326">
        <v>42094</v>
      </c>
      <c r="J2451" s="3324"/>
    </row>
    <row r="2452" spans="1:12" s="3327" customFormat="1" ht="13.5" customHeight="1">
      <c r="A2452" s="3354"/>
      <c r="B2452" s="3324" t="s">
        <v>4779</v>
      </c>
      <c r="C2452" s="3324" t="s">
        <v>4673</v>
      </c>
      <c r="D2452" s="3324" t="s">
        <v>4825</v>
      </c>
      <c r="E2452" s="3325">
        <v>240.9</v>
      </c>
      <c r="F2452" s="3325">
        <v>275</v>
      </c>
      <c r="G2452" s="3326">
        <v>41946</v>
      </c>
      <c r="H2452" s="3326">
        <v>42093</v>
      </c>
      <c r="I2452" s="3326">
        <v>42094</v>
      </c>
      <c r="J2452" s="3324"/>
    </row>
    <row r="2453" spans="1:12" s="3327" customFormat="1" ht="12.75" customHeight="1">
      <c r="A2453" s="3354"/>
      <c r="B2453" s="3350" t="s">
        <v>4779</v>
      </c>
      <c r="C2453" s="3351" t="s">
        <v>4673</v>
      </c>
      <c r="D2453" s="3351" t="s">
        <v>4825</v>
      </c>
      <c r="E2453" s="3352">
        <v>153.80000000000001</v>
      </c>
      <c r="F2453" s="3352">
        <v>275</v>
      </c>
      <c r="G2453" s="3353">
        <v>42095</v>
      </c>
      <c r="H2453" s="3353">
        <v>42100</v>
      </c>
      <c r="I2453" s="3353">
        <v>42100</v>
      </c>
      <c r="J2453" s="3324"/>
    </row>
    <row r="2454" spans="1:12" s="3327" customFormat="1" ht="12.75" customHeight="1">
      <c r="A2454" s="3335"/>
      <c r="B2454" s="3336" t="s">
        <v>4779</v>
      </c>
      <c r="C2454" s="3336" t="s">
        <v>4787</v>
      </c>
      <c r="D2454" s="3336" t="s">
        <v>4827</v>
      </c>
      <c r="E2454" s="3339">
        <v>90.7</v>
      </c>
      <c r="F2454" s="3339">
        <v>270</v>
      </c>
      <c r="G2454" s="3340">
        <v>41395</v>
      </c>
      <c r="H2454" s="3340">
        <v>41728</v>
      </c>
      <c r="I2454" s="3340">
        <v>41729</v>
      </c>
      <c r="J2454" s="3336"/>
    </row>
    <row r="2455" spans="1:12" s="3327" customFormat="1" ht="12.75" customHeight="1">
      <c r="A2455" s="3323" t="s">
        <v>4828</v>
      </c>
      <c r="B2455" s="3336" t="s">
        <v>4779</v>
      </c>
      <c r="C2455" s="3336" t="s">
        <v>4787</v>
      </c>
      <c r="D2455" s="3336" t="s">
        <v>4827</v>
      </c>
      <c r="E2455" s="3339">
        <v>90.7</v>
      </c>
      <c r="F2455" s="3339">
        <v>200</v>
      </c>
      <c r="G2455" s="3340">
        <v>41730</v>
      </c>
      <c r="H2455" s="3340">
        <v>42027</v>
      </c>
      <c r="I2455" s="3340">
        <v>42094</v>
      </c>
      <c r="J2455" s="3324"/>
    </row>
    <row r="2456" spans="1:12" s="3327" customFormat="1" ht="12.75" customHeight="1">
      <c r="A2456" s="3323"/>
      <c r="B2456" s="3350" t="s">
        <v>4779</v>
      </c>
      <c r="C2456" s="3351" t="s">
        <v>4787</v>
      </c>
      <c r="D2456" s="3351" t="s">
        <v>4827</v>
      </c>
      <c r="E2456" s="3352">
        <v>90.7</v>
      </c>
      <c r="F2456" s="3352">
        <v>200</v>
      </c>
      <c r="G2456" s="3353">
        <v>42028</v>
      </c>
      <c r="H2456" s="3353">
        <v>42093</v>
      </c>
      <c r="I2456" s="3353">
        <v>42094</v>
      </c>
      <c r="J2456" s="3324"/>
    </row>
    <row r="2457" spans="1:12" s="3327" customFormat="1" ht="12.75" customHeight="1">
      <c r="A2457" s="3323"/>
      <c r="B2457" s="3336" t="s">
        <v>4779</v>
      </c>
      <c r="C2457" s="3336" t="s">
        <v>4829</v>
      </c>
      <c r="D2457" s="3336" t="s">
        <v>4827</v>
      </c>
      <c r="E2457" s="3339">
        <v>90.7</v>
      </c>
      <c r="F2457" s="3339">
        <v>220</v>
      </c>
      <c r="G2457" s="3340">
        <v>42115</v>
      </c>
      <c r="H2457" s="3340">
        <v>42261</v>
      </c>
      <c r="I2457" s="3340">
        <v>42460</v>
      </c>
      <c r="J2457" s="3324"/>
    </row>
    <row r="2458" spans="1:12" s="3327" customFormat="1" ht="12.75" customHeight="1">
      <c r="A2458" s="3354"/>
      <c r="B2458" s="3336" t="s">
        <v>4779</v>
      </c>
      <c r="C2458" s="3336" t="s">
        <v>4830</v>
      </c>
      <c r="D2458" s="3336" t="s">
        <v>4831</v>
      </c>
      <c r="E2458" s="3339">
        <v>244.5</v>
      </c>
      <c r="F2458" s="3339">
        <v>255</v>
      </c>
      <c r="G2458" s="3340">
        <v>42262</v>
      </c>
      <c r="H2458" s="3340">
        <v>42459</v>
      </c>
      <c r="I2458" s="3340">
        <v>42460</v>
      </c>
      <c r="J2458" s="3324"/>
    </row>
    <row r="2459" spans="1:12" s="3327" customFormat="1" ht="12.75" customHeight="1">
      <c r="A2459" s="3354"/>
      <c r="B2459" s="3336" t="s">
        <v>4779</v>
      </c>
      <c r="C2459" s="3336" t="s">
        <v>4830</v>
      </c>
      <c r="D2459" s="3336" t="s">
        <v>4831</v>
      </c>
      <c r="E2459" s="3338">
        <v>255.7</v>
      </c>
      <c r="F2459" s="3339">
        <v>150</v>
      </c>
      <c r="G2459" s="3340">
        <v>42461</v>
      </c>
      <c r="H2459" s="3340">
        <v>42824</v>
      </c>
      <c r="I2459" s="3340">
        <v>42825</v>
      </c>
      <c r="J2459" s="3324"/>
    </row>
    <row r="2460" spans="1:12" s="3327" customFormat="1" ht="12.75" customHeight="1">
      <c r="A2460" s="3354"/>
      <c r="B2460" s="3331" t="s">
        <v>4779</v>
      </c>
      <c r="C2460" s="3331" t="s">
        <v>4832</v>
      </c>
      <c r="D2460" s="3331" t="s">
        <v>4823</v>
      </c>
      <c r="E2460" s="3332">
        <v>255.7</v>
      </c>
      <c r="F2460" s="3332">
        <v>185</v>
      </c>
      <c r="G2460" s="3333">
        <v>42826</v>
      </c>
      <c r="H2460" s="3333">
        <v>43008</v>
      </c>
      <c r="I2460" s="3333">
        <v>43190</v>
      </c>
      <c r="J2460" s="3324"/>
      <c r="K2460" s="3334">
        <f t="shared" ref="K2460:K2461" si="417">E2460</f>
        <v>255.7</v>
      </c>
      <c r="L2460" s="3334">
        <f t="shared" ref="L2460:L2461" si="418">F2460/30</f>
        <v>6.166666666666667</v>
      </c>
    </row>
    <row r="2461" spans="1:12" s="3327" customFormat="1" ht="12.75" customHeight="1">
      <c r="A2461" s="3354" t="s">
        <v>4784</v>
      </c>
      <c r="B2461" s="3331" t="s">
        <v>4779</v>
      </c>
      <c r="C2461" s="3331" t="s">
        <v>4833</v>
      </c>
      <c r="D2461" s="3331" t="s">
        <v>4823</v>
      </c>
      <c r="E2461" s="3332">
        <v>255.7</v>
      </c>
      <c r="F2461" s="3332">
        <v>200</v>
      </c>
      <c r="G2461" s="3333">
        <v>43009</v>
      </c>
      <c r="H2461" s="3333">
        <v>43130</v>
      </c>
      <c r="I2461" s="3333">
        <v>43190</v>
      </c>
      <c r="J2461" s="3324"/>
      <c r="K2461" s="3334">
        <f t="shared" si="417"/>
        <v>255.7</v>
      </c>
      <c r="L2461" s="3334">
        <f t="shared" si="418"/>
        <v>6.666666666666667</v>
      </c>
    </row>
    <row r="2462" spans="1:12" s="3327" customFormat="1" ht="13.5" customHeight="1">
      <c r="A2462" s="3355"/>
      <c r="B2462" s="3336" t="s">
        <v>4779</v>
      </c>
      <c r="C2462" s="3336" t="s">
        <v>4834</v>
      </c>
      <c r="D2462" s="3336" t="s">
        <v>4835</v>
      </c>
      <c r="E2462" s="3339">
        <v>173.3</v>
      </c>
      <c r="F2462" s="3339">
        <v>240</v>
      </c>
      <c r="G2462" s="3340">
        <v>41000</v>
      </c>
      <c r="H2462" s="3340">
        <v>41363</v>
      </c>
      <c r="I2462" s="3340">
        <v>41364</v>
      </c>
      <c r="J2462" s="3336"/>
    </row>
    <row r="2463" spans="1:12" s="3327" customFormat="1" ht="13.5" customHeight="1">
      <c r="A2463" s="3354"/>
      <c r="B2463" s="3324" t="s">
        <v>4779</v>
      </c>
      <c r="C2463" s="3324" t="s">
        <v>4836</v>
      </c>
      <c r="D2463" s="3324" t="s">
        <v>4837</v>
      </c>
      <c r="E2463" s="3325">
        <v>173.3</v>
      </c>
      <c r="F2463" s="3325">
        <v>240</v>
      </c>
      <c r="G2463" s="3326">
        <v>41730</v>
      </c>
      <c r="H2463" s="3326">
        <v>42093</v>
      </c>
      <c r="I2463" s="3326">
        <v>42094</v>
      </c>
      <c r="J2463" s="3324"/>
    </row>
    <row r="2464" spans="1:12" s="3327" customFormat="1" ht="13.5" customHeight="1">
      <c r="A2464" s="3354"/>
      <c r="B2464" s="3336" t="s">
        <v>4779</v>
      </c>
      <c r="C2464" s="3336" t="s">
        <v>4836</v>
      </c>
      <c r="D2464" s="3336" t="s">
        <v>4837</v>
      </c>
      <c r="E2464" s="3339">
        <v>173.3</v>
      </c>
      <c r="F2464" s="3339">
        <v>220</v>
      </c>
      <c r="G2464" s="3340">
        <v>42095</v>
      </c>
      <c r="H2464" s="3340">
        <v>42368</v>
      </c>
      <c r="I2464" s="3340">
        <v>42460</v>
      </c>
      <c r="J2464" s="3324"/>
    </row>
    <row r="2465" spans="1:12" s="3327" customFormat="1" ht="13.5" customHeight="1">
      <c r="A2465" s="3354"/>
      <c r="B2465" s="3331" t="s">
        <v>4779</v>
      </c>
      <c r="C2465" s="3351" t="s">
        <v>4836</v>
      </c>
      <c r="D2465" s="3351" t="s">
        <v>4837</v>
      </c>
      <c r="E2465" s="3352">
        <v>173.3</v>
      </c>
      <c r="F2465" s="3352">
        <v>220</v>
      </c>
      <c r="G2465" s="3353">
        <v>42370</v>
      </c>
      <c r="H2465" s="3333">
        <v>42459</v>
      </c>
      <c r="I2465" s="3353">
        <v>42460</v>
      </c>
      <c r="J2465" s="3324"/>
    </row>
    <row r="2466" spans="1:12" s="3327" customFormat="1" ht="13.5" customHeight="1">
      <c r="A2466" s="3354"/>
      <c r="B2466" s="3336" t="s">
        <v>4779</v>
      </c>
      <c r="C2466" s="3336" t="s">
        <v>4838</v>
      </c>
      <c r="D2466" s="3336" t="s">
        <v>4837</v>
      </c>
      <c r="E2466" s="3339">
        <v>173.31</v>
      </c>
      <c r="F2466" s="3339">
        <v>220</v>
      </c>
      <c r="G2466" s="3340">
        <v>42461</v>
      </c>
      <c r="H2466" s="3340">
        <v>42824</v>
      </c>
      <c r="I2466" s="3340">
        <v>42825</v>
      </c>
      <c r="J2466" s="3324"/>
    </row>
    <row r="2467" spans="1:12" s="3327" customFormat="1" ht="13.5" customHeight="1">
      <c r="A2467" s="3354"/>
      <c r="B2467" s="3331" t="s">
        <v>4779</v>
      </c>
      <c r="C2467" s="3331" t="s">
        <v>4839</v>
      </c>
      <c r="D2467" s="3331" t="s">
        <v>4837</v>
      </c>
      <c r="E2467" s="3332">
        <v>173.31</v>
      </c>
      <c r="F2467" s="3332">
        <v>248</v>
      </c>
      <c r="G2467" s="3333">
        <v>42826</v>
      </c>
      <c r="H2467" s="3333">
        <v>43023</v>
      </c>
      <c r="I2467" s="3333">
        <v>43190</v>
      </c>
      <c r="J2467" s="3324"/>
      <c r="K2467" s="3334">
        <f t="shared" ref="K2467:K2468" si="419">E2467</f>
        <v>173.31</v>
      </c>
      <c r="L2467" s="3334">
        <f t="shared" ref="L2467:L2468" si="420">F2467/30</f>
        <v>8.2666666666666675</v>
      </c>
    </row>
    <row r="2468" spans="1:12" s="3327" customFormat="1" ht="13.5" customHeight="1">
      <c r="A2468" s="3354" t="s">
        <v>4784</v>
      </c>
      <c r="B2468" s="3331" t="s">
        <v>4779</v>
      </c>
      <c r="C2468" s="3331" t="s">
        <v>4840</v>
      </c>
      <c r="D2468" s="3331" t="s">
        <v>4837</v>
      </c>
      <c r="E2468" s="3332">
        <v>173.31</v>
      </c>
      <c r="F2468" s="3332">
        <v>260</v>
      </c>
      <c r="G2468" s="3333">
        <v>43024</v>
      </c>
      <c r="H2468" s="3333">
        <v>43130</v>
      </c>
      <c r="I2468" s="3333">
        <v>43190</v>
      </c>
      <c r="J2468" s="3324"/>
      <c r="K2468" s="3334">
        <f t="shared" si="419"/>
        <v>173.31</v>
      </c>
      <c r="L2468" s="3334">
        <f t="shared" si="420"/>
        <v>8.6666666666666661</v>
      </c>
    </row>
    <row r="2469" spans="1:12" s="3327" customFormat="1" ht="13.5" customHeight="1">
      <c r="A2469" s="3355"/>
      <c r="B2469" s="3336" t="s">
        <v>4779</v>
      </c>
      <c r="C2469" s="3336" t="s">
        <v>4841</v>
      </c>
      <c r="D2469" s="3336" t="s">
        <v>4842</v>
      </c>
      <c r="E2469" s="3339">
        <v>173.8</v>
      </c>
      <c r="F2469" s="3339">
        <v>240</v>
      </c>
      <c r="G2469" s="3340">
        <v>41183</v>
      </c>
      <c r="H2469" s="3340">
        <v>41363</v>
      </c>
      <c r="I2469" s="3340">
        <v>41364</v>
      </c>
      <c r="J2469" s="3336"/>
    </row>
    <row r="2470" spans="1:12" s="3327" customFormat="1" ht="13.5" customHeight="1">
      <c r="A2470" s="3323"/>
      <c r="B2470" s="3324" t="s">
        <v>4779</v>
      </c>
      <c r="C2470" s="3324" t="s">
        <v>4841</v>
      </c>
      <c r="D2470" s="3324" t="s">
        <v>4825</v>
      </c>
      <c r="E2470" s="3325">
        <v>173.8</v>
      </c>
      <c r="F2470" s="3325">
        <v>220</v>
      </c>
      <c r="G2470" s="3326">
        <v>41730</v>
      </c>
      <c r="H2470" s="3326">
        <v>41850</v>
      </c>
      <c r="I2470" s="3326">
        <v>42094</v>
      </c>
      <c r="J2470" s="3324"/>
    </row>
    <row r="2471" spans="1:12" s="3327" customFormat="1" ht="13.5" customHeight="1">
      <c r="A2471" s="3354"/>
      <c r="B2471" s="3324" t="s">
        <v>4779</v>
      </c>
      <c r="C2471" s="3324" t="s">
        <v>4843</v>
      </c>
      <c r="D2471" s="3324" t="s">
        <v>4825</v>
      </c>
      <c r="E2471" s="3325">
        <v>173.8</v>
      </c>
      <c r="F2471" s="3325">
        <v>220</v>
      </c>
      <c r="G2471" s="3326">
        <v>41852</v>
      </c>
      <c r="H2471" s="3326">
        <v>42093</v>
      </c>
      <c r="I2471" s="3326">
        <v>42094</v>
      </c>
      <c r="J2471" s="3324"/>
    </row>
    <row r="2472" spans="1:12" s="3327" customFormat="1" ht="13.5" customHeight="1">
      <c r="A2472" s="3354"/>
      <c r="B2472" s="3336" t="s">
        <v>4779</v>
      </c>
      <c r="C2472" s="3336" t="s">
        <v>4843</v>
      </c>
      <c r="D2472" s="3336" t="s">
        <v>4825</v>
      </c>
      <c r="E2472" s="3339">
        <v>173.8</v>
      </c>
      <c r="F2472" s="3339">
        <v>220</v>
      </c>
      <c r="G2472" s="3340">
        <v>42095</v>
      </c>
      <c r="H2472" s="3340">
        <v>42459</v>
      </c>
      <c r="I2472" s="3340">
        <v>42460</v>
      </c>
      <c r="J2472" s="3324"/>
    </row>
    <row r="2473" spans="1:12" s="3327" customFormat="1" ht="13.5" customHeight="1">
      <c r="A2473" s="3354"/>
      <c r="B2473" s="3336" t="s">
        <v>4779</v>
      </c>
      <c r="C2473" s="3336" t="s">
        <v>4844</v>
      </c>
      <c r="D2473" s="3336" t="s">
        <v>4825</v>
      </c>
      <c r="E2473" s="3339">
        <v>173.8</v>
      </c>
      <c r="F2473" s="3339">
        <v>220</v>
      </c>
      <c r="G2473" s="3340">
        <v>42461</v>
      </c>
      <c r="H2473" s="3340">
        <v>42824</v>
      </c>
      <c r="I2473" s="3340">
        <v>42825</v>
      </c>
      <c r="J2473" s="3324"/>
    </row>
    <row r="2474" spans="1:12" s="3327" customFormat="1" ht="13.5" customHeight="1">
      <c r="A2474" s="3354"/>
      <c r="B2474" s="3331" t="s">
        <v>4779</v>
      </c>
      <c r="C2474" s="3331" t="s">
        <v>4844</v>
      </c>
      <c r="D2474" s="3331" t="s">
        <v>4825</v>
      </c>
      <c r="E2474" s="3332">
        <v>173.8</v>
      </c>
      <c r="F2474" s="3332">
        <v>185</v>
      </c>
      <c r="G2474" s="3333">
        <v>42826</v>
      </c>
      <c r="H2474" s="3333">
        <v>42946</v>
      </c>
      <c r="I2474" s="3333">
        <v>43190</v>
      </c>
      <c r="J2474" s="3324"/>
      <c r="K2474" s="3334">
        <f t="shared" ref="K2474:K2476" si="421">E2474</f>
        <v>173.8</v>
      </c>
      <c r="L2474" s="3334">
        <f t="shared" ref="L2474:L2476" si="422">F2474/30</f>
        <v>6.166666666666667</v>
      </c>
    </row>
    <row r="2475" spans="1:12" s="3327" customFormat="1" ht="13.5" customHeight="1">
      <c r="A2475" s="3354"/>
      <c r="B2475" s="3331" t="s">
        <v>4779</v>
      </c>
      <c r="C2475" s="3331" t="s">
        <v>4844</v>
      </c>
      <c r="D2475" s="3331" t="s">
        <v>4825</v>
      </c>
      <c r="E2475" s="3332">
        <v>173.8</v>
      </c>
      <c r="F2475" s="3332">
        <v>185</v>
      </c>
      <c r="G2475" s="3333">
        <v>42948</v>
      </c>
      <c r="H2475" s="3333">
        <v>43083</v>
      </c>
      <c r="I2475" s="3333">
        <v>43190</v>
      </c>
      <c r="J2475" s="3324"/>
      <c r="K2475" s="3334">
        <f t="shared" si="421"/>
        <v>173.8</v>
      </c>
      <c r="L2475" s="3334">
        <f t="shared" si="422"/>
        <v>6.166666666666667</v>
      </c>
    </row>
    <row r="2476" spans="1:12" s="3327" customFormat="1" ht="13.5" customHeight="1">
      <c r="A2476" s="3354" t="s">
        <v>4784</v>
      </c>
      <c r="B2476" s="3331" t="s">
        <v>4779</v>
      </c>
      <c r="C2476" s="3331" t="s">
        <v>4845</v>
      </c>
      <c r="D2476" s="3331" t="s">
        <v>4825</v>
      </c>
      <c r="E2476" s="3332">
        <v>173.8</v>
      </c>
      <c r="F2476" s="3332">
        <v>165</v>
      </c>
      <c r="G2476" s="3333">
        <v>43084</v>
      </c>
      <c r="H2476" s="3333">
        <v>43130</v>
      </c>
      <c r="I2476" s="3333">
        <v>43190</v>
      </c>
      <c r="J2476" s="3324"/>
      <c r="K2476" s="3334">
        <f t="shared" si="421"/>
        <v>173.8</v>
      </c>
      <c r="L2476" s="3334">
        <f t="shared" si="422"/>
        <v>5.5</v>
      </c>
    </row>
    <row r="2477" spans="1:12" s="3327" customFormat="1" ht="13.5" customHeight="1">
      <c r="A2477" s="3355"/>
      <c r="B2477" s="3336" t="s">
        <v>4779</v>
      </c>
      <c r="C2477" s="3336" t="s">
        <v>4519</v>
      </c>
      <c r="D2477" s="3336" t="s">
        <v>4846</v>
      </c>
      <c r="E2477" s="3339">
        <v>268.10000000000002</v>
      </c>
      <c r="F2477" s="3339">
        <v>240</v>
      </c>
      <c r="G2477" s="3340">
        <v>41000</v>
      </c>
      <c r="H2477" s="3340">
        <v>41363</v>
      </c>
      <c r="I2477" s="3340">
        <v>41364</v>
      </c>
      <c r="J2477" s="3336"/>
    </row>
    <row r="2478" spans="1:12" s="3327" customFormat="1" ht="13.5" customHeight="1">
      <c r="A2478" s="3409"/>
      <c r="B2478" s="3324" t="s">
        <v>4779</v>
      </c>
      <c r="C2478" s="3324" t="s">
        <v>4519</v>
      </c>
      <c r="D2478" s="3324" t="s">
        <v>4847</v>
      </c>
      <c r="E2478" s="3325">
        <v>251.8</v>
      </c>
      <c r="F2478" s="3325">
        <v>240</v>
      </c>
      <c r="G2478" s="3326">
        <v>41730</v>
      </c>
      <c r="H2478" s="3326">
        <v>41734</v>
      </c>
      <c r="I2478" s="3326">
        <v>42094</v>
      </c>
      <c r="J2478" s="3324"/>
    </row>
    <row r="2479" spans="1:12" s="3327" customFormat="1" ht="13.5" customHeight="1">
      <c r="A2479" s="3354"/>
      <c r="B2479" s="3324" t="s">
        <v>4779</v>
      </c>
      <c r="C2479" s="3324" t="s">
        <v>4848</v>
      </c>
      <c r="D2479" s="3324" t="s">
        <v>4847</v>
      </c>
      <c r="E2479" s="3325">
        <v>251.8</v>
      </c>
      <c r="F2479" s="3325">
        <v>240</v>
      </c>
      <c r="G2479" s="3326">
        <v>41755</v>
      </c>
      <c r="H2479" s="3326">
        <v>42093</v>
      </c>
      <c r="I2479" s="3326">
        <v>42094</v>
      </c>
      <c r="J2479" s="3324"/>
    </row>
    <row r="2480" spans="1:12" s="3327" customFormat="1" ht="13.5" customHeight="1">
      <c r="A2480" s="3354"/>
      <c r="B2480" s="3336" t="s">
        <v>4779</v>
      </c>
      <c r="C2480" s="3336" t="s">
        <v>4848</v>
      </c>
      <c r="D2480" s="3336" t="s">
        <v>4847</v>
      </c>
      <c r="E2480" s="3339">
        <v>251.8</v>
      </c>
      <c r="F2480" s="3339">
        <v>220</v>
      </c>
      <c r="G2480" s="3340">
        <v>42095</v>
      </c>
      <c r="H2480" s="3340">
        <v>42459</v>
      </c>
      <c r="I2480" s="3340">
        <v>42460</v>
      </c>
      <c r="J2480" s="3324"/>
    </row>
    <row r="2481" spans="1:12" s="3327" customFormat="1" ht="13.5" customHeight="1">
      <c r="A2481" s="3354"/>
      <c r="B2481" s="3336" t="s">
        <v>4779</v>
      </c>
      <c r="C2481" s="3336" t="s">
        <v>4849</v>
      </c>
      <c r="D2481" s="3336" t="s">
        <v>4847</v>
      </c>
      <c r="E2481" s="3339">
        <v>251.8</v>
      </c>
      <c r="F2481" s="3339">
        <v>220</v>
      </c>
      <c r="G2481" s="3340">
        <v>42461</v>
      </c>
      <c r="H2481" s="3340">
        <v>42824</v>
      </c>
      <c r="I2481" s="3340">
        <v>42825</v>
      </c>
      <c r="J2481" s="3324"/>
    </row>
    <row r="2482" spans="1:12" s="3327" customFormat="1" ht="13.5" customHeight="1">
      <c r="A2482" s="3354"/>
      <c r="B2482" s="3331" t="s">
        <v>4779</v>
      </c>
      <c r="C2482" s="3331" t="s">
        <v>4850</v>
      </c>
      <c r="D2482" s="3331" t="s">
        <v>4847</v>
      </c>
      <c r="E2482" s="3332">
        <v>251.8</v>
      </c>
      <c r="F2482" s="3332">
        <v>185</v>
      </c>
      <c r="G2482" s="3333">
        <v>42826</v>
      </c>
      <c r="H2482" s="3333">
        <v>42946</v>
      </c>
      <c r="I2482" s="3333">
        <v>43190</v>
      </c>
      <c r="J2482" s="3324"/>
      <c r="K2482" s="3334">
        <f t="shared" ref="K2482:K2484" si="423">E2482</f>
        <v>251.8</v>
      </c>
      <c r="L2482" s="3334">
        <f t="shared" ref="L2482:L2484" si="424">F2482/30</f>
        <v>6.166666666666667</v>
      </c>
    </row>
    <row r="2483" spans="1:12" s="3327" customFormat="1" ht="13.5" customHeight="1">
      <c r="A2483" s="3354"/>
      <c r="B2483" s="3331" t="s">
        <v>4779</v>
      </c>
      <c r="C2483" s="3331" t="s">
        <v>4850</v>
      </c>
      <c r="D2483" s="3331" t="s">
        <v>4847</v>
      </c>
      <c r="E2483" s="3332">
        <v>251.8</v>
      </c>
      <c r="F2483" s="3332">
        <v>185</v>
      </c>
      <c r="G2483" s="3333">
        <v>42948</v>
      </c>
      <c r="H2483" s="3333">
        <v>43083</v>
      </c>
      <c r="I2483" s="3333">
        <v>43190</v>
      </c>
      <c r="J2483" s="3324"/>
      <c r="K2483" s="3334">
        <f t="shared" si="423"/>
        <v>251.8</v>
      </c>
      <c r="L2483" s="3334">
        <f t="shared" si="424"/>
        <v>6.166666666666667</v>
      </c>
    </row>
    <row r="2484" spans="1:12" s="3327" customFormat="1" ht="13.5" customHeight="1">
      <c r="A2484" s="3354" t="s">
        <v>4784</v>
      </c>
      <c r="B2484" s="3331" t="s">
        <v>4779</v>
      </c>
      <c r="C2484" s="3331" t="s">
        <v>4851</v>
      </c>
      <c r="D2484" s="3331" t="s">
        <v>4847</v>
      </c>
      <c r="E2484" s="3332">
        <v>251.8</v>
      </c>
      <c r="F2484" s="3332">
        <v>165</v>
      </c>
      <c r="G2484" s="3333">
        <v>43084</v>
      </c>
      <c r="H2484" s="3333">
        <v>43130</v>
      </c>
      <c r="I2484" s="3333">
        <v>43190</v>
      </c>
      <c r="J2484" s="3324"/>
      <c r="K2484" s="3334">
        <f t="shared" si="423"/>
        <v>251.8</v>
      </c>
      <c r="L2484" s="3334">
        <f t="shared" si="424"/>
        <v>5.5</v>
      </c>
    </row>
    <row r="2485" spans="1:12" s="3327" customFormat="1" ht="13.5" customHeight="1">
      <c r="A2485" s="3355"/>
      <c r="B2485" s="3336" t="s">
        <v>4779</v>
      </c>
      <c r="C2485" s="3336" t="s">
        <v>4852</v>
      </c>
      <c r="D2485" s="3336" t="s">
        <v>4853</v>
      </c>
      <c r="E2485" s="3339">
        <v>140.6</v>
      </c>
      <c r="F2485" s="3339">
        <v>270</v>
      </c>
      <c r="G2485" s="3340">
        <v>41000</v>
      </c>
      <c r="H2485" s="3340">
        <v>41363</v>
      </c>
      <c r="I2485" s="3340">
        <v>41364</v>
      </c>
      <c r="J2485" s="3336"/>
    </row>
    <row r="2486" spans="1:12" s="3327" customFormat="1" ht="13.5" customHeight="1">
      <c r="A2486" s="3354"/>
      <c r="B2486" s="3324" t="s">
        <v>4779</v>
      </c>
      <c r="C2486" s="3324" t="s">
        <v>4852</v>
      </c>
      <c r="D2486" s="3324" t="s">
        <v>4854</v>
      </c>
      <c r="E2486" s="3325">
        <v>140.6</v>
      </c>
      <c r="F2486" s="3325">
        <v>280</v>
      </c>
      <c r="G2486" s="3326">
        <v>41730</v>
      </c>
      <c r="H2486" s="3326">
        <v>42093</v>
      </c>
      <c r="I2486" s="3326">
        <v>42094</v>
      </c>
      <c r="J2486" s="3324"/>
    </row>
    <row r="2487" spans="1:12" s="3327" customFormat="1" ht="13.5" customHeight="1">
      <c r="A2487" s="3354"/>
      <c r="B2487" s="3336" t="s">
        <v>4779</v>
      </c>
      <c r="C2487" s="3336" t="s">
        <v>4852</v>
      </c>
      <c r="D2487" s="3336" t="s">
        <v>4854</v>
      </c>
      <c r="E2487" s="3339">
        <v>140.6</v>
      </c>
      <c r="F2487" s="3339">
        <v>245</v>
      </c>
      <c r="G2487" s="3340">
        <v>42095</v>
      </c>
      <c r="H2487" s="3340">
        <v>42154</v>
      </c>
      <c r="I2487" s="3340">
        <v>42155</v>
      </c>
      <c r="J2487" s="3324"/>
    </row>
    <row r="2488" spans="1:12" s="3327" customFormat="1" ht="13.5" customHeight="1">
      <c r="A2488" s="3354"/>
      <c r="B2488" s="3336" t="s">
        <v>4779</v>
      </c>
      <c r="C2488" s="3336" t="s">
        <v>4852</v>
      </c>
      <c r="D2488" s="3336" t="s">
        <v>4854</v>
      </c>
      <c r="E2488" s="3339">
        <v>140.6</v>
      </c>
      <c r="F2488" s="3339">
        <v>280</v>
      </c>
      <c r="G2488" s="3340">
        <v>42156</v>
      </c>
      <c r="H2488" s="3340">
        <v>42185</v>
      </c>
      <c r="I2488" s="3340">
        <v>42215</v>
      </c>
      <c r="J2488" s="3324"/>
    </row>
    <row r="2489" spans="1:12" s="3327" customFormat="1" ht="13.5" customHeight="1">
      <c r="A2489" s="3354"/>
      <c r="B2489" s="3336" t="s">
        <v>4779</v>
      </c>
      <c r="C2489" s="3336" t="s">
        <v>4855</v>
      </c>
      <c r="D2489" s="3336" t="s">
        <v>4854</v>
      </c>
      <c r="E2489" s="3339">
        <v>140.6</v>
      </c>
      <c r="F2489" s="3339">
        <v>290</v>
      </c>
      <c r="G2489" s="3340">
        <v>42205</v>
      </c>
      <c r="H2489" s="3340">
        <v>42459</v>
      </c>
      <c r="I2489" s="3340">
        <v>42460</v>
      </c>
      <c r="J2489" s="3324"/>
    </row>
    <row r="2490" spans="1:12" s="3327" customFormat="1" ht="11.25">
      <c r="A2490" s="3354"/>
      <c r="B2490" s="3336" t="s">
        <v>4779</v>
      </c>
      <c r="C2490" s="3336" t="s">
        <v>4855</v>
      </c>
      <c r="D2490" s="3336" t="s">
        <v>4854</v>
      </c>
      <c r="E2490" s="3339">
        <v>140.6</v>
      </c>
      <c r="F2490" s="3339">
        <v>300</v>
      </c>
      <c r="G2490" s="3340">
        <v>42461</v>
      </c>
      <c r="H2490" s="3340">
        <v>42824</v>
      </c>
      <c r="I2490" s="3340">
        <v>42825</v>
      </c>
      <c r="J2490" s="3324"/>
    </row>
    <row r="2491" spans="1:12" s="3327" customFormat="1" ht="13.5" customHeight="1">
      <c r="A2491" s="3354"/>
      <c r="B2491" s="3331" t="s">
        <v>4779</v>
      </c>
      <c r="C2491" s="3331" t="s">
        <v>4855</v>
      </c>
      <c r="D2491" s="3331" t="s">
        <v>4854</v>
      </c>
      <c r="E2491" s="3332">
        <v>140.6</v>
      </c>
      <c r="F2491" s="3332">
        <v>315</v>
      </c>
      <c r="G2491" s="3333">
        <v>42826</v>
      </c>
      <c r="H2491" s="3333">
        <v>42983</v>
      </c>
      <c r="I2491" s="3333">
        <v>43190</v>
      </c>
      <c r="J2491" s="3324"/>
      <c r="K2491" s="3334">
        <f t="shared" ref="K2491:K2492" si="425">E2491</f>
        <v>140.6</v>
      </c>
      <c r="L2491" s="3334">
        <f t="shared" ref="L2491:L2492" si="426">F2491/30</f>
        <v>10.5</v>
      </c>
    </row>
    <row r="2492" spans="1:12" s="3327" customFormat="1" ht="13.5" customHeight="1">
      <c r="A2492" s="3354" t="s">
        <v>4784</v>
      </c>
      <c r="B2492" s="3331" t="s">
        <v>4779</v>
      </c>
      <c r="C2492" s="3331" t="s">
        <v>4855</v>
      </c>
      <c r="D2492" s="3331" t="s">
        <v>4854</v>
      </c>
      <c r="E2492" s="3332">
        <v>140.6</v>
      </c>
      <c r="F2492" s="3332">
        <v>315</v>
      </c>
      <c r="G2492" s="3333">
        <v>42984</v>
      </c>
      <c r="H2492" s="3333">
        <v>43130</v>
      </c>
      <c r="I2492" s="3333">
        <v>43190</v>
      </c>
      <c r="J2492" s="3324"/>
      <c r="K2492" s="3334">
        <f t="shared" si="425"/>
        <v>140.6</v>
      </c>
      <c r="L2492" s="3334">
        <f t="shared" si="426"/>
        <v>10.5</v>
      </c>
    </row>
    <row r="2493" spans="1:12" s="3327" customFormat="1" ht="13.5" customHeight="1">
      <c r="A2493" s="3355"/>
      <c r="B2493" s="3336" t="s">
        <v>4779</v>
      </c>
      <c r="C2493" s="3336" t="s">
        <v>4736</v>
      </c>
      <c r="D2493" s="3336" t="s">
        <v>4856</v>
      </c>
      <c r="E2493" s="3339">
        <v>73</v>
      </c>
      <c r="F2493" s="3339">
        <v>270</v>
      </c>
      <c r="G2493" s="3340">
        <v>41000</v>
      </c>
      <c r="H2493" s="3340">
        <v>41372</v>
      </c>
      <c r="I2493" s="3340">
        <v>41364</v>
      </c>
      <c r="J2493" s="3336"/>
    </row>
    <row r="2494" spans="1:12" s="3327" customFormat="1" ht="13.5" customHeight="1">
      <c r="A2494" s="3335"/>
      <c r="B2494" s="3336" t="s">
        <v>4779</v>
      </c>
      <c r="C2494" s="3336" t="s">
        <v>4857</v>
      </c>
      <c r="D2494" s="3336" t="s">
        <v>4858</v>
      </c>
      <c r="E2494" s="3339">
        <v>57</v>
      </c>
      <c r="F2494" s="3339">
        <v>160</v>
      </c>
      <c r="G2494" s="3340">
        <v>41699</v>
      </c>
      <c r="H2494" s="3340">
        <v>41728</v>
      </c>
      <c r="I2494" s="3340">
        <v>41729</v>
      </c>
      <c r="J2494" s="3336"/>
    </row>
    <row r="2495" spans="1:12" s="3327" customFormat="1" ht="13.5" customHeight="1">
      <c r="A2495" s="3335"/>
      <c r="B2495" s="3336" t="s">
        <v>4779</v>
      </c>
      <c r="C2495" s="3336" t="s">
        <v>4736</v>
      </c>
      <c r="D2495" s="3336" t="s">
        <v>4859</v>
      </c>
      <c r="E2495" s="3339">
        <v>193.5</v>
      </c>
      <c r="F2495" s="3339">
        <v>200</v>
      </c>
      <c r="G2495" s="3340">
        <v>41000</v>
      </c>
      <c r="H2495" s="3340">
        <v>41372</v>
      </c>
      <c r="I2495" s="3340">
        <v>41364</v>
      </c>
      <c r="J2495" s="3336"/>
    </row>
    <row r="2496" spans="1:12" s="3327" customFormat="1" ht="13.5" customHeight="1">
      <c r="A2496" s="3410"/>
      <c r="B2496" s="3336" t="s">
        <v>4779</v>
      </c>
      <c r="C2496" s="3336" t="s">
        <v>4857</v>
      </c>
      <c r="D2496" s="3336" t="s">
        <v>4858</v>
      </c>
      <c r="E2496" s="3339">
        <v>193.5</v>
      </c>
      <c r="F2496" s="3339">
        <v>160</v>
      </c>
      <c r="G2496" s="3340">
        <v>41699</v>
      </c>
      <c r="H2496" s="3340">
        <v>41728</v>
      </c>
      <c r="I2496" s="3340">
        <v>41729</v>
      </c>
      <c r="J2496" s="3336"/>
    </row>
    <row r="2497" spans="1:12" s="3327" customFormat="1" ht="13.5" customHeight="1">
      <c r="A2497" s="3323"/>
      <c r="B2497" s="3324" t="s">
        <v>4779</v>
      </c>
      <c r="C2497" s="3324" t="s">
        <v>4857</v>
      </c>
      <c r="D2497" s="3324" t="s">
        <v>4858</v>
      </c>
      <c r="E2497" s="3325">
        <v>250.5</v>
      </c>
      <c r="F2497" s="3325">
        <v>160</v>
      </c>
      <c r="G2497" s="3326">
        <v>41730</v>
      </c>
      <c r="H2497" s="3326">
        <v>41950</v>
      </c>
      <c r="I2497" s="3326">
        <v>42094</v>
      </c>
      <c r="J2497" s="3324"/>
    </row>
    <row r="2498" spans="1:12" s="3327" customFormat="1" ht="13.5" customHeight="1">
      <c r="A2498" s="3354"/>
      <c r="B2498" s="3324" t="s">
        <v>4779</v>
      </c>
      <c r="C2498" s="3324" t="s">
        <v>4860</v>
      </c>
      <c r="D2498" s="3324" t="s">
        <v>4858</v>
      </c>
      <c r="E2498" s="3325">
        <v>250.5</v>
      </c>
      <c r="F2498" s="3325">
        <v>160</v>
      </c>
      <c r="G2498" s="3326">
        <v>41951</v>
      </c>
      <c r="H2498" s="3326">
        <v>42019</v>
      </c>
      <c r="I2498" s="3326">
        <v>42094</v>
      </c>
      <c r="J2498" s="3324"/>
    </row>
    <row r="2499" spans="1:12" s="3327" customFormat="1" ht="13.5" customHeight="1">
      <c r="A2499" s="3354"/>
      <c r="B2499" s="3350" t="s">
        <v>4779</v>
      </c>
      <c r="C2499" s="3351" t="s">
        <v>4860</v>
      </c>
      <c r="D2499" s="3351" t="s">
        <v>4858</v>
      </c>
      <c r="E2499" s="3352">
        <v>250.5</v>
      </c>
      <c r="F2499" s="3352">
        <v>160</v>
      </c>
      <c r="G2499" s="3353">
        <v>42020</v>
      </c>
      <c r="H2499" s="3353">
        <v>42072</v>
      </c>
      <c r="I2499" s="3353">
        <v>42094</v>
      </c>
      <c r="J2499" s="3324"/>
    </row>
    <row r="2500" spans="1:12" s="3327" customFormat="1" ht="13.5" customHeight="1">
      <c r="A2500" s="3354"/>
      <c r="B2500" s="3350" t="s">
        <v>4779</v>
      </c>
      <c r="C2500" s="3351" t="s">
        <v>4860</v>
      </c>
      <c r="D2500" s="3351" t="s">
        <v>4858</v>
      </c>
      <c r="E2500" s="3352">
        <v>250.5</v>
      </c>
      <c r="F2500" s="3352">
        <v>160</v>
      </c>
      <c r="G2500" s="3353">
        <v>42073</v>
      </c>
      <c r="H2500" s="3353">
        <v>42124</v>
      </c>
      <c r="I2500" s="3353">
        <v>42124</v>
      </c>
      <c r="J2500" s="3324"/>
    </row>
    <row r="2501" spans="1:12" s="3327" customFormat="1" ht="13.5" customHeight="1">
      <c r="A2501" s="3354"/>
      <c r="B2501" s="3336" t="s">
        <v>4779</v>
      </c>
      <c r="C2501" s="3336" t="s">
        <v>4861</v>
      </c>
      <c r="D2501" s="3336" t="s">
        <v>4858</v>
      </c>
      <c r="E2501" s="3339">
        <v>250.5</v>
      </c>
      <c r="F2501" s="3339">
        <v>180</v>
      </c>
      <c r="G2501" s="3340">
        <v>42134</v>
      </c>
      <c r="H2501" s="3340">
        <v>42459</v>
      </c>
      <c r="I2501" s="3340">
        <v>42460</v>
      </c>
      <c r="J2501" s="3324"/>
    </row>
    <row r="2502" spans="1:12" s="3327" customFormat="1" ht="13.5" customHeight="1">
      <c r="A2502" s="3354"/>
      <c r="B2502" s="3336" t="s">
        <v>4779</v>
      </c>
      <c r="C2502" s="3336" t="s">
        <v>4861</v>
      </c>
      <c r="D2502" s="3336" t="s">
        <v>4858</v>
      </c>
      <c r="E2502" s="3339">
        <v>250.5</v>
      </c>
      <c r="F2502" s="3339">
        <v>195</v>
      </c>
      <c r="G2502" s="3340">
        <v>42461</v>
      </c>
      <c r="H2502" s="3340">
        <v>42824</v>
      </c>
      <c r="I2502" s="3340">
        <v>42825</v>
      </c>
      <c r="J2502" s="3324"/>
    </row>
    <row r="2503" spans="1:12" s="3327" customFormat="1" ht="13.5" customHeight="1">
      <c r="A2503" s="3354"/>
      <c r="B2503" s="3331" t="s">
        <v>4779</v>
      </c>
      <c r="C2503" s="3331" t="s">
        <v>4861</v>
      </c>
      <c r="D2503" s="3331" t="s">
        <v>4862</v>
      </c>
      <c r="E2503" s="3347">
        <v>250.5</v>
      </c>
      <c r="F2503" s="3332">
        <v>215</v>
      </c>
      <c r="G2503" s="3333">
        <v>42826</v>
      </c>
      <c r="H2503" s="3333">
        <v>42984</v>
      </c>
      <c r="I2503" s="3333">
        <v>43190</v>
      </c>
      <c r="J2503" s="3324"/>
      <c r="K2503" s="3334">
        <f t="shared" ref="K2503:K2504" si="427">E2503</f>
        <v>250.5</v>
      </c>
      <c r="L2503" s="3334">
        <f t="shared" ref="L2503:L2504" si="428">F2503/30</f>
        <v>7.166666666666667</v>
      </c>
    </row>
    <row r="2504" spans="1:12" s="3327" customFormat="1" ht="13.5" customHeight="1">
      <c r="A2504" s="3354" t="s">
        <v>4784</v>
      </c>
      <c r="B2504" s="3331" t="s">
        <v>4779</v>
      </c>
      <c r="C2504" s="3331" t="s">
        <v>4861</v>
      </c>
      <c r="D2504" s="3331" t="s">
        <v>4862</v>
      </c>
      <c r="E2504" s="3347">
        <v>250.5</v>
      </c>
      <c r="F2504" s="3332">
        <v>215</v>
      </c>
      <c r="G2504" s="3333">
        <v>42985</v>
      </c>
      <c r="H2504" s="3333">
        <v>43130</v>
      </c>
      <c r="I2504" s="3333">
        <v>43190</v>
      </c>
      <c r="J2504" s="3324"/>
      <c r="K2504" s="3334">
        <f t="shared" si="427"/>
        <v>250.5</v>
      </c>
      <c r="L2504" s="3334">
        <f t="shared" si="428"/>
        <v>7.166666666666667</v>
      </c>
    </row>
    <row r="2505" spans="1:12" s="3327" customFormat="1" ht="13.5" customHeight="1">
      <c r="A2505" s="3355"/>
      <c r="B2505" s="3336" t="s">
        <v>4779</v>
      </c>
      <c r="C2505" s="3336" t="s">
        <v>4863</v>
      </c>
      <c r="D2505" s="3336" t="s">
        <v>4864</v>
      </c>
      <c r="E2505" s="3339">
        <v>178.6</v>
      </c>
      <c r="F2505" s="3339">
        <v>260</v>
      </c>
      <c r="G2505" s="3340">
        <v>40848</v>
      </c>
      <c r="H2505" s="3340">
        <v>40998</v>
      </c>
      <c r="I2505" s="3340">
        <v>40998</v>
      </c>
      <c r="J2505" s="3336"/>
    </row>
    <row r="2506" spans="1:12" s="3327" customFormat="1" ht="13.5" customHeight="1">
      <c r="A2506" s="3323"/>
      <c r="B2506" s="3324" t="s">
        <v>4779</v>
      </c>
      <c r="C2506" s="3324" t="s">
        <v>4865</v>
      </c>
      <c r="D2506" s="3324" t="s">
        <v>4866</v>
      </c>
      <c r="E2506" s="3325">
        <v>981.3</v>
      </c>
      <c r="F2506" s="3325">
        <v>100</v>
      </c>
      <c r="G2506" s="3326">
        <v>41070</v>
      </c>
      <c r="H2506" s="3326">
        <v>41304</v>
      </c>
      <c r="I2506" s="3326">
        <v>41364</v>
      </c>
      <c r="J2506" s="3324"/>
    </row>
    <row r="2507" spans="1:12" s="3327" customFormat="1" ht="13.5" customHeight="1">
      <c r="A2507" s="3410"/>
      <c r="B2507" s="3336" t="s">
        <v>4779</v>
      </c>
      <c r="C2507" s="3336" t="s">
        <v>4867</v>
      </c>
      <c r="D2507" s="3336" t="s">
        <v>4868</v>
      </c>
      <c r="E2507" s="3339">
        <v>374.5</v>
      </c>
      <c r="F2507" s="3339">
        <v>110</v>
      </c>
      <c r="G2507" s="3340">
        <v>41456</v>
      </c>
      <c r="H2507" s="3340">
        <v>41728</v>
      </c>
      <c r="I2507" s="3340">
        <v>41729</v>
      </c>
      <c r="J2507" s="3336"/>
    </row>
    <row r="2508" spans="1:12" s="3327" customFormat="1" ht="13.5" customHeight="1">
      <c r="A2508" s="3323"/>
      <c r="B2508" s="3324" t="s">
        <v>4779</v>
      </c>
      <c r="C2508" s="3324" t="s">
        <v>4867</v>
      </c>
      <c r="D2508" s="3324" t="s">
        <v>4868</v>
      </c>
      <c r="E2508" s="3325">
        <v>374.5</v>
      </c>
      <c r="F2508" s="3325">
        <v>130</v>
      </c>
      <c r="G2508" s="3326">
        <v>41730</v>
      </c>
      <c r="H2508" s="3326">
        <v>41942</v>
      </c>
      <c r="I2508" s="3326">
        <v>42094</v>
      </c>
      <c r="J2508" s="3324"/>
    </row>
    <row r="2509" spans="1:12" s="3327" customFormat="1" ht="12.75" customHeight="1">
      <c r="A2509" s="3354"/>
      <c r="B2509" s="3324" t="s">
        <v>4779</v>
      </c>
      <c r="C2509" s="3324" t="s">
        <v>4867</v>
      </c>
      <c r="D2509" s="3324" t="s">
        <v>4868</v>
      </c>
      <c r="E2509" s="3325">
        <v>374.5</v>
      </c>
      <c r="F2509" s="3325">
        <v>130</v>
      </c>
      <c r="G2509" s="3326">
        <v>41944</v>
      </c>
      <c r="H2509" s="3326">
        <v>42093</v>
      </c>
      <c r="I2509" s="3326">
        <v>42094</v>
      </c>
      <c r="J2509" s="3324"/>
    </row>
    <row r="2510" spans="1:12" s="3327" customFormat="1" ht="12.75" customHeight="1">
      <c r="A2510" s="3354"/>
      <c r="B2510" s="3336" t="s">
        <v>4779</v>
      </c>
      <c r="C2510" s="3336" t="s">
        <v>4867</v>
      </c>
      <c r="D2510" s="3336" t="s">
        <v>4868</v>
      </c>
      <c r="E2510" s="3339">
        <v>374.5</v>
      </c>
      <c r="F2510" s="3339">
        <v>145</v>
      </c>
      <c r="G2510" s="3340">
        <v>42095</v>
      </c>
      <c r="H2510" s="3340">
        <v>42141</v>
      </c>
      <c r="I2510" s="3340">
        <v>42460</v>
      </c>
      <c r="J2510" s="3324"/>
    </row>
    <row r="2511" spans="1:12" s="3327" customFormat="1" ht="12.75" customHeight="1">
      <c r="A2511" s="3354"/>
      <c r="B2511" s="3336" t="s">
        <v>4779</v>
      </c>
      <c r="C2511" s="3336" t="s">
        <v>4869</v>
      </c>
      <c r="D2511" s="3336" t="s">
        <v>4868</v>
      </c>
      <c r="E2511" s="3339">
        <v>200</v>
      </c>
      <c r="F2511" s="3339">
        <v>260</v>
      </c>
      <c r="G2511" s="3340">
        <v>42142</v>
      </c>
      <c r="H2511" s="3340">
        <v>42459</v>
      </c>
      <c r="I2511" s="3340">
        <v>42460</v>
      </c>
      <c r="J2511" s="3324"/>
    </row>
    <row r="2512" spans="1:12" s="3327" customFormat="1" ht="12.75" customHeight="1">
      <c r="A2512" s="3354"/>
      <c r="B2512" s="3336" t="s">
        <v>4779</v>
      </c>
      <c r="C2512" s="3336" t="s">
        <v>4869</v>
      </c>
      <c r="D2512" s="3336" t="s">
        <v>4868</v>
      </c>
      <c r="E2512" s="3339">
        <v>200</v>
      </c>
      <c r="F2512" s="3339">
        <v>270</v>
      </c>
      <c r="G2512" s="3340">
        <v>42461</v>
      </c>
      <c r="H2512" s="3340">
        <v>42824</v>
      </c>
      <c r="I2512" s="3340">
        <v>42825</v>
      </c>
      <c r="J2512" s="3324"/>
    </row>
    <row r="2513" spans="1:12" s="3327" customFormat="1" ht="12.75" customHeight="1">
      <c r="A2513" s="3354" t="s">
        <v>4784</v>
      </c>
      <c r="B2513" s="3331" t="s">
        <v>4779</v>
      </c>
      <c r="C2513" s="3331" t="s">
        <v>4869</v>
      </c>
      <c r="D2513" s="3331" t="s">
        <v>4868</v>
      </c>
      <c r="E2513" s="3332">
        <v>200</v>
      </c>
      <c r="F2513" s="3332">
        <v>265</v>
      </c>
      <c r="G2513" s="3333">
        <v>42826</v>
      </c>
      <c r="H2513" s="3333">
        <v>43130</v>
      </c>
      <c r="I2513" s="3333">
        <v>43190</v>
      </c>
      <c r="J2513" s="3324"/>
      <c r="K2513" s="3334">
        <f t="shared" ref="K2513" si="429">E2513</f>
        <v>200</v>
      </c>
      <c r="L2513" s="3334">
        <f t="shared" ref="L2513" si="430">F2513/30</f>
        <v>8.8333333333333339</v>
      </c>
    </row>
    <row r="2514" spans="1:12" s="3327" customFormat="1" ht="12.75" customHeight="1">
      <c r="A2514" s="3354"/>
      <c r="B2514" s="3336" t="s">
        <v>4779</v>
      </c>
      <c r="C2514" s="3336" t="s">
        <v>4870</v>
      </c>
      <c r="D2514" s="3336" t="s">
        <v>4871</v>
      </c>
      <c r="E2514" s="3339">
        <v>174.5</v>
      </c>
      <c r="F2514" s="3339">
        <v>260</v>
      </c>
      <c r="G2514" s="3340">
        <v>42142</v>
      </c>
      <c r="H2514" s="3340">
        <v>42459</v>
      </c>
      <c r="I2514" s="3340">
        <v>42460</v>
      </c>
      <c r="J2514" s="3324"/>
    </row>
    <row r="2515" spans="1:12" s="3327" customFormat="1" ht="12.75" customHeight="1">
      <c r="A2515" s="3354"/>
      <c r="B2515" s="3336" t="s">
        <v>4779</v>
      </c>
      <c r="C2515" s="3336" t="s">
        <v>4870</v>
      </c>
      <c r="D2515" s="3336" t="s">
        <v>4871</v>
      </c>
      <c r="E2515" s="3339">
        <v>174.5</v>
      </c>
      <c r="F2515" s="3339">
        <v>260</v>
      </c>
      <c r="G2515" s="3340">
        <v>42461</v>
      </c>
      <c r="H2515" s="3340">
        <v>42824</v>
      </c>
      <c r="I2515" s="3340">
        <v>42825</v>
      </c>
      <c r="J2515" s="3324"/>
    </row>
    <row r="2516" spans="1:12" s="3327" customFormat="1" ht="12.75" customHeight="1">
      <c r="A2516" s="3354" t="s">
        <v>4784</v>
      </c>
      <c r="B2516" s="3331" t="s">
        <v>4779</v>
      </c>
      <c r="C2516" s="3331" t="s">
        <v>4870</v>
      </c>
      <c r="D2516" s="3331" t="s">
        <v>4871</v>
      </c>
      <c r="E2516" s="3332">
        <v>174.5</v>
      </c>
      <c r="F2516" s="3332">
        <v>250</v>
      </c>
      <c r="G2516" s="3333">
        <v>42826</v>
      </c>
      <c r="H2516" s="3333">
        <v>43130</v>
      </c>
      <c r="I2516" s="3333">
        <v>43190</v>
      </c>
      <c r="J2516" s="3324"/>
      <c r="K2516" s="3334">
        <f t="shared" ref="K2516" si="431">E2516</f>
        <v>174.5</v>
      </c>
      <c r="L2516" s="3334">
        <f t="shared" ref="L2516" si="432">F2516/30</f>
        <v>8.3333333333333339</v>
      </c>
    </row>
    <row r="2517" spans="1:12" s="3327" customFormat="1" ht="13.5" customHeight="1">
      <c r="A2517" s="3411"/>
      <c r="B2517" s="3324" t="s">
        <v>4779</v>
      </c>
      <c r="C2517" s="3324" t="s">
        <v>4872</v>
      </c>
      <c r="D2517" s="3324" t="s">
        <v>4862</v>
      </c>
      <c r="E2517" s="3325">
        <v>336.5</v>
      </c>
      <c r="F2517" s="3325">
        <v>110</v>
      </c>
      <c r="G2517" s="3326">
        <v>41456</v>
      </c>
      <c r="H2517" s="3326">
        <v>41728</v>
      </c>
      <c r="I2517" s="3326">
        <v>41729</v>
      </c>
      <c r="J2517" s="3324"/>
    </row>
    <row r="2518" spans="1:12" s="3327" customFormat="1" ht="13.5" customHeight="1">
      <c r="A2518" s="3409"/>
      <c r="B2518" s="3324" t="s">
        <v>4779</v>
      </c>
      <c r="C2518" s="3324" t="s">
        <v>4872</v>
      </c>
      <c r="D2518" s="3324" t="s">
        <v>4862</v>
      </c>
      <c r="E2518" s="3325">
        <v>336.5</v>
      </c>
      <c r="F2518" s="3325">
        <v>130</v>
      </c>
      <c r="G2518" s="3326">
        <v>41730</v>
      </c>
      <c r="H2518" s="3326">
        <v>41789</v>
      </c>
      <c r="I2518" s="3326">
        <v>42094</v>
      </c>
      <c r="J2518" s="3324"/>
    </row>
    <row r="2519" spans="1:12" s="3327" customFormat="1" ht="13.5" customHeight="1">
      <c r="A2519" s="3354"/>
      <c r="B2519" s="3324" t="s">
        <v>4779</v>
      </c>
      <c r="C2519" s="3324" t="s">
        <v>4873</v>
      </c>
      <c r="D2519" s="3324" t="s">
        <v>4862</v>
      </c>
      <c r="E2519" s="3325">
        <v>336.5</v>
      </c>
      <c r="F2519" s="3325">
        <v>130</v>
      </c>
      <c r="G2519" s="3326">
        <v>41791</v>
      </c>
      <c r="H2519" s="3326">
        <v>42093</v>
      </c>
      <c r="I2519" s="3326">
        <v>42094</v>
      </c>
      <c r="J2519" s="3324"/>
    </row>
    <row r="2520" spans="1:12" s="3327" customFormat="1" ht="13.5" customHeight="1">
      <c r="A2520" s="3354"/>
      <c r="B2520" s="3336" t="s">
        <v>4779</v>
      </c>
      <c r="C2520" s="3336" t="s">
        <v>4873</v>
      </c>
      <c r="D2520" s="3336" t="s">
        <v>4862</v>
      </c>
      <c r="E2520" s="3339">
        <v>336.5</v>
      </c>
      <c r="F2520" s="3339">
        <v>145</v>
      </c>
      <c r="G2520" s="3340">
        <v>42095</v>
      </c>
      <c r="H2520" s="3340">
        <v>42141</v>
      </c>
      <c r="I2520" s="3340">
        <v>42155</v>
      </c>
      <c r="J2520" s="3324"/>
    </row>
    <row r="2521" spans="1:12" s="3327" customFormat="1" ht="13.5" customHeight="1">
      <c r="A2521" s="3354"/>
      <c r="B2521" s="3336" t="s">
        <v>4779</v>
      </c>
      <c r="C2521" s="3336" t="s">
        <v>4805</v>
      </c>
      <c r="D2521" s="3336" t="s">
        <v>4874</v>
      </c>
      <c r="E2521" s="3339">
        <v>163.6</v>
      </c>
      <c r="F2521" s="3339">
        <v>200</v>
      </c>
      <c r="G2521" s="3340">
        <v>42142</v>
      </c>
      <c r="H2521" s="3340">
        <v>42359</v>
      </c>
      <c r="I2521" s="3340">
        <v>42460</v>
      </c>
      <c r="J2521" s="3324"/>
    </row>
    <row r="2522" spans="1:12" s="3327" customFormat="1" ht="13.5" customHeight="1">
      <c r="A2522" s="3354"/>
      <c r="B2522" s="3336" t="s">
        <v>4779</v>
      </c>
      <c r="C2522" s="3336" t="s">
        <v>4875</v>
      </c>
      <c r="D2522" s="3336" t="s">
        <v>4874</v>
      </c>
      <c r="E2522" s="3338">
        <v>164.45</v>
      </c>
      <c r="F2522" s="3339">
        <v>240</v>
      </c>
      <c r="G2522" s="3340">
        <v>42360</v>
      </c>
      <c r="H2522" s="3340">
        <v>42459</v>
      </c>
      <c r="I2522" s="3340">
        <v>42460</v>
      </c>
      <c r="J2522" s="3324"/>
    </row>
    <row r="2523" spans="1:12" s="3327" customFormat="1" ht="13.5" customHeight="1">
      <c r="A2523" s="3354"/>
      <c r="B2523" s="3336" t="s">
        <v>4779</v>
      </c>
      <c r="C2523" s="3336" t="s">
        <v>4875</v>
      </c>
      <c r="D2523" s="3336" t="s">
        <v>4874</v>
      </c>
      <c r="E2523" s="3339">
        <v>164.45</v>
      </c>
      <c r="F2523" s="3339">
        <v>260</v>
      </c>
      <c r="G2523" s="3340">
        <v>42461</v>
      </c>
      <c r="H2523" s="3340">
        <v>42824</v>
      </c>
      <c r="I2523" s="3340">
        <v>42825</v>
      </c>
      <c r="J2523" s="3324"/>
    </row>
    <row r="2524" spans="1:12" s="3327" customFormat="1" ht="13.5" customHeight="1">
      <c r="A2524" s="3354"/>
      <c r="B2524" s="3331" t="s">
        <v>4779</v>
      </c>
      <c r="C2524" s="3331" t="s">
        <v>4876</v>
      </c>
      <c r="D2524" s="3331" t="s">
        <v>4877</v>
      </c>
      <c r="E2524" s="3332">
        <v>164.45</v>
      </c>
      <c r="F2524" s="3332">
        <v>270</v>
      </c>
      <c r="G2524" s="3341">
        <v>42826</v>
      </c>
      <c r="H2524" s="3341">
        <v>43114</v>
      </c>
      <c r="I2524" s="3341">
        <v>43190</v>
      </c>
      <c r="J2524" s="3324"/>
      <c r="K2524" s="3334">
        <f t="shared" ref="K2524:K2525" si="433">E2524</f>
        <v>164.45</v>
      </c>
      <c r="L2524" s="3334">
        <f t="shared" ref="L2524:L2525" si="434">F2524/30</f>
        <v>9</v>
      </c>
    </row>
    <row r="2525" spans="1:12" s="3327" customFormat="1" ht="13.5" customHeight="1">
      <c r="A2525" s="3354" t="s">
        <v>4784</v>
      </c>
      <c r="B2525" s="3331" t="s">
        <v>4779</v>
      </c>
      <c r="C2525" s="3331" t="s">
        <v>4878</v>
      </c>
      <c r="D2525" s="3331" t="s">
        <v>4877</v>
      </c>
      <c r="E2525" s="3332">
        <v>164.45</v>
      </c>
      <c r="F2525" s="3332">
        <v>270</v>
      </c>
      <c r="G2525" s="3333">
        <v>43115</v>
      </c>
      <c r="H2525" s="3333">
        <v>43130</v>
      </c>
      <c r="I2525" s="3333">
        <v>43190</v>
      </c>
      <c r="J2525" s="3324"/>
      <c r="K2525" s="3334">
        <f t="shared" si="433"/>
        <v>164.45</v>
      </c>
      <c r="L2525" s="3334">
        <f t="shared" si="434"/>
        <v>9</v>
      </c>
    </row>
    <row r="2526" spans="1:12" s="3327" customFormat="1" ht="13.5" customHeight="1">
      <c r="A2526" s="3354"/>
      <c r="B2526" s="3336" t="s">
        <v>4779</v>
      </c>
      <c r="C2526" s="3336" t="s">
        <v>4879</v>
      </c>
      <c r="D2526" s="3336" t="s">
        <v>4880</v>
      </c>
      <c r="E2526" s="3339">
        <v>172.9</v>
      </c>
      <c r="F2526" s="3339">
        <v>220</v>
      </c>
      <c r="G2526" s="3340">
        <v>42142</v>
      </c>
      <c r="H2526" s="3340">
        <v>42459</v>
      </c>
      <c r="I2526" s="3340">
        <v>42460</v>
      </c>
      <c r="J2526" s="3324"/>
    </row>
    <row r="2527" spans="1:12" s="3327" customFormat="1" ht="13.5" customHeight="1">
      <c r="A2527" s="3354"/>
      <c r="B2527" s="3336" t="s">
        <v>4779</v>
      </c>
      <c r="C2527" s="3336" t="s">
        <v>4879</v>
      </c>
      <c r="D2527" s="3336" t="s">
        <v>4880</v>
      </c>
      <c r="E2527" s="3338">
        <v>175.1</v>
      </c>
      <c r="F2527" s="3339">
        <v>230</v>
      </c>
      <c r="G2527" s="3340">
        <v>42461</v>
      </c>
      <c r="H2527" s="3340">
        <v>42824</v>
      </c>
      <c r="I2527" s="3340">
        <v>42825</v>
      </c>
      <c r="J2527" s="3324"/>
    </row>
    <row r="2528" spans="1:12" s="3327" customFormat="1" ht="13.5" customHeight="1">
      <c r="A2528" s="3354"/>
      <c r="B2528" s="3331" t="s">
        <v>4779</v>
      </c>
      <c r="C2528" s="3331" t="s">
        <v>4879</v>
      </c>
      <c r="D2528" s="3331" t="s">
        <v>4881</v>
      </c>
      <c r="E2528" s="3332">
        <v>175.1</v>
      </c>
      <c r="F2528" s="3332">
        <v>260</v>
      </c>
      <c r="G2528" s="3333">
        <v>42826</v>
      </c>
      <c r="H2528" s="3333">
        <v>42957</v>
      </c>
      <c r="I2528" s="3333">
        <v>43190</v>
      </c>
      <c r="J2528" s="3324"/>
      <c r="K2528" s="3334">
        <f t="shared" ref="K2528:K2529" si="435">E2528</f>
        <v>175.1</v>
      </c>
      <c r="L2528" s="3334">
        <f t="shared" ref="L2528:L2529" si="436">F2528/30</f>
        <v>8.6666666666666661</v>
      </c>
    </row>
    <row r="2529" spans="1:12" s="3327" customFormat="1" ht="13.5" customHeight="1">
      <c r="A2529" s="3354" t="s">
        <v>4784</v>
      </c>
      <c r="B2529" s="3331" t="s">
        <v>4779</v>
      </c>
      <c r="C2529" s="3331" t="s">
        <v>4882</v>
      </c>
      <c r="D2529" s="3331" t="s">
        <v>4881</v>
      </c>
      <c r="E2529" s="3332">
        <v>175.1</v>
      </c>
      <c r="F2529" s="3332">
        <v>280</v>
      </c>
      <c r="G2529" s="3333">
        <v>42958</v>
      </c>
      <c r="H2529" s="3333">
        <v>43130</v>
      </c>
      <c r="I2529" s="3333">
        <v>43190</v>
      </c>
      <c r="J2529" s="3324"/>
      <c r="K2529" s="3334">
        <f t="shared" si="435"/>
        <v>175.1</v>
      </c>
      <c r="L2529" s="3334">
        <f t="shared" si="436"/>
        <v>9.3333333333333339</v>
      </c>
    </row>
    <row r="2530" spans="1:12" s="3327" customFormat="1" ht="13.5" customHeight="1">
      <c r="A2530" s="3409"/>
      <c r="B2530" s="3324" t="s">
        <v>4779</v>
      </c>
      <c r="C2530" s="3324" t="s">
        <v>4569</v>
      </c>
      <c r="D2530" s="3324" t="s">
        <v>4871</v>
      </c>
      <c r="E2530" s="3325">
        <v>226.9</v>
      </c>
      <c r="F2530" s="3325">
        <v>110</v>
      </c>
      <c r="G2530" s="3326">
        <v>41487</v>
      </c>
      <c r="H2530" s="3326">
        <v>41728</v>
      </c>
      <c r="I2530" s="3326">
        <v>41729</v>
      </c>
      <c r="J2530" s="3324"/>
    </row>
    <row r="2531" spans="1:12" s="3327" customFormat="1" ht="13.5" customHeight="1">
      <c r="A2531" s="3323"/>
      <c r="B2531" s="3324" t="s">
        <v>4779</v>
      </c>
      <c r="C2531" s="3324" t="s">
        <v>4569</v>
      </c>
      <c r="D2531" s="3324" t="s">
        <v>4871</v>
      </c>
      <c r="E2531" s="3325">
        <v>226.9</v>
      </c>
      <c r="F2531" s="3325">
        <v>160</v>
      </c>
      <c r="G2531" s="3326">
        <v>41730</v>
      </c>
      <c r="H2531" s="3326">
        <v>41820</v>
      </c>
      <c r="I2531" s="3326">
        <v>41364</v>
      </c>
      <c r="J2531" s="3324"/>
    </row>
    <row r="2532" spans="1:12" s="3327" customFormat="1" ht="13.5" customHeight="1">
      <c r="A2532" s="3354"/>
      <c r="B2532" s="3324" t="s">
        <v>4779</v>
      </c>
      <c r="C2532" s="3324" t="s">
        <v>4569</v>
      </c>
      <c r="D2532" s="3324" t="s">
        <v>4871</v>
      </c>
      <c r="E2532" s="3325">
        <v>226.9</v>
      </c>
      <c r="F2532" s="3325">
        <v>160</v>
      </c>
      <c r="G2532" s="3326">
        <v>41852</v>
      </c>
      <c r="H2532" s="3326">
        <v>41942</v>
      </c>
      <c r="I2532" s="3326">
        <v>42094</v>
      </c>
      <c r="J2532" s="3324"/>
    </row>
    <row r="2533" spans="1:12" s="3327" customFormat="1" ht="13.5" customHeight="1">
      <c r="A2533" s="3354"/>
      <c r="B2533" s="3324" t="s">
        <v>4779</v>
      </c>
      <c r="C2533" s="3324" t="s">
        <v>4569</v>
      </c>
      <c r="D2533" s="3324" t="s">
        <v>4871</v>
      </c>
      <c r="E2533" s="3325">
        <v>226.9</v>
      </c>
      <c r="F2533" s="3325">
        <v>160</v>
      </c>
      <c r="G2533" s="3326">
        <v>41944</v>
      </c>
      <c r="H2533" s="3326">
        <v>42093</v>
      </c>
      <c r="I2533" s="3326">
        <v>42094</v>
      </c>
      <c r="J2533" s="3324"/>
    </row>
    <row r="2534" spans="1:12" s="3327" customFormat="1" ht="13.5" customHeight="1">
      <c r="A2534" s="3354"/>
      <c r="B2534" s="3370" t="s">
        <v>4779</v>
      </c>
      <c r="C2534" s="3324" t="s">
        <v>4569</v>
      </c>
      <c r="D2534" s="3344" t="s">
        <v>4871</v>
      </c>
      <c r="E2534" s="3325">
        <v>226.9</v>
      </c>
      <c r="F2534" s="3325">
        <v>160</v>
      </c>
      <c r="G2534" s="3326">
        <v>42095</v>
      </c>
      <c r="H2534" s="3326">
        <v>42114</v>
      </c>
      <c r="I2534" s="3326">
        <v>42460</v>
      </c>
      <c r="J2534" s="3324"/>
    </row>
    <row r="2535" spans="1:12" s="3327" customFormat="1" ht="13.5" customHeight="1">
      <c r="A2535" s="3354"/>
      <c r="B2535" s="3336" t="s">
        <v>4779</v>
      </c>
      <c r="C2535" s="3336" t="s">
        <v>4883</v>
      </c>
      <c r="D2535" s="3336" t="s">
        <v>4871</v>
      </c>
      <c r="E2535" s="3339">
        <v>226.9</v>
      </c>
      <c r="F2535" s="3339">
        <v>220</v>
      </c>
      <c r="G2535" s="3340">
        <v>42115</v>
      </c>
      <c r="H2535" s="3340">
        <v>42459</v>
      </c>
      <c r="I2535" s="3340">
        <v>42460</v>
      </c>
      <c r="J2535" s="3324"/>
    </row>
    <row r="2536" spans="1:12" s="3327" customFormat="1" ht="13.5" customHeight="1">
      <c r="A2536" s="3354"/>
      <c r="B2536" s="3336" t="s">
        <v>4779</v>
      </c>
      <c r="C2536" s="3336" t="s">
        <v>4883</v>
      </c>
      <c r="D2536" s="3336" t="s">
        <v>4871</v>
      </c>
      <c r="E2536" s="3339">
        <v>226.9</v>
      </c>
      <c r="F2536" s="3339">
        <v>230</v>
      </c>
      <c r="G2536" s="3340">
        <v>42461</v>
      </c>
      <c r="H2536" s="3340">
        <v>42824</v>
      </c>
      <c r="I2536" s="3340">
        <v>42825</v>
      </c>
      <c r="J2536" s="3324"/>
    </row>
    <row r="2537" spans="1:12" s="3327" customFormat="1" ht="13.5" customHeight="1">
      <c r="A2537" s="3354" t="s">
        <v>4784</v>
      </c>
      <c r="B2537" s="3331" t="s">
        <v>4779</v>
      </c>
      <c r="C2537" s="3331" t="s">
        <v>4883</v>
      </c>
      <c r="D2537" s="3331" t="s">
        <v>4884</v>
      </c>
      <c r="E2537" s="3332">
        <v>226.9</v>
      </c>
      <c r="F2537" s="3332">
        <v>250</v>
      </c>
      <c r="G2537" s="3333">
        <v>42826</v>
      </c>
      <c r="H2537" s="3333">
        <v>43130</v>
      </c>
      <c r="I2537" s="3333">
        <v>43190</v>
      </c>
      <c r="J2537" s="3324"/>
      <c r="K2537" s="3334">
        <f t="shared" ref="K2537" si="437">E2537</f>
        <v>226.9</v>
      </c>
      <c r="L2537" s="3334">
        <f t="shared" ref="L2537" si="438">F2537/30</f>
        <v>8.3333333333333339</v>
      </c>
    </row>
    <row r="2538" spans="1:12" s="3327" customFormat="1" ht="13.5" customHeight="1">
      <c r="A2538" s="3355"/>
      <c r="B2538" s="3336" t="s">
        <v>4779</v>
      </c>
      <c r="C2538" s="3336" t="s">
        <v>4417</v>
      </c>
      <c r="D2538" s="3336" t="s">
        <v>4885</v>
      </c>
      <c r="E2538" s="3339">
        <v>159.80000000000001</v>
      </c>
      <c r="F2538" s="3339">
        <v>270</v>
      </c>
      <c r="G2538" s="3340">
        <v>41000</v>
      </c>
      <c r="H2538" s="3340">
        <v>41363</v>
      </c>
      <c r="I2538" s="3340">
        <v>41364</v>
      </c>
      <c r="J2538" s="3336"/>
    </row>
    <row r="2539" spans="1:12" s="3327" customFormat="1" ht="13.5" customHeight="1">
      <c r="A2539" s="3410"/>
      <c r="B2539" s="3336" t="s">
        <v>4779</v>
      </c>
      <c r="C2539" s="3336" t="s">
        <v>4583</v>
      </c>
      <c r="D2539" s="3336" t="s">
        <v>4886</v>
      </c>
      <c r="E2539" s="3339">
        <v>154.80000000000001</v>
      </c>
      <c r="F2539" s="3339">
        <v>270</v>
      </c>
      <c r="G2539" s="3340">
        <v>41384</v>
      </c>
      <c r="H2539" s="3340">
        <v>41728</v>
      </c>
      <c r="I2539" s="3340">
        <v>41729</v>
      </c>
      <c r="J2539" s="3336"/>
    </row>
    <row r="2540" spans="1:12" s="3327" customFormat="1" ht="13.5" customHeight="1">
      <c r="A2540" s="3354"/>
      <c r="B2540" s="3324" t="s">
        <v>4779</v>
      </c>
      <c r="C2540" s="3324" t="s">
        <v>4583</v>
      </c>
      <c r="D2540" s="3324" t="s">
        <v>4886</v>
      </c>
      <c r="E2540" s="3325">
        <v>154.80000000000001</v>
      </c>
      <c r="F2540" s="3325">
        <v>275</v>
      </c>
      <c r="G2540" s="3326">
        <v>41730</v>
      </c>
      <c r="H2540" s="3326">
        <v>42093</v>
      </c>
      <c r="I2540" s="3326">
        <v>42094</v>
      </c>
      <c r="J2540" s="3324"/>
    </row>
    <row r="2541" spans="1:12" s="3327" customFormat="1" ht="13.5" customHeight="1">
      <c r="A2541" s="3354"/>
      <c r="B2541" s="3336" t="s">
        <v>4779</v>
      </c>
      <c r="C2541" s="3336" t="s">
        <v>4583</v>
      </c>
      <c r="D2541" s="3336" t="s">
        <v>4886</v>
      </c>
      <c r="E2541" s="3339">
        <v>154.80000000000001</v>
      </c>
      <c r="F2541" s="3339">
        <v>250</v>
      </c>
      <c r="G2541" s="3340">
        <v>42095</v>
      </c>
      <c r="H2541" s="3340">
        <v>42154</v>
      </c>
      <c r="I2541" s="3340">
        <v>42155</v>
      </c>
      <c r="J2541" s="3324"/>
    </row>
    <row r="2542" spans="1:12" s="3327" customFormat="1" ht="13.5" customHeight="1">
      <c r="A2542" s="3354"/>
      <c r="B2542" s="3336" t="s">
        <v>4779</v>
      </c>
      <c r="C2542" s="3336" t="s">
        <v>4797</v>
      </c>
      <c r="D2542" s="3336" t="s">
        <v>4886</v>
      </c>
      <c r="E2542" s="3339">
        <v>154.80000000000001</v>
      </c>
      <c r="F2542" s="3339">
        <v>250</v>
      </c>
      <c r="G2542" s="3340">
        <v>42156</v>
      </c>
      <c r="H2542" s="3340">
        <v>42368</v>
      </c>
      <c r="I2542" s="3340">
        <v>42460</v>
      </c>
      <c r="J2542" s="3324"/>
    </row>
    <row r="2543" spans="1:12" s="3327" customFormat="1" ht="13.5" customHeight="1">
      <c r="A2543" s="3354"/>
      <c r="B2543" s="3336" t="s">
        <v>4779</v>
      </c>
      <c r="C2543" s="3336" t="s">
        <v>4887</v>
      </c>
      <c r="D2543" s="3336" t="s">
        <v>4886</v>
      </c>
      <c r="E2543" s="3338">
        <v>158.80000000000001</v>
      </c>
      <c r="F2543" s="3339">
        <v>250</v>
      </c>
      <c r="G2543" s="3340">
        <v>42373</v>
      </c>
      <c r="H2543" s="3340">
        <v>42459</v>
      </c>
      <c r="I2543" s="3340">
        <v>42460</v>
      </c>
      <c r="J2543" s="3324"/>
    </row>
    <row r="2544" spans="1:12" s="3327" customFormat="1" ht="13.5" customHeight="1">
      <c r="A2544" s="3354"/>
      <c r="B2544" s="3336" t="s">
        <v>4779</v>
      </c>
      <c r="C2544" s="3336" t="s">
        <v>4887</v>
      </c>
      <c r="D2544" s="3336" t="s">
        <v>4886</v>
      </c>
      <c r="E2544" s="3339">
        <v>158.80000000000001</v>
      </c>
      <c r="F2544" s="3339">
        <v>270</v>
      </c>
      <c r="G2544" s="3340">
        <v>42461</v>
      </c>
      <c r="H2544" s="3340">
        <v>42824</v>
      </c>
      <c r="I2544" s="3340">
        <v>42825</v>
      </c>
      <c r="J2544" s="3324"/>
    </row>
    <row r="2545" spans="1:12" s="3327" customFormat="1" ht="13.5" customHeight="1">
      <c r="A2545" s="3354"/>
      <c r="B2545" s="3331" t="s">
        <v>4779</v>
      </c>
      <c r="C2545" s="3331" t="s">
        <v>4887</v>
      </c>
      <c r="D2545" s="3331" t="s">
        <v>4886</v>
      </c>
      <c r="E2545" s="3332">
        <v>158.80000000000001</v>
      </c>
      <c r="F2545" s="3332">
        <v>260</v>
      </c>
      <c r="G2545" s="3333">
        <v>42826</v>
      </c>
      <c r="H2545" s="3333">
        <v>42855</v>
      </c>
      <c r="I2545" s="3333">
        <v>43190</v>
      </c>
      <c r="J2545" s="3324"/>
      <c r="K2545" s="3334">
        <f t="shared" ref="K2545:K2546" si="439">E2545</f>
        <v>158.80000000000001</v>
      </c>
      <c r="L2545" s="3334">
        <f t="shared" ref="L2545:L2546" si="440">F2545/30</f>
        <v>8.6666666666666661</v>
      </c>
    </row>
    <row r="2546" spans="1:12" s="3327" customFormat="1" ht="13.5" customHeight="1">
      <c r="A2546" s="3354" t="s">
        <v>4784</v>
      </c>
      <c r="B2546" s="3331" t="s">
        <v>4779</v>
      </c>
      <c r="C2546" s="3331" t="s">
        <v>4888</v>
      </c>
      <c r="D2546" s="3331" t="s">
        <v>4886</v>
      </c>
      <c r="E2546" s="3332">
        <v>158.80000000000001</v>
      </c>
      <c r="F2546" s="3332">
        <v>260</v>
      </c>
      <c r="G2546" s="3333">
        <v>42856</v>
      </c>
      <c r="H2546" s="3333">
        <v>43130</v>
      </c>
      <c r="I2546" s="3333">
        <v>43190</v>
      </c>
      <c r="J2546" s="3324"/>
      <c r="K2546" s="3334">
        <f t="shared" si="439"/>
        <v>158.80000000000001</v>
      </c>
      <c r="L2546" s="3334">
        <f t="shared" si="440"/>
        <v>8.6666666666666661</v>
      </c>
    </row>
    <row r="2547" spans="1:12" s="3327" customFormat="1" ht="13.5" customHeight="1">
      <c r="A2547" s="3355"/>
      <c r="B2547" s="3336" t="s">
        <v>4779</v>
      </c>
      <c r="C2547" s="3336" t="s">
        <v>4611</v>
      </c>
      <c r="D2547" s="3336" t="s">
        <v>4889</v>
      </c>
      <c r="E2547" s="3339">
        <v>218.8</v>
      </c>
      <c r="F2547" s="3339">
        <v>310</v>
      </c>
      <c r="G2547" s="3340">
        <v>41000</v>
      </c>
      <c r="H2547" s="3340">
        <v>41363</v>
      </c>
      <c r="I2547" s="3340">
        <v>41364</v>
      </c>
      <c r="J2547" s="3336"/>
    </row>
    <row r="2548" spans="1:12" s="3327" customFormat="1" ht="13.5" customHeight="1">
      <c r="A2548" s="3354"/>
      <c r="B2548" s="3324" t="s">
        <v>4779</v>
      </c>
      <c r="C2548" s="3324" t="s">
        <v>4611</v>
      </c>
      <c r="D2548" s="3324" t="s">
        <v>4890</v>
      </c>
      <c r="E2548" s="3325">
        <v>218.8</v>
      </c>
      <c r="F2548" s="3325">
        <v>325</v>
      </c>
      <c r="G2548" s="3326">
        <v>41730</v>
      </c>
      <c r="H2548" s="3326">
        <v>42093</v>
      </c>
      <c r="I2548" s="3326">
        <v>42094</v>
      </c>
      <c r="J2548" s="3324"/>
    </row>
    <row r="2549" spans="1:12" s="3327" customFormat="1" ht="13.5" customHeight="1">
      <c r="A2549" s="3354"/>
      <c r="B2549" s="3336" t="s">
        <v>4779</v>
      </c>
      <c r="C2549" s="3336" t="s">
        <v>4611</v>
      </c>
      <c r="D2549" s="3336" t="s">
        <v>4890</v>
      </c>
      <c r="E2549" s="3339">
        <v>218.8</v>
      </c>
      <c r="F2549" s="3339">
        <v>331</v>
      </c>
      <c r="G2549" s="3340">
        <v>42095</v>
      </c>
      <c r="H2549" s="3340">
        <v>42459</v>
      </c>
      <c r="I2549" s="3340">
        <v>42460</v>
      </c>
      <c r="J2549" s="3324"/>
    </row>
    <row r="2550" spans="1:12" s="3327" customFormat="1" ht="13.5" customHeight="1">
      <c r="A2550" s="3354"/>
      <c r="B2550" s="3336" t="s">
        <v>4779</v>
      </c>
      <c r="C2550" s="3336" t="s">
        <v>4611</v>
      </c>
      <c r="D2550" s="3336" t="s">
        <v>4890</v>
      </c>
      <c r="E2550" s="3339">
        <v>218.8</v>
      </c>
      <c r="F2550" s="3339">
        <v>345</v>
      </c>
      <c r="G2550" s="3340">
        <v>42461</v>
      </c>
      <c r="H2550" s="3340">
        <v>42824</v>
      </c>
      <c r="I2550" s="3340">
        <v>42825</v>
      </c>
      <c r="J2550" s="3324"/>
    </row>
    <row r="2551" spans="1:12" s="3327" customFormat="1" ht="13.5" customHeight="1">
      <c r="A2551" s="3354" t="s">
        <v>4784</v>
      </c>
      <c r="B2551" s="3331" t="s">
        <v>4779</v>
      </c>
      <c r="C2551" s="3331" t="s">
        <v>4611</v>
      </c>
      <c r="D2551" s="3331" t="s">
        <v>4890</v>
      </c>
      <c r="E2551" s="3332">
        <v>218.8</v>
      </c>
      <c r="F2551" s="3332">
        <v>345</v>
      </c>
      <c r="G2551" s="3333">
        <v>42826</v>
      </c>
      <c r="H2551" s="3333">
        <v>43130</v>
      </c>
      <c r="I2551" s="3333">
        <v>43190</v>
      </c>
      <c r="J2551" s="3324"/>
      <c r="K2551" s="3334">
        <f t="shared" ref="K2551" si="441">E2551</f>
        <v>218.8</v>
      </c>
      <c r="L2551" s="3334">
        <f t="shared" ref="L2551" si="442">F2551/30</f>
        <v>11.5</v>
      </c>
    </row>
    <row r="2552" spans="1:12" s="3327" customFormat="1" ht="13.5" customHeight="1">
      <c r="A2552" s="3410"/>
      <c r="B2552" s="3336" t="s">
        <v>4779</v>
      </c>
      <c r="C2552" s="3336" t="s">
        <v>4891</v>
      </c>
      <c r="D2552" s="3336" t="s">
        <v>4892</v>
      </c>
      <c r="E2552" s="3339">
        <v>161.9</v>
      </c>
      <c r="F2552" s="3339">
        <v>270</v>
      </c>
      <c r="G2552" s="3340">
        <v>41384</v>
      </c>
      <c r="H2552" s="3340">
        <v>41728</v>
      </c>
      <c r="I2552" s="3340">
        <v>41729</v>
      </c>
      <c r="J2552" s="3336"/>
    </row>
    <row r="2553" spans="1:12" s="3327" customFormat="1" ht="13.5" customHeight="1">
      <c r="A2553" s="3354"/>
      <c r="B2553" s="3324" t="s">
        <v>4779</v>
      </c>
      <c r="C2553" s="3324" t="s">
        <v>4893</v>
      </c>
      <c r="D2553" s="3324" t="s">
        <v>4892</v>
      </c>
      <c r="E2553" s="3325">
        <v>161.9</v>
      </c>
      <c r="F2553" s="3325">
        <v>150</v>
      </c>
      <c r="G2553" s="3326">
        <v>41730</v>
      </c>
      <c r="H2553" s="3326">
        <v>42093</v>
      </c>
      <c r="I2553" s="3326">
        <v>42094</v>
      </c>
      <c r="J2553" s="3324"/>
    </row>
    <row r="2554" spans="1:12" s="3327" customFormat="1" ht="13.5" customHeight="1">
      <c r="A2554" s="3354"/>
      <c r="B2554" s="3336" t="s">
        <v>4779</v>
      </c>
      <c r="C2554" s="3336" t="s">
        <v>4893</v>
      </c>
      <c r="D2554" s="3336" t="s">
        <v>4892</v>
      </c>
      <c r="E2554" s="3339">
        <v>161.9</v>
      </c>
      <c r="F2554" s="3339">
        <v>180</v>
      </c>
      <c r="G2554" s="3340">
        <v>42095</v>
      </c>
      <c r="H2554" s="3340">
        <v>42154</v>
      </c>
      <c r="I2554" s="3340">
        <v>42155</v>
      </c>
      <c r="J2554" s="3324"/>
    </row>
    <row r="2555" spans="1:12" s="3327" customFormat="1" ht="13.5" customHeight="1">
      <c r="A2555" s="3354"/>
      <c r="B2555" s="3336" t="s">
        <v>4779</v>
      </c>
      <c r="C2555" s="3336" t="s">
        <v>3663</v>
      </c>
      <c r="D2555" s="3336" t="s">
        <v>4892</v>
      </c>
      <c r="E2555" s="3339">
        <v>161.9</v>
      </c>
      <c r="F2555" s="3339">
        <v>270</v>
      </c>
      <c r="G2555" s="3340">
        <v>42156</v>
      </c>
      <c r="H2555" s="3340">
        <v>42459</v>
      </c>
      <c r="I2555" s="3340">
        <v>42460</v>
      </c>
      <c r="J2555" s="3324"/>
    </row>
    <row r="2556" spans="1:12" s="3327" customFormat="1" ht="14.25" customHeight="1">
      <c r="A2556" s="3354"/>
      <c r="B2556" s="3336" t="s">
        <v>4779</v>
      </c>
      <c r="C2556" s="3336" t="s">
        <v>3663</v>
      </c>
      <c r="D2556" s="3336" t="s">
        <v>4892</v>
      </c>
      <c r="E2556" s="3339">
        <v>161.9</v>
      </c>
      <c r="F2556" s="3339">
        <v>270</v>
      </c>
      <c r="G2556" s="3340">
        <v>42461</v>
      </c>
      <c r="H2556" s="3340">
        <v>42824</v>
      </c>
      <c r="I2556" s="3340">
        <v>42825</v>
      </c>
      <c r="J2556" s="3324"/>
    </row>
    <row r="2557" spans="1:12" s="3327" customFormat="1" ht="13.5" customHeight="1">
      <c r="A2557" s="3354" t="s">
        <v>4784</v>
      </c>
      <c r="B2557" s="3331" t="s">
        <v>4779</v>
      </c>
      <c r="C2557" s="3331" t="s">
        <v>3663</v>
      </c>
      <c r="D2557" s="3331" t="s">
        <v>4892</v>
      </c>
      <c r="E2557" s="3332">
        <v>161.9</v>
      </c>
      <c r="F2557" s="3332">
        <v>275</v>
      </c>
      <c r="G2557" s="3333">
        <v>42826</v>
      </c>
      <c r="H2557" s="3333">
        <v>43130</v>
      </c>
      <c r="I2557" s="3333">
        <v>43190</v>
      </c>
      <c r="J2557" s="3324"/>
      <c r="K2557" s="3334">
        <f t="shared" ref="K2557" si="443">E2557</f>
        <v>161.9</v>
      </c>
      <c r="L2557" s="3334">
        <f t="shared" ref="L2557" si="444">F2557/30</f>
        <v>9.1666666666666661</v>
      </c>
    </row>
    <row r="2558" spans="1:12" s="3327" customFormat="1" ht="13.5" customHeight="1">
      <c r="A2558" s="3354"/>
      <c r="B2558" s="3324" t="s">
        <v>4779</v>
      </c>
      <c r="C2558" s="3403" t="s">
        <v>4894</v>
      </c>
      <c r="D2558" s="3324" t="s">
        <v>4895</v>
      </c>
      <c r="E2558" s="3325">
        <v>176.3</v>
      </c>
      <c r="F2558" s="3325">
        <v>150</v>
      </c>
      <c r="G2558" s="3326">
        <v>41730</v>
      </c>
      <c r="H2558" s="3326">
        <v>42093</v>
      </c>
      <c r="I2558" s="3326">
        <v>42094</v>
      </c>
      <c r="J2558" s="3324"/>
    </row>
    <row r="2559" spans="1:12" s="3327" customFormat="1" ht="13.5" customHeight="1">
      <c r="A2559" s="3354"/>
      <c r="B2559" s="3336" t="s">
        <v>4779</v>
      </c>
      <c r="C2559" s="3336" t="s">
        <v>4894</v>
      </c>
      <c r="D2559" s="3336" t="s">
        <v>4895</v>
      </c>
      <c r="E2559" s="3339">
        <v>176.3</v>
      </c>
      <c r="F2559" s="3339">
        <v>180</v>
      </c>
      <c r="G2559" s="3340">
        <v>42095</v>
      </c>
      <c r="H2559" s="3340">
        <v>42154</v>
      </c>
      <c r="I2559" s="3340">
        <v>42155</v>
      </c>
      <c r="J2559" s="3324"/>
    </row>
    <row r="2560" spans="1:12" s="3327" customFormat="1" ht="13.5" customHeight="1">
      <c r="A2560" s="3354"/>
      <c r="B2560" s="3336" t="s">
        <v>4779</v>
      </c>
      <c r="C2560" s="3336" t="s">
        <v>4896</v>
      </c>
      <c r="D2560" s="3336" t="s">
        <v>4895</v>
      </c>
      <c r="E2560" s="3339">
        <v>176.3</v>
      </c>
      <c r="F2560" s="3339">
        <v>250</v>
      </c>
      <c r="G2560" s="3340">
        <v>42156</v>
      </c>
      <c r="H2560" s="3340">
        <v>42459</v>
      </c>
      <c r="I2560" s="3340">
        <v>42459</v>
      </c>
      <c r="J2560" s="3324"/>
    </row>
    <row r="2561" spans="1:12" s="3327" customFormat="1" ht="13.5" customHeight="1">
      <c r="A2561" s="3354"/>
      <c r="B2561" s="3336" t="s">
        <v>4779</v>
      </c>
      <c r="C2561" s="3336" t="s">
        <v>4896</v>
      </c>
      <c r="D2561" s="3336" t="s">
        <v>4895</v>
      </c>
      <c r="E2561" s="3339">
        <v>176.3</v>
      </c>
      <c r="F2561" s="3339">
        <v>260</v>
      </c>
      <c r="G2561" s="3340">
        <v>42461</v>
      </c>
      <c r="H2561" s="3340">
        <v>42744</v>
      </c>
      <c r="I2561" s="3340">
        <v>42825</v>
      </c>
      <c r="J2561" s="3324"/>
    </row>
    <row r="2562" spans="1:12" s="3327" customFormat="1" ht="13.5" customHeight="1">
      <c r="A2562" s="3354"/>
      <c r="B2562" s="3331" t="s">
        <v>4779</v>
      </c>
      <c r="C2562" s="3331" t="s">
        <v>4083</v>
      </c>
      <c r="D2562" s="3331" t="s">
        <v>4895</v>
      </c>
      <c r="E2562" s="3332">
        <v>176.3</v>
      </c>
      <c r="F2562" s="3332">
        <v>270</v>
      </c>
      <c r="G2562" s="3333">
        <v>42826</v>
      </c>
      <c r="H2562" s="3333">
        <v>43008</v>
      </c>
      <c r="I2562" s="3333">
        <v>43190</v>
      </c>
      <c r="J2562" s="3324"/>
      <c r="K2562" s="3334">
        <f t="shared" ref="K2562:K2563" si="445">E2562</f>
        <v>176.3</v>
      </c>
      <c r="L2562" s="3334">
        <f t="shared" ref="L2562:L2563" si="446">F2562/30</f>
        <v>9</v>
      </c>
    </row>
    <row r="2563" spans="1:12" s="3327" customFormat="1" ht="13.5" customHeight="1">
      <c r="A2563" s="3354" t="s">
        <v>4784</v>
      </c>
      <c r="B2563" s="3331" t="s">
        <v>4779</v>
      </c>
      <c r="C2563" s="3331" t="s">
        <v>4083</v>
      </c>
      <c r="D2563" s="3331" t="s">
        <v>4895</v>
      </c>
      <c r="E2563" s="3332">
        <v>176.3</v>
      </c>
      <c r="F2563" s="3332">
        <v>270</v>
      </c>
      <c r="G2563" s="3333">
        <v>43009</v>
      </c>
      <c r="H2563" s="3333">
        <v>43130</v>
      </c>
      <c r="I2563" s="3333">
        <v>43190</v>
      </c>
      <c r="J2563" s="3324"/>
      <c r="K2563" s="3334">
        <f t="shared" si="445"/>
        <v>176.3</v>
      </c>
      <c r="L2563" s="3334">
        <f t="shared" si="446"/>
        <v>9</v>
      </c>
    </row>
    <row r="2564" spans="1:12" s="3327" customFormat="1" ht="13.5" customHeight="1">
      <c r="A2564" s="3355"/>
      <c r="B2564" s="3336" t="s">
        <v>4779</v>
      </c>
      <c r="C2564" s="3336" t="s">
        <v>4861</v>
      </c>
      <c r="D2564" s="3336" t="s">
        <v>4897</v>
      </c>
      <c r="E2564" s="3339">
        <v>169.3</v>
      </c>
      <c r="F2564" s="3339">
        <v>270</v>
      </c>
      <c r="G2564" s="3340">
        <v>41000</v>
      </c>
      <c r="H2564" s="3340">
        <v>41363</v>
      </c>
      <c r="I2564" s="3340">
        <v>41364</v>
      </c>
      <c r="J2564" s="3336"/>
    </row>
    <row r="2565" spans="1:12" s="3327" customFormat="1" ht="13.5" customHeight="1">
      <c r="A2565" s="3323"/>
      <c r="B2565" s="3324" t="s">
        <v>4779</v>
      </c>
      <c r="C2565" s="3324" t="s">
        <v>4861</v>
      </c>
      <c r="D2565" s="3324" t="s">
        <v>4898</v>
      </c>
      <c r="E2565" s="3325">
        <v>169.3</v>
      </c>
      <c r="F2565" s="3325">
        <v>275</v>
      </c>
      <c r="G2565" s="3326">
        <v>41730</v>
      </c>
      <c r="H2565" s="3326">
        <v>41973</v>
      </c>
      <c r="I2565" s="3326">
        <v>42094</v>
      </c>
      <c r="J2565" s="3324"/>
    </row>
    <row r="2566" spans="1:12" s="3327" customFormat="1" ht="13.5" customHeight="1">
      <c r="A2566" s="3354"/>
      <c r="B2566" s="3324" t="s">
        <v>4779</v>
      </c>
      <c r="C2566" s="3324" t="s">
        <v>4861</v>
      </c>
      <c r="D2566" s="3324" t="s">
        <v>4898</v>
      </c>
      <c r="E2566" s="3325">
        <v>169.3</v>
      </c>
      <c r="F2566" s="3325">
        <v>275</v>
      </c>
      <c r="G2566" s="3326">
        <v>41974</v>
      </c>
      <c r="H2566" s="3326">
        <v>42093</v>
      </c>
      <c r="I2566" s="3326">
        <v>42094</v>
      </c>
      <c r="J2566" s="3324"/>
    </row>
    <row r="2567" spans="1:12" s="3327" customFormat="1" ht="13.5" customHeight="1">
      <c r="A2567" s="3354"/>
      <c r="B2567" s="3336" t="s">
        <v>4779</v>
      </c>
      <c r="C2567" s="3336" t="s">
        <v>4861</v>
      </c>
      <c r="D2567" s="3336" t="s">
        <v>4898</v>
      </c>
      <c r="E2567" s="3339">
        <v>169.3</v>
      </c>
      <c r="F2567" s="3339">
        <v>255</v>
      </c>
      <c r="G2567" s="3340">
        <v>42095</v>
      </c>
      <c r="H2567" s="3340">
        <v>42154</v>
      </c>
      <c r="I2567" s="3340">
        <v>42155</v>
      </c>
      <c r="J2567" s="3324"/>
    </row>
    <row r="2568" spans="1:12" s="3327" customFormat="1" ht="13.5" customHeight="1">
      <c r="A2568" s="3354"/>
      <c r="B2568" s="3336" t="s">
        <v>4779</v>
      </c>
      <c r="C2568" s="3336" t="s">
        <v>3144</v>
      </c>
      <c r="D2568" s="3336" t="s">
        <v>4898</v>
      </c>
      <c r="E2568" s="3339">
        <v>169.3</v>
      </c>
      <c r="F2568" s="3339">
        <v>275</v>
      </c>
      <c r="G2568" s="3340">
        <v>42171</v>
      </c>
      <c r="H2568" s="3340">
        <v>42459</v>
      </c>
      <c r="I2568" s="3340">
        <v>42460</v>
      </c>
      <c r="J2568" s="3324"/>
    </row>
    <row r="2569" spans="1:12" s="3327" customFormat="1" ht="13.5" customHeight="1">
      <c r="A2569" s="3354"/>
      <c r="B2569" s="3336" t="s">
        <v>4779</v>
      </c>
      <c r="C2569" s="3336" t="s">
        <v>3144</v>
      </c>
      <c r="D2569" s="3336" t="s">
        <v>4898</v>
      </c>
      <c r="E2569" s="3339">
        <v>169.3</v>
      </c>
      <c r="F2569" s="3339">
        <v>210</v>
      </c>
      <c r="G2569" s="3340">
        <v>42461</v>
      </c>
      <c r="H2569" s="3340">
        <v>42581</v>
      </c>
      <c r="I2569" s="3340">
        <v>42825</v>
      </c>
      <c r="J2569" s="3324"/>
    </row>
    <row r="2570" spans="1:12" s="3327" customFormat="1" ht="13.5" customHeight="1">
      <c r="A2570" s="3354"/>
      <c r="B2570" s="3336" t="s">
        <v>4779</v>
      </c>
      <c r="C2570" s="3336" t="s">
        <v>4899</v>
      </c>
      <c r="D2570" s="3336" t="s">
        <v>4898</v>
      </c>
      <c r="E2570" s="3339">
        <v>222.9</v>
      </c>
      <c r="F2570" s="3339">
        <v>210</v>
      </c>
      <c r="G2570" s="3340">
        <v>42583</v>
      </c>
      <c r="H2570" s="3340">
        <v>42824</v>
      </c>
      <c r="I2570" s="3340">
        <v>42825</v>
      </c>
      <c r="J2570" s="3324"/>
    </row>
    <row r="2571" spans="1:12" s="3327" customFormat="1" ht="13.5" customHeight="1">
      <c r="A2571" s="3354" t="s">
        <v>4784</v>
      </c>
      <c r="B2571" s="3331" t="s">
        <v>4779</v>
      </c>
      <c r="C2571" s="3331" t="s">
        <v>4899</v>
      </c>
      <c r="D2571" s="3331" t="s">
        <v>4898</v>
      </c>
      <c r="E2571" s="3332">
        <v>222.9</v>
      </c>
      <c r="F2571" s="3332">
        <v>250</v>
      </c>
      <c r="G2571" s="3333">
        <v>42826</v>
      </c>
      <c r="H2571" s="3333">
        <v>43130</v>
      </c>
      <c r="I2571" s="3333">
        <v>43190</v>
      </c>
      <c r="J2571" s="3324"/>
      <c r="K2571" s="3334">
        <f t="shared" ref="K2571" si="447">E2571</f>
        <v>222.9</v>
      </c>
      <c r="L2571" s="3334">
        <f t="shared" ref="L2571" si="448">F2571/30</f>
        <v>8.3333333333333339</v>
      </c>
    </row>
    <row r="2572" spans="1:12" s="3327" customFormat="1" ht="13.5" customHeight="1">
      <c r="A2572" s="3354"/>
      <c r="B2572" s="3324" t="s">
        <v>4779</v>
      </c>
      <c r="C2572" s="3324" t="s">
        <v>4900</v>
      </c>
      <c r="D2572" s="3324" t="s">
        <v>4901</v>
      </c>
      <c r="E2572" s="3325">
        <v>50.9</v>
      </c>
      <c r="F2572" s="3325">
        <v>196.46365422396858</v>
      </c>
      <c r="G2572" s="3326">
        <v>41000</v>
      </c>
      <c r="H2572" s="3326">
        <v>41363</v>
      </c>
      <c r="I2572" s="3326">
        <v>41364</v>
      </c>
      <c r="J2572" s="3324"/>
    </row>
    <row r="2573" spans="1:12" s="3327" customFormat="1" ht="13.5" customHeight="1">
      <c r="A2573" s="3354"/>
      <c r="B2573" s="3324" t="s">
        <v>4779</v>
      </c>
      <c r="C2573" s="3324" t="s">
        <v>4736</v>
      </c>
      <c r="D2573" s="3324" t="s">
        <v>4902</v>
      </c>
      <c r="E2573" s="3325">
        <v>50.9</v>
      </c>
      <c r="F2573" s="3325">
        <v>200</v>
      </c>
      <c r="G2573" s="3326">
        <v>41730</v>
      </c>
      <c r="H2573" s="3326">
        <v>42093</v>
      </c>
      <c r="I2573" s="3326">
        <v>42094</v>
      </c>
      <c r="J2573" s="3324"/>
    </row>
    <row r="2574" spans="1:12" s="3327" customFormat="1" ht="13.5" customHeight="1">
      <c r="A2574" s="3354"/>
      <c r="B2574" s="3336" t="s">
        <v>4779</v>
      </c>
      <c r="C2574" s="3336" t="s">
        <v>4736</v>
      </c>
      <c r="D2574" s="3336" t="s">
        <v>4902</v>
      </c>
      <c r="E2574" s="3339">
        <v>50.9</v>
      </c>
      <c r="F2574" s="3339">
        <v>200</v>
      </c>
      <c r="G2574" s="3340">
        <v>42095</v>
      </c>
      <c r="H2574" s="3340">
        <v>42459</v>
      </c>
      <c r="I2574" s="3340">
        <v>42460</v>
      </c>
      <c r="J2574" s="3324"/>
    </row>
    <row r="2575" spans="1:12" s="3327" customFormat="1" ht="13.5" customHeight="1">
      <c r="A2575" s="3354"/>
      <c r="B2575" s="3336" t="s">
        <v>4779</v>
      </c>
      <c r="C2575" s="3336" t="s">
        <v>4736</v>
      </c>
      <c r="D2575" s="3336" t="s">
        <v>4902</v>
      </c>
      <c r="E2575" s="3338">
        <v>53.6</v>
      </c>
      <c r="F2575" s="3339">
        <v>210</v>
      </c>
      <c r="G2575" s="3340">
        <v>42461</v>
      </c>
      <c r="H2575" s="3340">
        <v>42581</v>
      </c>
      <c r="I2575" s="3340">
        <v>42825</v>
      </c>
      <c r="J2575" s="3324"/>
    </row>
    <row r="2576" spans="1:12" s="3327" customFormat="1" ht="13.5" customHeight="1">
      <c r="A2576" s="3354"/>
      <c r="B2576" s="3324" t="s">
        <v>4779</v>
      </c>
      <c r="C2576" s="3324" t="s">
        <v>4736</v>
      </c>
      <c r="D2576" s="3324" t="s">
        <v>4903</v>
      </c>
      <c r="E2576" s="3325">
        <v>212.2</v>
      </c>
      <c r="F2576" s="3325">
        <v>200</v>
      </c>
      <c r="G2576" s="3326">
        <v>41730</v>
      </c>
      <c r="H2576" s="3326">
        <v>42093</v>
      </c>
      <c r="I2576" s="3326">
        <v>42094</v>
      </c>
      <c r="J2576" s="3324"/>
    </row>
    <row r="2577" spans="1:12" s="3327" customFormat="1" ht="13.5" customHeight="1">
      <c r="A2577" s="3354"/>
      <c r="B2577" s="3336" t="s">
        <v>4779</v>
      </c>
      <c r="C2577" s="3336" t="s">
        <v>4736</v>
      </c>
      <c r="D2577" s="3336" t="s">
        <v>4903</v>
      </c>
      <c r="E2577" s="3339">
        <v>212.2</v>
      </c>
      <c r="F2577" s="3339">
        <v>200</v>
      </c>
      <c r="G2577" s="3340">
        <v>42095</v>
      </c>
      <c r="H2577" s="3340">
        <v>42459</v>
      </c>
      <c r="I2577" s="3340">
        <v>42460</v>
      </c>
      <c r="J2577" s="3324"/>
    </row>
    <row r="2578" spans="1:12" s="3327" customFormat="1" ht="13.5" customHeight="1">
      <c r="A2578" s="3354"/>
      <c r="B2578" s="3336" t="s">
        <v>4779</v>
      </c>
      <c r="C2578" s="3336" t="s">
        <v>4736</v>
      </c>
      <c r="D2578" s="3336" t="s">
        <v>4903</v>
      </c>
      <c r="E2578" s="3338">
        <v>249.1</v>
      </c>
      <c r="F2578" s="3339">
        <v>210</v>
      </c>
      <c r="G2578" s="3340">
        <v>42461</v>
      </c>
      <c r="H2578" s="3340">
        <v>42581</v>
      </c>
      <c r="I2578" s="3340">
        <v>42825</v>
      </c>
      <c r="J2578" s="3324"/>
    </row>
    <row r="2579" spans="1:12" s="3327" customFormat="1" ht="13.5" customHeight="1">
      <c r="A2579" s="3354"/>
      <c r="B2579" s="3336" t="s">
        <v>4779</v>
      </c>
      <c r="C2579" s="3336" t="s">
        <v>4899</v>
      </c>
      <c r="D2579" s="3336" t="s">
        <v>4903</v>
      </c>
      <c r="E2579" s="3338">
        <v>249.1</v>
      </c>
      <c r="F2579" s="3339">
        <v>200</v>
      </c>
      <c r="G2579" s="3340">
        <v>42583</v>
      </c>
      <c r="H2579" s="3340">
        <v>42824</v>
      </c>
      <c r="I2579" s="3340">
        <v>42825</v>
      </c>
      <c r="J2579" s="3324"/>
    </row>
    <row r="2580" spans="1:12" s="3327" customFormat="1" ht="13.5" customHeight="1">
      <c r="A2580" s="3354" t="s">
        <v>4784</v>
      </c>
      <c r="B2580" s="3331" t="s">
        <v>4779</v>
      </c>
      <c r="C2580" s="3331" t="s">
        <v>4899</v>
      </c>
      <c r="D2580" s="3331" t="s">
        <v>4902</v>
      </c>
      <c r="E2580" s="3332">
        <v>249.1</v>
      </c>
      <c r="F2580" s="3332">
        <v>215</v>
      </c>
      <c r="G2580" s="3333">
        <v>42826</v>
      </c>
      <c r="H2580" s="3333">
        <v>43130</v>
      </c>
      <c r="I2580" s="3333">
        <v>43190</v>
      </c>
      <c r="J2580" s="3324"/>
      <c r="K2580" s="3334">
        <f t="shared" ref="K2580" si="449">E2580</f>
        <v>249.1</v>
      </c>
      <c r="L2580" s="3334">
        <f t="shared" ref="L2580" si="450">F2580/30</f>
        <v>7.166666666666667</v>
      </c>
    </row>
    <row r="2581" spans="1:12" s="3327" customFormat="1" ht="13.5" customHeight="1">
      <c r="A2581" s="3355"/>
      <c r="B2581" s="3336" t="s">
        <v>4779</v>
      </c>
      <c r="C2581" s="3336" t="s">
        <v>4879</v>
      </c>
      <c r="D2581" s="3336" t="s">
        <v>4904</v>
      </c>
      <c r="E2581" s="3339">
        <v>150.80000000000001</v>
      </c>
      <c r="F2581" s="3339">
        <v>270</v>
      </c>
      <c r="G2581" s="3340">
        <v>41000</v>
      </c>
      <c r="H2581" s="3340">
        <v>41363</v>
      </c>
      <c r="I2581" s="3340">
        <v>41364</v>
      </c>
      <c r="J2581" s="3336"/>
    </row>
    <row r="2582" spans="1:12" s="3327" customFormat="1" ht="13.5" customHeight="1">
      <c r="A2582" s="3323"/>
      <c r="B2582" s="3324" t="s">
        <v>4779</v>
      </c>
      <c r="C2582" s="3324" t="s">
        <v>4905</v>
      </c>
      <c r="D2582" s="3324" t="s">
        <v>4906</v>
      </c>
      <c r="E2582" s="3325">
        <v>150.80000000000001</v>
      </c>
      <c r="F2582" s="3325">
        <v>275</v>
      </c>
      <c r="G2582" s="3326">
        <v>41730</v>
      </c>
      <c r="H2582" s="3326">
        <v>41820</v>
      </c>
      <c r="I2582" s="3326">
        <v>42094</v>
      </c>
      <c r="J2582" s="3324"/>
    </row>
    <row r="2583" spans="1:12" s="3327" customFormat="1" ht="13.5" customHeight="1">
      <c r="A2583" s="3354"/>
      <c r="B2583" s="3324" t="s">
        <v>4779</v>
      </c>
      <c r="C2583" s="3324" t="s">
        <v>4905</v>
      </c>
      <c r="D2583" s="3324" t="s">
        <v>4907</v>
      </c>
      <c r="E2583" s="3325">
        <v>90.8</v>
      </c>
      <c r="F2583" s="3325">
        <v>275</v>
      </c>
      <c r="G2583" s="3326">
        <v>41821</v>
      </c>
      <c r="H2583" s="3326">
        <v>42093</v>
      </c>
      <c r="I2583" s="3326">
        <v>42094</v>
      </c>
      <c r="J2583" s="3324"/>
    </row>
    <row r="2584" spans="1:12" s="3327" customFormat="1" ht="13.5" customHeight="1">
      <c r="A2584" s="3354"/>
      <c r="B2584" s="3336" t="s">
        <v>4779</v>
      </c>
      <c r="C2584" s="3336" t="s">
        <v>4905</v>
      </c>
      <c r="D2584" s="3336" t="s">
        <v>4907</v>
      </c>
      <c r="E2584" s="3339">
        <v>90.8</v>
      </c>
      <c r="F2584" s="3339">
        <v>281</v>
      </c>
      <c r="G2584" s="3340">
        <v>42095</v>
      </c>
      <c r="H2584" s="3340">
        <v>42141</v>
      </c>
      <c r="I2584" s="3340">
        <v>42155</v>
      </c>
      <c r="J2584" s="3324"/>
    </row>
    <row r="2585" spans="1:12" s="3327" customFormat="1" ht="13.5" customHeight="1">
      <c r="A2585" s="3354"/>
      <c r="B2585" s="3336" t="s">
        <v>4779</v>
      </c>
      <c r="C2585" s="3336" t="s">
        <v>3174</v>
      </c>
      <c r="D2585" s="3336" t="s">
        <v>4907</v>
      </c>
      <c r="E2585" s="3339">
        <v>75.8</v>
      </c>
      <c r="F2585" s="3339">
        <v>300</v>
      </c>
      <c r="G2585" s="3340">
        <v>42142</v>
      </c>
      <c r="H2585" s="3340">
        <v>42459</v>
      </c>
      <c r="I2585" s="3340">
        <v>42460</v>
      </c>
      <c r="J2585" s="3324"/>
    </row>
    <row r="2586" spans="1:12" s="3327" customFormat="1" ht="13.5" customHeight="1">
      <c r="A2586" s="3354"/>
      <c r="B2586" s="3336" t="s">
        <v>4779</v>
      </c>
      <c r="C2586" s="3336" t="s">
        <v>3174</v>
      </c>
      <c r="D2586" s="3336" t="s">
        <v>4907</v>
      </c>
      <c r="E2586" s="3339">
        <v>75.8</v>
      </c>
      <c r="F2586" s="3339">
        <v>300</v>
      </c>
      <c r="G2586" s="3340">
        <v>42461</v>
      </c>
      <c r="H2586" s="3340">
        <v>42824</v>
      </c>
      <c r="I2586" s="3340">
        <v>42825</v>
      </c>
      <c r="J2586" s="3324"/>
    </row>
    <row r="2587" spans="1:12" s="3327" customFormat="1" ht="13.5" customHeight="1">
      <c r="A2587" s="3354"/>
      <c r="B2587" s="3331" t="s">
        <v>4779</v>
      </c>
      <c r="C2587" s="3331" t="s">
        <v>3174</v>
      </c>
      <c r="D2587" s="3331" t="s">
        <v>4908</v>
      </c>
      <c r="E2587" s="3332">
        <v>75.8</v>
      </c>
      <c r="F2587" s="3332">
        <v>320</v>
      </c>
      <c r="G2587" s="3333">
        <v>42826</v>
      </c>
      <c r="H2587" s="3333">
        <v>42885</v>
      </c>
      <c r="I2587" s="3333">
        <v>42886</v>
      </c>
      <c r="J2587" s="3324"/>
      <c r="K2587" s="3334">
        <f t="shared" ref="K2587:K2588" si="451">E2587</f>
        <v>75.8</v>
      </c>
      <c r="L2587" s="3334">
        <f t="shared" ref="L2587:L2588" si="452">F2587/30</f>
        <v>10.666666666666666</v>
      </c>
    </row>
    <row r="2588" spans="1:12" s="3327" customFormat="1" ht="13.5" customHeight="1">
      <c r="A2588" s="3354" t="s">
        <v>4784</v>
      </c>
      <c r="B2588" s="3331" t="s">
        <v>4779</v>
      </c>
      <c r="C2588" s="3331" t="s">
        <v>4909</v>
      </c>
      <c r="D2588" s="3331" t="s">
        <v>4908</v>
      </c>
      <c r="E2588" s="3332">
        <v>75.8</v>
      </c>
      <c r="F2588" s="3332">
        <v>320</v>
      </c>
      <c r="G2588" s="3333">
        <v>42887</v>
      </c>
      <c r="H2588" s="3333">
        <v>43130</v>
      </c>
      <c r="I2588" s="3333">
        <v>43190</v>
      </c>
      <c r="J2588" s="3324"/>
      <c r="K2588" s="3334">
        <f t="shared" si="451"/>
        <v>75.8</v>
      </c>
      <c r="L2588" s="3334">
        <f t="shared" si="452"/>
        <v>10.666666666666666</v>
      </c>
    </row>
    <row r="2589" spans="1:12" s="3327" customFormat="1" ht="13.5" customHeight="1">
      <c r="A2589" s="3354"/>
      <c r="B2589" s="3324" t="s">
        <v>4779</v>
      </c>
      <c r="C2589" s="3324" t="s">
        <v>4910</v>
      </c>
      <c r="D2589" s="3324" t="s">
        <v>4911</v>
      </c>
      <c r="E2589" s="3325">
        <v>60.000000000000014</v>
      </c>
      <c r="F2589" s="3325">
        <v>275</v>
      </c>
      <c r="G2589" s="3326">
        <v>41821</v>
      </c>
      <c r="H2589" s="3326">
        <v>42093</v>
      </c>
      <c r="I2589" s="3326">
        <v>42094</v>
      </c>
      <c r="J2589" s="3324"/>
    </row>
    <row r="2590" spans="1:12" s="3327" customFormat="1" ht="13.5" customHeight="1">
      <c r="A2590" s="3354"/>
      <c r="B2590" s="3336" t="s">
        <v>4779</v>
      </c>
      <c r="C2590" s="3336" t="s">
        <v>4910</v>
      </c>
      <c r="D2590" s="3336" t="s">
        <v>4911</v>
      </c>
      <c r="E2590" s="3339">
        <v>60</v>
      </c>
      <c r="F2590" s="3339">
        <v>281</v>
      </c>
      <c r="G2590" s="3340">
        <v>42095</v>
      </c>
      <c r="H2590" s="3340">
        <v>42141</v>
      </c>
      <c r="I2590" s="3340">
        <v>42155</v>
      </c>
      <c r="J2590" s="3324"/>
    </row>
    <row r="2591" spans="1:12" s="3327" customFormat="1" ht="13.5" customHeight="1">
      <c r="A2591" s="3354"/>
      <c r="B2591" s="3336" t="s">
        <v>4779</v>
      </c>
      <c r="C2591" s="3336" t="s">
        <v>3185</v>
      </c>
      <c r="D2591" s="3336" t="s">
        <v>4911</v>
      </c>
      <c r="E2591" s="3339">
        <v>75</v>
      </c>
      <c r="F2591" s="3339">
        <v>330</v>
      </c>
      <c r="G2591" s="3340">
        <v>42142</v>
      </c>
      <c r="H2591" s="3340">
        <v>42143</v>
      </c>
      <c r="I2591" s="3340">
        <v>42460</v>
      </c>
      <c r="J2591" s="3324"/>
    </row>
    <row r="2592" spans="1:12" s="3327" customFormat="1" ht="13.5" customHeight="1">
      <c r="A2592" s="3354"/>
      <c r="B2592" s="3336" t="s">
        <v>4779</v>
      </c>
      <c r="C2592" s="3336" t="s">
        <v>3185</v>
      </c>
      <c r="D2592" s="3336" t="s">
        <v>4911</v>
      </c>
      <c r="E2592" s="3339">
        <v>75</v>
      </c>
      <c r="F2592" s="3339">
        <v>305</v>
      </c>
      <c r="G2592" s="3340">
        <v>42144</v>
      </c>
      <c r="H2592" s="3340">
        <v>42459</v>
      </c>
      <c r="I2592" s="3340">
        <v>42460</v>
      </c>
      <c r="J2592" s="3324"/>
    </row>
    <row r="2593" spans="1:12" s="3327" customFormat="1" ht="13.5" customHeight="1">
      <c r="A2593" s="3354"/>
      <c r="B2593" s="3336" t="s">
        <v>4779</v>
      </c>
      <c r="C2593" s="3336" t="s">
        <v>3185</v>
      </c>
      <c r="D2593" s="3336" t="s">
        <v>4911</v>
      </c>
      <c r="E2593" s="3339">
        <v>75</v>
      </c>
      <c r="F2593" s="3339">
        <v>300</v>
      </c>
      <c r="G2593" s="3340">
        <v>42461</v>
      </c>
      <c r="H2593" s="3340">
        <v>42824</v>
      </c>
      <c r="I2593" s="3340">
        <v>42825</v>
      </c>
      <c r="J2593" s="3324"/>
    </row>
    <row r="2594" spans="1:12" s="3327" customFormat="1" ht="13.5" customHeight="1">
      <c r="A2594" s="3354"/>
      <c r="B2594" s="3331" t="s">
        <v>4779</v>
      </c>
      <c r="C2594" s="3331" t="s">
        <v>3489</v>
      </c>
      <c r="D2594" s="3331" t="s">
        <v>4912</v>
      </c>
      <c r="E2594" s="3332">
        <v>75</v>
      </c>
      <c r="F2594" s="3332">
        <v>315</v>
      </c>
      <c r="G2594" s="3333">
        <v>42826</v>
      </c>
      <c r="H2594" s="3333">
        <v>42885</v>
      </c>
      <c r="I2594" s="3333">
        <v>42886</v>
      </c>
      <c r="J2594" s="3324"/>
      <c r="K2594" s="3334">
        <f t="shared" ref="K2594:K2595" si="453">E2594</f>
        <v>75</v>
      </c>
      <c r="L2594" s="3334">
        <f t="shared" ref="L2594:L2595" si="454">F2594/30</f>
        <v>10.5</v>
      </c>
    </row>
    <row r="2595" spans="1:12" s="3327" customFormat="1" ht="13.5" customHeight="1">
      <c r="A2595" s="3354" t="s">
        <v>4784</v>
      </c>
      <c r="B2595" s="3331" t="s">
        <v>4779</v>
      </c>
      <c r="C2595" s="3331" t="s">
        <v>3489</v>
      </c>
      <c r="D2595" s="3331" t="s">
        <v>4912</v>
      </c>
      <c r="E2595" s="3332">
        <v>75</v>
      </c>
      <c r="F2595" s="3332">
        <v>315</v>
      </c>
      <c r="G2595" s="3333">
        <v>42887</v>
      </c>
      <c r="H2595" s="3333">
        <v>43130</v>
      </c>
      <c r="I2595" s="3333">
        <v>43190</v>
      </c>
      <c r="J2595" s="3324"/>
      <c r="K2595" s="3334">
        <f t="shared" si="453"/>
        <v>75</v>
      </c>
      <c r="L2595" s="3334">
        <f t="shared" si="454"/>
        <v>10.5</v>
      </c>
    </row>
    <row r="2596" spans="1:12" s="3327" customFormat="1" ht="13.5" customHeight="1">
      <c r="A2596" s="3355"/>
      <c r="B2596" s="3336" t="s">
        <v>4779</v>
      </c>
      <c r="C2596" s="3336" t="s">
        <v>4883</v>
      </c>
      <c r="D2596" s="3336" t="s">
        <v>4913</v>
      </c>
      <c r="E2596" s="3339">
        <v>134.19999999999999</v>
      </c>
      <c r="F2596" s="3339">
        <v>275</v>
      </c>
      <c r="G2596" s="3340">
        <v>41000</v>
      </c>
      <c r="H2596" s="3340">
        <v>41363</v>
      </c>
      <c r="I2596" s="3340">
        <v>41364</v>
      </c>
      <c r="J2596" s="3336"/>
    </row>
    <row r="2597" spans="1:12" s="3327" customFormat="1" ht="13.5" customHeight="1">
      <c r="A2597" s="3354"/>
      <c r="B2597" s="3324" t="s">
        <v>4779</v>
      </c>
      <c r="C2597" s="3324" t="s">
        <v>4883</v>
      </c>
      <c r="D2597" s="3324" t="s">
        <v>4908</v>
      </c>
      <c r="E2597" s="3325">
        <v>134.19999999999999</v>
      </c>
      <c r="F2597" s="3325">
        <v>280</v>
      </c>
      <c r="G2597" s="3326">
        <v>41730</v>
      </c>
      <c r="H2597" s="3326">
        <v>42093</v>
      </c>
      <c r="I2597" s="3326">
        <v>42094</v>
      </c>
      <c r="J2597" s="3324"/>
    </row>
    <row r="2598" spans="1:12" s="3327" customFormat="1" ht="13.5" customHeight="1">
      <c r="A2598" s="3354"/>
      <c r="B2598" s="3336" t="s">
        <v>4779</v>
      </c>
      <c r="C2598" s="3336" t="s">
        <v>4883</v>
      </c>
      <c r="D2598" s="3336" t="s">
        <v>4908</v>
      </c>
      <c r="E2598" s="3339">
        <v>134.19999999999999</v>
      </c>
      <c r="F2598" s="3339">
        <v>286</v>
      </c>
      <c r="G2598" s="3340">
        <v>42095</v>
      </c>
      <c r="H2598" s="3340">
        <v>42141</v>
      </c>
      <c r="I2598" s="3340">
        <v>42155</v>
      </c>
      <c r="J2598" s="3324"/>
    </row>
    <row r="2599" spans="1:12" s="3327" customFormat="1" ht="13.5" customHeight="1">
      <c r="A2599" s="3354"/>
      <c r="B2599" s="3336" t="s">
        <v>4779</v>
      </c>
      <c r="C2599" s="3336" t="s">
        <v>3454</v>
      </c>
      <c r="D2599" s="3336" t="s">
        <v>4908</v>
      </c>
      <c r="E2599" s="3339">
        <v>134.19999999999999</v>
      </c>
      <c r="F2599" s="3339">
        <v>300</v>
      </c>
      <c r="G2599" s="3340">
        <v>42142</v>
      </c>
      <c r="H2599" s="3340">
        <v>42459</v>
      </c>
      <c r="I2599" s="3340">
        <v>42460</v>
      </c>
      <c r="J2599" s="3324"/>
    </row>
    <row r="2600" spans="1:12" s="3327" customFormat="1" ht="13.5" customHeight="1">
      <c r="A2600" s="3354"/>
      <c r="B2600" s="3336" t="s">
        <v>4779</v>
      </c>
      <c r="C2600" s="3336" t="s">
        <v>4914</v>
      </c>
      <c r="D2600" s="3336" t="s">
        <v>4908</v>
      </c>
      <c r="E2600" s="3339">
        <v>134.19999999999999</v>
      </c>
      <c r="F2600" s="3339">
        <v>300</v>
      </c>
      <c r="G2600" s="3340">
        <v>42461</v>
      </c>
      <c r="H2600" s="3340">
        <v>42743</v>
      </c>
      <c r="I2600" s="3340">
        <v>42825</v>
      </c>
      <c r="J2600" s="3324"/>
    </row>
    <row r="2601" spans="1:12" s="3327" customFormat="1" ht="13.5" customHeight="1">
      <c r="A2601" s="3354"/>
      <c r="B2601" s="3336" t="s">
        <v>4779</v>
      </c>
      <c r="C2601" s="3336" t="s">
        <v>4914</v>
      </c>
      <c r="D2601" s="3336" t="s">
        <v>4907</v>
      </c>
      <c r="E2601" s="3339">
        <v>134.19999999999999</v>
      </c>
      <c r="F2601" s="3339">
        <v>300</v>
      </c>
      <c r="G2601" s="3340">
        <v>42744</v>
      </c>
      <c r="H2601" s="3340">
        <v>42813</v>
      </c>
      <c r="I2601" s="3340">
        <v>42825</v>
      </c>
      <c r="J2601" s="3324"/>
    </row>
    <row r="2602" spans="1:12" s="3327" customFormat="1" ht="13.5" customHeight="1">
      <c r="A2602" s="3354"/>
      <c r="B2602" s="3336" t="s">
        <v>4779</v>
      </c>
      <c r="C2602" s="3336" t="s">
        <v>4915</v>
      </c>
      <c r="D2602" s="3336" t="s">
        <v>4907</v>
      </c>
      <c r="E2602" s="3339">
        <v>134.19999999999999</v>
      </c>
      <c r="F2602" s="3339">
        <v>330</v>
      </c>
      <c r="G2602" s="3340">
        <v>42814</v>
      </c>
      <c r="H2602" s="3340">
        <v>42824</v>
      </c>
      <c r="I2602" s="3340">
        <v>42825</v>
      </c>
      <c r="J2602" s="3324"/>
    </row>
    <row r="2603" spans="1:12" s="3327" customFormat="1" ht="13.5" customHeight="1">
      <c r="A2603" s="3354" t="s">
        <v>4784</v>
      </c>
      <c r="B2603" s="3331" t="s">
        <v>4779</v>
      </c>
      <c r="C2603" s="3331" t="s">
        <v>4915</v>
      </c>
      <c r="D2603" s="3331" t="s">
        <v>4907</v>
      </c>
      <c r="E2603" s="3332">
        <v>134.19999999999999</v>
      </c>
      <c r="F2603" s="3332">
        <v>330</v>
      </c>
      <c r="G2603" s="3333">
        <v>42826</v>
      </c>
      <c r="H2603" s="3333">
        <v>43130</v>
      </c>
      <c r="I2603" s="3333">
        <v>43190</v>
      </c>
      <c r="J2603" s="3324"/>
      <c r="K2603" s="3334">
        <f t="shared" ref="K2603" si="455">E2603</f>
        <v>134.19999999999999</v>
      </c>
      <c r="L2603" s="3334">
        <f t="shared" ref="L2603" si="456">F2603/30</f>
        <v>11</v>
      </c>
    </row>
    <row r="2604" spans="1:12" s="3327" customFormat="1" ht="13.5" customHeight="1">
      <c r="A2604" s="3355"/>
      <c r="B2604" s="3336" t="s">
        <v>4779</v>
      </c>
      <c r="C2604" s="3336" t="s">
        <v>4916</v>
      </c>
      <c r="D2604" s="3336" t="s">
        <v>4917</v>
      </c>
      <c r="E2604" s="3339">
        <v>151.80000000000001</v>
      </c>
      <c r="F2604" s="3339">
        <v>300</v>
      </c>
      <c r="G2604" s="3340">
        <v>40983</v>
      </c>
      <c r="H2604" s="3340">
        <v>41363</v>
      </c>
      <c r="I2604" s="3340">
        <v>41364</v>
      </c>
      <c r="J2604" s="3336"/>
    </row>
    <row r="2605" spans="1:12" s="3327" customFormat="1" ht="13.5" customHeight="1">
      <c r="A2605" s="3409"/>
      <c r="B2605" s="3324" t="s">
        <v>4779</v>
      </c>
      <c r="C2605" s="3324" t="s">
        <v>4916</v>
      </c>
      <c r="D2605" s="3324" t="s">
        <v>4918</v>
      </c>
      <c r="E2605" s="3325">
        <v>151.80000000000001</v>
      </c>
      <c r="F2605" s="3325">
        <v>310</v>
      </c>
      <c r="G2605" s="3326">
        <v>41730</v>
      </c>
      <c r="H2605" s="3326">
        <v>41789</v>
      </c>
      <c r="I2605" s="3326">
        <v>42094</v>
      </c>
      <c r="J2605" s="3324"/>
    </row>
    <row r="2606" spans="1:12" s="3327" customFormat="1" ht="13.5" customHeight="1">
      <c r="A2606" s="3354"/>
      <c r="B2606" s="3324" t="s">
        <v>4779</v>
      </c>
      <c r="C2606" s="3324" t="s">
        <v>4919</v>
      </c>
      <c r="D2606" s="3324" t="s">
        <v>4918</v>
      </c>
      <c r="E2606" s="3325">
        <v>151.80000000000001</v>
      </c>
      <c r="F2606" s="3325">
        <v>310</v>
      </c>
      <c r="G2606" s="3326">
        <v>41791</v>
      </c>
      <c r="H2606" s="3326">
        <v>42093</v>
      </c>
      <c r="I2606" s="3326">
        <v>42094</v>
      </c>
      <c r="J2606" s="3324"/>
    </row>
    <row r="2607" spans="1:12" s="3327" customFormat="1" ht="13.5" customHeight="1">
      <c r="A2607" s="3354"/>
      <c r="B2607" s="3336" t="s">
        <v>4779</v>
      </c>
      <c r="C2607" s="3336" t="s">
        <v>4919</v>
      </c>
      <c r="D2607" s="3336" t="s">
        <v>4918</v>
      </c>
      <c r="E2607" s="3339">
        <v>151.80000000000001</v>
      </c>
      <c r="F2607" s="3339">
        <v>316</v>
      </c>
      <c r="G2607" s="3340">
        <v>42095</v>
      </c>
      <c r="H2607" s="3340">
        <v>42141</v>
      </c>
      <c r="I2607" s="3340">
        <v>42155</v>
      </c>
      <c r="J2607" s="3324"/>
    </row>
    <row r="2608" spans="1:12" s="3327" customFormat="1" ht="13.5" customHeight="1">
      <c r="A2608" s="3354"/>
      <c r="B2608" s="3336" t="s">
        <v>4779</v>
      </c>
      <c r="C2608" s="3336" t="s">
        <v>3178</v>
      </c>
      <c r="D2608" s="3336" t="s">
        <v>4912</v>
      </c>
      <c r="E2608" s="3339">
        <v>73.099999999999994</v>
      </c>
      <c r="F2608" s="3339">
        <v>330</v>
      </c>
      <c r="G2608" s="3340">
        <v>42142</v>
      </c>
      <c r="H2608" s="3340">
        <v>42459</v>
      </c>
      <c r="I2608" s="3340">
        <v>42460</v>
      </c>
      <c r="J2608" s="3324"/>
    </row>
    <row r="2609" spans="1:12" s="3327" customFormat="1" ht="13.5" customHeight="1">
      <c r="A2609" s="3354"/>
      <c r="B2609" s="3336" t="s">
        <v>4779</v>
      </c>
      <c r="C2609" s="3336" t="s">
        <v>3178</v>
      </c>
      <c r="D2609" s="3336" t="s">
        <v>4912</v>
      </c>
      <c r="E2609" s="3339">
        <v>73.099999999999994</v>
      </c>
      <c r="F2609" s="3339">
        <v>330</v>
      </c>
      <c r="G2609" s="3340">
        <v>42461</v>
      </c>
      <c r="H2609" s="3340">
        <v>42824</v>
      </c>
      <c r="I2609" s="3340">
        <v>42825</v>
      </c>
      <c r="J2609" s="3324"/>
    </row>
    <row r="2610" spans="1:12" s="3327" customFormat="1" ht="13.5" customHeight="1">
      <c r="A2610" s="3354"/>
      <c r="B2610" s="3331" t="s">
        <v>4779</v>
      </c>
      <c r="C2610" s="3331" t="s">
        <v>3178</v>
      </c>
      <c r="D2610" s="3331" t="s">
        <v>4918</v>
      </c>
      <c r="E2610" s="3332">
        <v>73.099999999999994</v>
      </c>
      <c r="F2610" s="3332">
        <v>330</v>
      </c>
      <c r="G2610" s="3333">
        <v>42826</v>
      </c>
      <c r="H2610" s="3333">
        <v>42898</v>
      </c>
      <c r="I2610" s="3333">
        <v>43190</v>
      </c>
      <c r="J2610" s="3324"/>
      <c r="K2610" s="3334">
        <f t="shared" ref="K2610:K2612" si="457">E2610</f>
        <v>73.099999999999994</v>
      </c>
      <c r="L2610" s="3334">
        <f t="shared" ref="L2610:L2612" si="458">F2610/30</f>
        <v>11</v>
      </c>
    </row>
    <row r="2611" spans="1:12" s="3327" customFormat="1" ht="13.5" customHeight="1">
      <c r="A2611" s="3354" t="s">
        <v>4784</v>
      </c>
      <c r="B2611" s="3331" t="s">
        <v>4779</v>
      </c>
      <c r="C2611" s="3331" t="s">
        <v>4149</v>
      </c>
      <c r="D2611" s="3331" t="s">
        <v>4918</v>
      </c>
      <c r="E2611" s="3332">
        <v>73.099999999999994</v>
      </c>
      <c r="F2611" s="3332">
        <v>370</v>
      </c>
      <c r="G2611" s="3333">
        <v>42899</v>
      </c>
      <c r="H2611" s="3333">
        <v>43130</v>
      </c>
      <c r="I2611" s="3333">
        <v>43190</v>
      </c>
      <c r="J2611" s="3324"/>
      <c r="K2611" s="3334">
        <f t="shared" si="457"/>
        <v>73.099999999999994</v>
      </c>
      <c r="L2611" s="3334">
        <f t="shared" si="458"/>
        <v>12.333333333333334</v>
      </c>
    </row>
    <row r="2612" spans="1:12" s="3327" customFormat="1" ht="13.5" customHeight="1">
      <c r="A2612" s="3354"/>
      <c r="B2612" s="3336" t="s">
        <v>4779</v>
      </c>
      <c r="C2612" s="3336" t="s">
        <v>3596</v>
      </c>
      <c r="D2612" s="3336" t="s">
        <v>4920</v>
      </c>
      <c r="E2612" s="3339">
        <v>78.7</v>
      </c>
      <c r="F2612" s="3339">
        <v>330</v>
      </c>
      <c r="G2612" s="3340">
        <v>42142</v>
      </c>
      <c r="H2612" s="3340">
        <v>42459</v>
      </c>
      <c r="I2612" s="3340">
        <v>42460</v>
      </c>
      <c r="J2612" s="3324"/>
      <c r="K2612" s="3334"/>
      <c r="L2612" s="3334"/>
    </row>
    <row r="2613" spans="1:12" s="3327" customFormat="1" ht="13.5" customHeight="1">
      <c r="A2613" s="3411"/>
      <c r="B2613" s="3336" t="s">
        <v>4779</v>
      </c>
      <c r="C2613" s="3336" t="s">
        <v>3144</v>
      </c>
      <c r="D2613" s="3336" t="s">
        <v>4920</v>
      </c>
      <c r="E2613" s="3339">
        <v>78.69</v>
      </c>
      <c r="F2613" s="3339">
        <v>310</v>
      </c>
      <c r="G2613" s="3340">
        <v>42461</v>
      </c>
      <c r="H2613" s="3340">
        <v>42824</v>
      </c>
      <c r="I2613" s="3340">
        <v>42825</v>
      </c>
      <c r="J2613" s="3324"/>
    </row>
    <row r="2614" spans="1:12" s="3327" customFormat="1" ht="13.5" customHeight="1">
      <c r="A2614" s="3411"/>
      <c r="B2614" s="3331" t="s">
        <v>4779</v>
      </c>
      <c r="C2614" s="3331" t="s">
        <v>3144</v>
      </c>
      <c r="D2614" s="3331" t="s">
        <v>4921</v>
      </c>
      <c r="E2614" s="3332">
        <v>78.69</v>
      </c>
      <c r="F2614" s="3332">
        <v>279</v>
      </c>
      <c r="G2614" s="3333">
        <v>42826</v>
      </c>
      <c r="H2614" s="3333">
        <v>42885</v>
      </c>
      <c r="I2614" s="3333">
        <v>42886</v>
      </c>
      <c r="J2614" s="3324"/>
      <c r="K2614" s="3334">
        <f t="shared" ref="K2614:K2616" si="459">E2614</f>
        <v>78.69</v>
      </c>
      <c r="L2614" s="3334">
        <f t="shared" ref="L2614:L2616" si="460">F2614/30</f>
        <v>9.3000000000000007</v>
      </c>
    </row>
    <row r="2615" spans="1:12" s="3327" customFormat="1" ht="13.5" customHeight="1">
      <c r="A2615" s="3411"/>
      <c r="B2615" s="3331" t="s">
        <v>4779</v>
      </c>
      <c r="C2615" s="3331" t="s">
        <v>4922</v>
      </c>
      <c r="D2615" s="3331" t="s">
        <v>4921</v>
      </c>
      <c r="E2615" s="3332">
        <v>78.69</v>
      </c>
      <c r="F2615" s="3332">
        <v>330</v>
      </c>
      <c r="G2615" s="3333">
        <v>42887</v>
      </c>
      <c r="H2615" s="3333">
        <v>43069</v>
      </c>
      <c r="I2615" s="3333">
        <v>43190</v>
      </c>
      <c r="J2615" s="3324"/>
      <c r="K2615" s="3334">
        <f t="shared" si="459"/>
        <v>78.69</v>
      </c>
      <c r="L2615" s="3334">
        <f t="shared" si="460"/>
        <v>11</v>
      </c>
    </row>
    <row r="2616" spans="1:12" s="3327" customFormat="1" ht="13.5" customHeight="1">
      <c r="A2616" s="3411" t="s">
        <v>4923</v>
      </c>
      <c r="B2616" s="3331" t="s">
        <v>4779</v>
      </c>
      <c r="C2616" s="3331" t="s">
        <v>4924</v>
      </c>
      <c r="D2616" s="3331" t="s">
        <v>4921</v>
      </c>
      <c r="E2616" s="3332">
        <v>78.69</v>
      </c>
      <c r="F2616" s="3332">
        <v>330</v>
      </c>
      <c r="G2616" s="3333">
        <v>43070</v>
      </c>
      <c r="H2616" s="3333">
        <v>43130</v>
      </c>
      <c r="I2616" s="3333">
        <v>43190</v>
      </c>
      <c r="J2616" s="3324"/>
      <c r="K2616" s="3334">
        <f t="shared" si="459"/>
        <v>78.69</v>
      </c>
      <c r="L2616" s="3334">
        <f t="shared" si="460"/>
        <v>11</v>
      </c>
    </row>
    <row r="2617" spans="1:12" s="3327" customFormat="1" ht="13.5" customHeight="1">
      <c r="A2617" s="3410"/>
      <c r="B2617" s="3336" t="s">
        <v>4779</v>
      </c>
      <c r="C2617" s="3336" t="s">
        <v>4925</v>
      </c>
      <c r="D2617" s="3336" t="s">
        <v>4926</v>
      </c>
      <c r="E2617" s="3339">
        <v>154.1</v>
      </c>
      <c r="F2617" s="3339">
        <v>270</v>
      </c>
      <c r="G2617" s="3340">
        <v>41365</v>
      </c>
      <c r="H2617" s="3340">
        <v>41728</v>
      </c>
      <c r="I2617" s="3340">
        <v>41729</v>
      </c>
      <c r="J2617" s="3336"/>
    </row>
    <row r="2618" spans="1:12" s="3327" customFormat="1" ht="13.5" customHeight="1">
      <c r="A2618" s="3354"/>
      <c r="B2618" s="3324" t="s">
        <v>4779</v>
      </c>
      <c r="C2618" s="3324" t="s">
        <v>4927</v>
      </c>
      <c r="D2618" s="3324" t="s">
        <v>4926</v>
      </c>
      <c r="E2618" s="3325">
        <v>154.1</v>
      </c>
      <c r="F2618" s="3325">
        <v>275</v>
      </c>
      <c r="G2618" s="3326">
        <v>41730</v>
      </c>
      <c r="H2618" s="3326">
        <v>42093</v>
      </c>
      <c r="I2618" s="3326">
        <v>42094</v>
      </c>
      <c r="J2618" s="3324"/>
    </row>
    <row r="2619" spans="1:12" s="3327" customFormat="1" ht="13.5" customHeight="1">
      <c r="A2619" s="3354"/>
      <c r="B2619" s="3336" t="s">
        <v>4779</v>
      </c>
      <c r="C2619" s="3336" t="s">
        <v>4927</v>
      </c>
      <c r="D2619" s="3336" t="s">
        <v>4926</v>
      </c>
      <c r="E2619" s="3339">
        <v>154.1</v>
      </c>
      <c r="F2619" s="3339">
        <v>281</v>
      </c>
      <c r="G2619" s="3340">
        <v>42095</v>
      </c>
      <c r="H2619" s="3340">
        <v>42141</v>
      </c>
      <c r="I2619" s="3340">
        <v>42155</v>
      </c>
      <c r="J2619" s="3324"/>
    </row>
    <row r="2620" spans="1:12" s="3327" customFormat="1" ht="13.5" customHeight="1">
      <c r="A2620" s="3354"/>
      <c r="B2620" s="3336" t="s">
        <v>4779</v>
      </c>
      <c r="C2620" s="3336" t="s">
        <v>4794</v>
      </c>
      <c r="D2620" s="3336" t="s">
        <v>4928</v>
      </c>
      <c r="E2620" s="3339">
        <v>301.43</v>
      </c>
      <c r="F2620" s="3339">
        <v>281</v>
      </c>
      <c r="G2620" s="3340">
        <v>42142</v>
      </c>
      <c r="H2620" s="3340">
        <v>42459</v>
      </c>
      <c r="I2620" s="3340">
        <v>42460</v>
      </c>
      <c r="J2620" s="3324"/>
    </row>
    <row r="2621" spans="1:12" s="3327" customFormat="1" ht="13.5" customHeight="1">
      <c r="A2621" s="3354"/>
      <c r="B2621" s="3336" t="s">
        <v>4779</v>
      </c>
      <c r="C2621" s="3336" t="s">
        <v>4794</v>
      </c>
      <c r="D2621" s="3336" t="s">
        <v>4928</v>
      </c>
      <c r="E2621" s="3338">
        <v>304.89999999999998</v>
      </c>
      <c r="F2621" s="3339">
        <v>280</v>
      </c>
      <c r="G2621" s="3340">
        <v>42461</v>
      </c>
      <c r="H2621" s="3340">
        <v>42824</v>
      </c>
      <c r="I2621" s="3340">
        <v>42825</v>
      </c>
      <c r="J2621" s="3324"/>
    </row>
    <row r="2622" spans="1:12" s="3327" customFormat="1" ht="13.5" customHeight="1">
      <c r="A2622" s="3355"/>
      <c r="B2622" s="3331" t="s">
        <v>4779</v>
      </c>
      <c r="C2622" s="3331" t="s">
        <v>4794</v>
      </c>
      <c r="D2622" s="3331" t="s">
        <v>4928</v>
      </c>
      <c r="E2622" s="3332">
        <v>304.89999999999998</v>
      </c>
      <c r="F2622" s="3332">
        <v>300</v>
      </c>
      <c r="G2622" s="3333">
        <v>42826</v>
      </c>
      <c r="H2622" s="3333">
        <v>42898</v>
      </c>
      <c r="I2622" s="3333">
        <v>43190</v>
      </c>
      <c r="J2622" s="3324"/>
      <c r="K2622" s="3334">
        <f t="shared" ref="K2622" si="461">E2622</f>
        <v>304.89999999999998</v>
      </c>
      <c r="L2622" s="3334">
        <f t="shared" ref="L2622" si="462">F2622/30</f>
        <v>10</v>
      </c>
    </row>
    <row r="2623" spans="1:12" s="3327" customFormat="1" ht="13.5" customHeight="1">
      <c r="A2623" s="3354"/>
      <c r="B2623" s="3324" t="s">
        <v>4779</v>
      </c>
      <c r="C2623" s="3324" t="s">
        <v>4929</v>
      </c>
      <c r="D2623" s="3324" t="s">
        <v>4930</v>
      </c>
      <c r="E2623" s="3325">
        <v>235</v>
      </c>
      <c r="F2623" s="3325">
        <v>305</v>
      </c>
      <c r="G2623" s="3326">
        <v>41000</v>
      </c>
      <c r="H2623" s="3326">
        <v>41363</v>
      </c>
      <c r="I2623" s="3326">
        <v>41364</v>
      </c>
      <c r="J2623" s="3324"/>
    </row>
    <row r="2624" spans="1:12" s="3327" customFormat="1" ht="13.5" customHeight="1">
      <c r="A2624" s="3409"/>
      <c r="B2624" s="3324" t="s">
        <v>4779</v>
      </c>
      <c r="C2624" s="3324" t="s">
        <v>4586</v>
      </c>
      <c r="D2624" s="3324" t="s">
        <v>4931</v>
      </c>
      <c r="E2624" s="3325">
        <v>235</v>
      </c>
      <c r="F2624" s="3325">
        <v>325</v>
      </c>
      <c r="G2624" s="3326">
        <v>41730</v>
      </c>
      <c r="H2624" s="3326">
        <v>41735</v>
      </c>
      <c r="I2624" s="3326">
        <v>42094</v>
      </c>
      <c r="J2624" s="3324"/>
    </row>
    <row r="2625" spans="1:12" s="3327" customFormat="1" ht="12.75" customHeight="1">
      <c r="A2625" s="3354"/>
      <c r="B2625" s="3324" t="s">
        <v>4779</v>
      </c>
      <c r="C2625" s="3324" t="s">
        <v>4794</v>
      </c>
      <c r="D2625" s="3324" t="s">
        <v>4931</v>
      </c>
      <c r="E2625" s="3325">
        <v>235</v>
      </c>
      <c r="F2625" s="3325">
        <v>325</v>
      </c>
      <c r="G2625" s="3326">
        <v>41736</v>
      </c>
      <c r="H2625" s="3326">
        <v>42093</v>
      </c>
      <c r="I2625" s="3326">
        <v>42094</v>
      </c>
      <c r="J2625" s="3324"/>
    </row>
    <row r="2626" spans="1:12" s="3327" customFormat="1" ht="12.75" customHeight="1">
      <c r="A2626" s="3354"/>
      <c r="B2626" s="3336" t="s">
        <v>4779</v>
      </c>
      <c r="C2626" s="3336" t="s">
        <v>4794</v>
      </c>
      <c r="D2626" s="3336" t="s">
        <v>4931</v>
      </c>
      <c r="E2626" s="3339">
        <v>235</v>
      </c>
      <c r="F2626" s="3339">
        <v>331</v>
      </c>
      <c r="G2626" s="3340">
        <v>42095</v>
      </c>
      <c r="H2626" s="3340">
        <v>42141</v>
      </c>
      <c r="I2626" s="3340">
        <v>42155</v>
      </c>
      <c r="J2626" s="3324"/>
    </row>
    <row r="2627" spans="1:12" s="3327" customFormat="1" ht="12.75" customHeight="1">
      <c r="A2627" s="3354"/>
      <c r="B2627" s="3336" t="s">
        <v>4779</v>
      </c>
      <c r="C2627" s="3336" t="s">
        <v>3164</v>
      </c>
      <c r="D2627" s="3336" t="s">
        <v>4932</v>
      </c>
      <c r="E2627" s="3339">
        <v>68.22</v>
      </c>
      <c r="F2627" s="3339">
        <v>330</v>
      </c>
      <c r="G2627" s="3340">
        <v>42142</v>
      </c>
      <c r="H2627" s="3340">
        <v>42459</v>
      </c>
      <c r="I2627" s="3340">
        <v>42460</v>
      </c>
      <c r="J2627" s="3324"/>
    </row>
    <row r="2628" spans="1:12" s="3327" customFormat="1" ht="11.25">
      <c r="A2628" s="3354"/>
      <c r="B2628" s="3336" t="s">
        <v>4779</v>
      </c>
      <c r="C2628" s="3336" t="s">
        <v>3596</v>
      </c>
      <c r="D2628" s="3336" t="s">
        <v>4932</v>
      </c>
      <c r="E2628" s="3339">
        <v>68.22</v>
      </c>
      <c r="F2628" s="3339">
        <v>340</v>
      </c>
      <c r="G2628" s="3340">
        <v>42461</v>
      </c>
      <c r="H2628" s="3340">
        <v>42824</v>
      </c>
      <c r="I2628" s="3340">
        <v>42825</v>
      </c>
      <c r="J2628" s="3324"/>
    </row>
    <row r="2629" spans="1:12" s="3327" customFormat="1" ht="12.75" customHeight="1">
      <c r="A2629" s="3355"/>
      <c r="B2629" s="3331" t="s">
        <v>4779</v>
      </c>
      <c r="C2629" s="3331" t="s">
        <v>3596</v>
      </c>
      <c r="D2629" s="3331" t="s">
        <v>4931</v>
      </c>
      <c r="E2629" s="3332">
        <v>68.22</v>
      </c>
      <c r="F2629" s="3332">
        <v>340</v>
      </c>
      <c r="G2629" s="3333">
        <v>42826</v>
      </c>
      <c r="H2629" s="3333">
        <v>42898</v>
      </c>
      <c r="I2629" s="3333">
        <v>43190</v>
      </c>
      <c r="J2629" s="3324"/>
      <c r="K2629" s="3334">
        <f t="shared" ref="K2629" si="463">E2629</f>
        <v>68.22</v>
      </c>
      <c r="L2629" s="3334">
        <f t="shared" ref="L2629" si="464">F2629/30</f>
        <v>11.333333333333334</v>
      </c>
    </row>
    <row r="2630" spans="1:12" s="3327" customFormat="1" ht="12.75" customHeight="1">
      <c r="A2630" s="3354"/>
      <c r="B2630" s="3336" t="s">
        <v>4779</v>
      </c>
      <c r="C2630" s="3336" t="s">
        <v>3154</v>
      </c>
      <c r="D2630" s="3336" t="s">
        <v>4933</v>
      </c>
      <c r="E2630" s="3339">
        <v>146.52000000000001</v>
      </c>
      <c r="F2630" s="3339">
        <v>330</v>
      </c>
      <c r="G2630" s="3340">
        <v>42142</v>
      </c>
      <c r="H2630" s="3340">
        <v>42459</v>
      </c>
      <c r="I2630" s="3340">
        <v>42460</v>
      </c>
      <c r="J2630" s="3324"/>
    </row>
    <row r="2631" spans="1:12" s="3327" customFormat="1" ht="12.75" customHeight="1">
      <c r="A2631" s="3354"/>
      <c r="B2631" s="3336" t="s">
        <v>4779</v>
      </c>
      <c r="C2631" s="3336" t="s">
        <v>3154</v>
      </c>
      <c r="D2631" s="3336" t="s">
        <v>4933</v>
      </c>
      <c r="E2631" s="3339">
        <v>146.52000000000001</v>
      </c>
      <c r="F2631" s="3339">
        <v>340</v>
      </c>
      <c r="G2631" s="3340">
        <v>42461</v>
      </c>
      <c r="H2631" s="3340">
        <v>42824</v>
      </c>
      <c r="I2631" s="3340">
        <v>42825</v>
      </c>
      <c r="J2631" s="3324"/>
    </row>
    <row r="2632" spans="1:12" s="3327" customFormat="1" ht="12.75" customHeight="1">
      <c r="A2632" s="3354"/>
      <c r="B2632" s="3331" t="s">
        <v>4779</v>
      </c>
      <c r="C2632" s="3331" t="s">
        <v>3154</v>
      </c>
      <c r="D2632" s="3331" t="s">
        <v>4911</v>
      </c>
      <c r="E2632" s="3332">
        <v>146.52000000000001</v>
      </c>
      <c r="F2632" s="3332">
        <v>340</v>
      </c>
      <c r="G2632" s="3333">
        <v>42826</v>
      </c>
      <c r="H2632" s="3333">
        <v>42885</v>
      </c>
      <c r="I2632" s="3333">
        <v>43190</v>
      </c>
      <c r="J2632" s="3324"/>
      <c r="K2632" s="3334">
        <f t="shared" ref="K2632:K2633" si="465">E2632</f>
        <v>146.52000000000001</v>
      </c>
      <c r="L2632" s="3334">
        <f t="shared" ref="L2632:L2633" si="466">F2632/30</f>
        <v>11.333333333333334</v>
      </c>
    </row>
    <row r="2633" spans="1:12" s="3327" customFormat="1" ht="12.75" customHeight="1">
      <c r="A2633" s="3354"/>
      <c r="B2633" s="3331" t="s">
        <v>4779</v>
      </c>
      <c r="C2633" s="3331" t="s">
        <v>3154</v>
      </c>
      <c r="D2633" s="3331" t="s">
        <v>4911</v>
      </c>
      <c r="E2633" s="3332">
        <v>146.52000000000001</v>
      </c>
      <c r="F2633" s="3332">
        <v>350</v>
      </c>
      <c r="G2633" s="3333">
        <v>42887</v>
      </c>
      <c r="H2633" s="3333">
        <v>42898</v>
      </c>
      <c r="I2633" s="3333">
        <v>43190</v>
      </c>
      <c r="J2633" s="3324"/>
      <c r="K2633" s="3334">
        <f t="shared" si="465"/>
        <v>146.52000000000001</v>
      </c>
      <c r="L2633" s="3334">
        <f t="shared" si="466"/>
        <v>11.666666666666666</v>
      </c>
    </row>
    <row r="2634" spans="1:12" s="3327" customFormat="1" ht="12.75" customHeight="1">
      <c r="A2634" s="3355"/>
      <c r="B2634" s="3336" t="s">
        <v>4779</v>
      </c>
      <c r="C2634" s="3336" t="s">
        <v>4934</v>
      </c>
      <c r="D2634" s="3336" t="s">
        <v>4935</v>
      </c>
      <c r="E2634" s="3339">
        <v>317.7</v>
      </c>
      <c r="F2634" s="3339">
        <v>310</v>
      </c>
      <c r="G2634" s="3340">
        <v>41000</v>
      </c>
      <c r="H2634" s="3340">
        <v>41363</v>
      </c>
      <c r="I2634" s="3340">
        <v>41364</v>
      </c>
      <c r="J2634" s="3336"/>
    </row>
    <row r="2635" spans="1:12" s="3327" customFormat="1" ht="12.75" customHeight="1">
      <c r="A2635" s="3354"/>
      <c r="B2635" s="3324" t="s">
        <v>4779</v>
      </c>
      <c r="C2635" s="3324" t="s">
        <v>4934</v>
      </c>
      <c r="D2635" s="3324" t="s">
        <v>4936</v>
      </c>
      <c r="E2635" s="3325">
        <v>317.7</v>
      </c>
      <c r="F2635" s="3325">
        <v>325</v>
      </c>
      <c r="G2635" s="3326">
        <v>41730</v>
      </c>
      <c r="H2635" s="3326">
        <v>42093</v>
      </c>
      <c r="I2635" s="3326">
        <v>42094</v>
      </c>
      <c r="J2635" s="3324"/>
    </row>
    <row r="2636" spans="1:12" s="3327" customFormat="1" ht="12.75" customHeight="1">
      <c r="A2636" s="3354"/>
      <c r="B2636" s="3336" t="s">
        <v>4779</v>
      </c>
      <c r="C2636" s="3336" t="s">
        <v>4934</v>
      </c>
      <c r="D2636" s="3336" t="s">
        <v>4936</v>
      </c>
      <c r="E2636" s="3339">
        <v>317.7</v>
      </c>
      <c r="F2636" s="3339">
        <v>331</v>
      </c>
      <c r="G2636" s="3340">
        <v>42095</v>
      </c>
      <c r="H2636" s="3340">
        <v>42141</v>
      </c>
      <c r="I2636" s="3340">
        <v>42155</v>
      </c>
      <c r="J2636" s="3324"/>
    </row>
    <row r="2637" spans="1:12" s="3327" customFormat="1" ht="12.75" customHeight="1">
      <c r="A2637" s="3354"/>
      <c r="B2637" s="3336" t="s">
        <v>4779</v>
      </c>
      <c r="C2637" s="3336" t="s">
        <v>4934</v>
      </c>
      <c r="D2637" s="3336" t="s">
        <v>4936</v>
      </c>
      <c r="E2637" s="3339">
        <v>350.46</v>
      </c>
      <c r="F2637" s="3339">
        <v>331</v>
      </c>
      <c r="G2637" s="3340">
        <v>42142</v>
      </c>
      <c r="H2637" s="3340">
        <v>42459</v>
      </c>
      <c r="I2637" s="3340">
        <v>42460</v>
      </c>
      <c r="J2637" s="3324"/>
    </row>
    <row r="2638" spans="1:12" s="3327" customFormat="1" ht="12.75" customHeight="1">
      <c r="A2638" s="3354"/>
      <c r="B2638" s="3336" t="s">
        <v>4779</v>
      </c>
      <c r="C2638" s="3336" t="s">
        <v>4934</v>
      </c>
      <c r="D2638" s="3336" t="s">
        <v>4936</v>
      </c>
      <c r="E2638" s="3339">
        <v>350.46</v>
      </c>
      <c r="F2638" s="3339">
        <v>341</v>
      </c>
      <c r="G2638" s="3340">
        <v>42461</v>
      </c>
      <c r="H2638" s="3340">
        <v>42824</v>
      </c>
      <c r="I2638" s="3340">
        <v>42825</v>
      </c>
      <c r="J2638" s="3324"/>
    </row>
    <row r="2639" spans="1:12" s="3327" customFormat="1" ht="12.75" customHeight="1">
      <c r="A2639" s="3354"/>
      <c r="B2639" s="3331" t="s">
        <v>4779</v>
      </c>
      <c r="C2639" s="3331" t="s">
        <v>4934</v>
      </c>
      <c r="D2639" s="3331" t="s">
        <v>4936</v>
      </c>
      <c r="E2639" s="3332">
        <v>350.46</v>
      </c>
      <c r="F2639" s="3332">
        <v>350</v>
      </c>
      <c r="G2639" s="3333">
        <v>42826</v>
      </c>
      <c r="H2639" s="3333">
        <v>42885</v>
      </c>
      <c r="I2639" s="3333">
        <v>42886</v>
      </c>
      <c r="J2639" s="3324"/>
      <c r="K2639" s="3334">
        <f t="shared" ref="K2639:K2651" si="467">E2639</f>
        <v>350.46</v>
      </c>
      <c r="L2639" s="3334">
        <f t="shared" ref="L2639:L2651" si="468">F2639/30</f>
        <v>11.666666666666666</v>
      </c>
    </row>
    <row r="2640" spans="1:12" s="3327" customFormat="1" ht="12.75" customHeight="1">
      <c r="A2640" s="3355"/>
      <c r="B2640" s="3331" t="s">
        <v>4779</v>
      </c>
      <c r="C2640" s="3331" t="s">
        <v>4934</v>
      </c>
      <c r="D2640" s="3331" t="s">
        <v>4936</v>
      </c>
      <c r="E2640" s="3332">
        <v>350.46</v>
      </c>
      <c r="F2640" s="3332">
        <v>350</v>
      </c>
      <c r="G2640" s="3333">
        <v>42887</v>
      </c>
      <c r="H2640" s="3333">
        <v>42898</v>
      </c>
      <c r="I2640" s="3333">
        <v>43190</v>
      </c>
      <c r="J2640" s="3324"/>
      <c r="K2640" s="3334">
        <f t="shared" si="467"/>
        <v>350.46</v>
      </c>
      <c r="L2640" s="3334">
        <f t="shared" si="468"/>
        <v>11.666666666666666</v>
      </c>
    </row>
    <row r="2641" spans="1:12" s="3327" customFormat="1" ht="12.75" customHeight="1">
      <c r="A2641" s="3355"/>
      <c r="B2641" s="3331" t="s">
        <v>4779</v>
      </c>
      <c r="C2641" s="3331" t="s">
        <v>4934</v>
      </c>
      <c r="D2641" s="3331"/>
      <c r="E2641" s="3332">
        <v>170.9</v>
      </c>
      <c r="F2641" s="3332">
        <v>370</v>
      </c>
      <c r="G2641" s="3341">
        <v>42899</v>
      </c>
      <c r="H2641" s="3341">
        <v>43103</v>
      </c>
      <c r="I2641" s="3341">
        <v>43190</v>
      </c>
      <c r="J2641" s="3324"/>
      <c r="K2641" s="3334">
        <f t="shared" si="467"/>
        <v>170.9</v>
      </c>
      <c r="L2641" s="3334">
        <f t="shared" si="468"/>
        <v>12.333333333333334</v>
      </c>
    </row>
    <row r="2642" spans="1:12" s="3327" customFormat="1" ht="12.75" customHeight="1">
      <c r="A2642" s="3355" t="s">
        <v>4784</v>
      </c>
      <c r="B2642" s="3331" t="s">
        <v>4779</v>
      </c>
      <c r="C2642" s="3331" t="s">
        <v>4937</v>
      </c>
      <c r="D2642" s="3331" t="s">
        <v>4938</v>
      </c>
      <c r="E2642" s="3332">
        <v>170.9</v>
      </c>
      <c r="F2642" s="3332">
        <v>370</v>
      </c>
      <c r="G2642" s="3333">
        <v>43104</v>
      </c>
      <c r="H2642" s="3333">
        <v>43130</v>
      </c>
      <c r="I2642" s="3333">
        <v>43190</v>
      </c>
      <c r="J2642" s="3324"/>
      <c r="K2642" s="3334">
        <f t="shared" si="467"/>
        <v>170.9</v>
      </c>
      <c r="L2642" s="3334">
        <f t="shared" si="468"/>
        <v>12.333333333333334</v>
      </c>
    </row>
    <row r="2643" spans="1:12" s="3327" customFormat="1" ht="12" customHeight="1">
      <c r="A2643" s="3355" t="s">
        <v>4784</v>
      </c>
      <c r="B2643" s="3331" t="s">
        <v>4779</v>
      </c>
      <c r="C2643" s="3331" t="s">
        <v>3596</v>
      </c>
      <c r="D2643" s="3331"/>
      <c r="E2643" s="3332">
        <v>84.64</v>
      </c>
      <c r="F2643" s="3332">
        <v>370</v>
      </c>
      <c r="G2643" s="3333">
        <v>42899</v>
      </c>
      <c r="H2643" s="3333">
        <v>43130</v>
      </c>
      <c r="I2643" s="3333">
        <v>43190</v>
      </c>
      <c r="J2643" s="3324"/>
      <c r="K2643" s="3334">
        <f t="shared" si="467"/>
        <v>84.64</v>
      </c>
      <c r="L2643" s="3334">
        <f t="shared" si="468"/>
        <v>12.333333333333334</v>
      </c>
    </row>
    <row r="2644" spans="1:12" s="3327" customFormat="1" ht="12.75" customHeight="1">
      <c r="A2644" s="3355" t="s">
        <v>4784</v>
      </c>
      <c r="B2644" s="3331" t="s">
        <v>4779</v>
      </c>
      <c r="C2644" s="3331" t="s">
        <v>4939</v>
      </c>
      <c r="D2644" s="3331"/>
      <c r="E2644" s="3332">
        <v>157.21</v>
      </c>
      <c r="F2644" s="3332">
        <v>370</v>
      </c>
      <c r="G2644" s="3333">
        <v>42899</v>
      </c>
      <c r="H2644" s="3333">
        <v>43130</v>
      </c>
      <c r="I2644" s="3333">
        <v>43190</v>
      </c>
      <c r="J2644" s="3324"/>
      <c r="K2644" s="3334">
        <f t="shared" si="467"/>
        <v>157.21</v>
      </c>
      <c r="L2644" s="3334">
        <f t="shared" si="468"/>
        <v>12.333333333333334</v>
      </c>
    </row>
    <row r="2645" spans="1:12" s="3327" customFormat="1" ht="12.75" customHeight="1">
      <c r="A2645" s="3355" t="s">
        <v>4784</v>
      </c>
      <c r="B2645" s="3331" t="s">
        <v>4779</v>
      </c>
      <c r="C2645" s="3331" t="s">
        <v>4142</v>
      </c>
      <c r="D2645" s="3331"/>
      <c r="E2645" s="3332">
        <v>157.85</v>
      </c>
      <c r="F2645" s="3332">
        <v>330</v>
      </c>
      <c r="G2645" s="3333">
        <v>42899</v>
      </c>
      <c r="H2645" s="3333">
        <v>43130</v>
      </c>
      <c r="I2645" s="3333">
        <v>43190</v>
      </c>
      <c r="J2645" s="3324"/>
      <c r="K2645" s="3334">
        <f t="shared" si="467"/>
        <v>157.85</v>
      </c>
      <c r="L2645" s="3334">
        <f t="shared" si="468"/>
        <v>11</v>
      </c>
    </row>
    <row r="2646" spans="1:12" s="3327" customFormat="1" ht="12.75" customHeight="1">
      <c r="A2646" s="3355" t="s">
        <v>4784</v>
      </c>
      <c r="B2646" s="3331" t="s">
        <v>4779</v>
      </c>
      <c r="C2646" s="3331" t="s">
        <v>4052</v>
      </c>
      <c r="D2646" s="3331"/>
      <c r="E2646" s="3332">
        <v>157.01</v>
      </c>
      <c r="F2646" s="3332">
        <v>370</v>
      </c>
      <c r="G2646" s="3333">
        <v>42899</v>
      </c>
      <c r="H2646" s="3333">
        <v>43130</v>
      </c>
      <c r="I2646" s="3333">
        <v>43190</v>
      </c>
      <c r="J2646" s="3324"/>
      <c r="K2646" s="3334">
        <f t="shared" si="467"/>
        <v>157.01</v>
      </c>
      <c r="L2646" s="3334">
        <f t="shared" si="468"/>
        <v>12.333333333333334</v>
      </c>
    </row>
    <row r="2647" spans="1:12" s="3327" customFormat="1" ht="12.75" customHeight="1">
      <c r="A2647" s="3355" t="s">
        <v>4784</v>
      </c>
      <c r="B2647" s="3331" t="s">
        <v>4779</v>
      </c>
      <c r="C2647" s="3331" t="s">
        <v>3431</v>
      </c>
      <c r="D2647" s="3331"/>
      <c r="E2647" s="3332">
        <v>238.98</v>
      </c>
      <c r="F2647" s="3332">
        <v>300</v>
      </c>
      <c r="G2647" s="3333">
        <v>42899</v>
      </c>
      <c r="H2647" s="3333">
        <v>43130</v>
      </c>
      <c r="I2647" s="3333">
        <v>43190</v>
      </c>
      <c r="J2647" s="3324"/>
      <c r="K2647" s="3334">
        <f t="shared" si="467"/>
        <v>238.98</v>
      </c>
      <c r="L2647" s="3334">
        <f t="shared" si="468"/>
        <v>10</v>
      </c>
    </row>
    <row r="2648" spans="1:12" s="3327" customFormat="1" ht="12.75" customHeight="1">
      <c r="A2648" s="3355"/>
      <c r="B2648" s="3331" t="s">
        <v>4779</v>
      </c>
      <c r="C2648" s="3331" t="s">
        <v>4083</v>
      </c>
      <c r="D2648" s="3331"/>
      <c r="E2648" s="3332">
        <v>157.21</v>
      </c>
      <c r="F2648" s="3332">
        <v>370</v>
      </c>
      <c r="G2648" s="3333">
        <v>42899</v>
      </c>
      <c r="H2648" s="3333">
        <v>43008</v>
      </c>
      <c r="I2648" s="3333">
        <v>43190</v>
      </c>
      <c r="J2648" s="3324"/>
      <c r="K2648" s="3334">
        <f t="shared" si="467"/>
        <v>157.21</v>
      </c>
      <c r="L2648" s="3334">
        <f t="shared" si="468"/>
        <v>12.333333333333334</v>
      </c>
    </row>
    <row r="2649" spans="1:12" s="3327" customFormat="1" ht="12.75" customHeight="1">
      <c r="A2649" s="3355" t="s">
        <v>4784</v>
      </c>
      <c r="B2649" s="3331" t="s">
        <v>4779</v>
      </c>
      <c r="C2649" s="3331" t="s">
        <v>4083</v>
      </c>
      <c r="D2649" s="3331"/>
      <c r="E2649" s="3332">
        <v>157.21</v>
      </c>
      <c r="F2649" s="3332">
        <v>370</v>
      </c>
      <c r="G2649" s="3333">
        <v>43009</v>
      </c>
      <c r="H2649" s="3333">
        <v>43130</v>
      </c>
      <c r="I2649" s="3333">
        <v>43190</v>
      </c>
      <c r="J2649" s="3324"/>
      <c r="K2649" s="3334">
        <f t="shared" si="467"/>
        <v>157.21</v>
      </c>
      <c r="L2649" s="3334">
        <f t="shared" si="468"/>
        <v>12.333333333333334</v>
      </c>
    </row>
    <row r="2650" spans="1:12" s="3327" customFormat="1" ht="12.75" customHeight="1">
      <c r="A2650" s="3355" t="s">
        <v>4784</v>
      </c>
      <c r="B2650" s="3331" t="s">
        <v>4779</v>
      </c>
      <c r="C2650" s="3331" t="s">
        <v>4052</v>
      </c>
      <c r="D2650" s="3331"/>
      <c r="E2650" s="3332">
        <v>177.01</v>
      </c>
      <c r="F2650" s="3332">
        <v>370</v>
      </c>
      <c r="G2650" s="3333">
        <v>42899</v>
      </c>
      <c r="H2650" s="3333">
        <v>43130</v>
      </c>
      <c r="I2650" s="3333">
        <v>43190</v>
      </c>
      <c r="J2650" s="3324"/>
      <c r="K2650" s="3334">
        <f t="shared" si="467"/>
        <v>177.01</v>
      </c>
      <c r="L2650" s="3334">
        <f t="shared" si="468"/>
        <v>12.333333333333334</v>
      </c>
    </row>
    <row r="2651" spans="1:12" s="3327" customFormat="1" ht="12.75" customHeight="1">
      <c r="A2651" s="3355" t="s">
        <v>4784</v>
      </c>
      <c r="B2651" s="3331" t="s">
        <v>4779</v>
      </c>
      <c r="C2651" s="3331" t="s">
        <v>4794</v>
      </c>
      <c r="D2651" s="3331"/>
      <c r="E2651" s="3332">
        <v>175.1</v>
      </c>
      <c r="F2651" s="3332">
        <v>350</v>
      </c>
      <c r="G2651" s="3333">
        <v>42899</v>
      </c>
      <c r="H2651" s="3333">
        <v>43130</v>
      </c>
      <c r="I2651" s="3333">
        <v>43190</v>
      </c>
      <c r="J2651" s="3324"/>
      <c r="K2651" s="3334">
        <f t="shared" si="467"/>
        <v>175.1</v>
      </c>
      <c r="L2651" s="3334">
        <f t="shared" si="468"/>
        <v>11.666666666666666</v>
      </c>
    </row>
    <row r="2652" spans="1:12" s="3327" customFormat="1" ht="13.5" customHeight="1">
      <c r="A2652" s="3355"/>
      <c r="B2652" s="3336" t="s">
        <v>4779</v>
      </c>
      <c r="C2652" s="3336" t="s">
        <v>4939</v>
      </c>
      <c r="D2652" s="3336" t="s">
        <v>4940</v>
      </c>
      <c r="E2652" s="3339">
        <v>365.5</v>
      </c>
      <c r="F2652" s="3339">
        <v>330</v>
      </c>
      <c r="G2652" s="3340">
        <v>41000</v>
      </c>
      <c r="H2652" s="3340">
        <v>41363</v>
      </c>
      <c r="I2652" s="3340">
        <v>41364</v>
      </c>
      <c r="J2652" s="3336"/>
    </row>
    <row r="2653" spans="1:12" s="3327" customFormat="1" ht="13.5" customHeight="1">
      <c r="A2653" s="3354"/>
      <c r="B2653" s="3324" t="s">
        <v>4779</v>
      </c>
      <c r="C2653" s="3324" t="s">
        <v>4939</v>
      </c>
      <c r="D2653" s="3324" t="s">
        <v>4941</v>
      </c>
      <c r="E2653" s="3325">
        <v>365.5</v>
      </c>
      <c r="F2653" s="3325">
        <v>330</v>
      </c>
      <c r="G2653" s="3326">
        <v>41730</v>
      </c>
      <c r="H2653" s="3326">
        <v>42093</v>
      </c>
      <c r="I2653" s="3326">
        <v>42094</v>
      </c>
      <c r="J2653" s="3324"/>
    </row>
    <row r="2654" spans="1:12" s="3327" customFormat="1" ht="13.5" customHeight="1">
      <c r="A2654" s="3354"/>
      <c r="B2654" s="3336" t="s">
        <v>4779</v>
      </c>
      <c r="C2654" s="3336" t="s">
        <v>4939</v>
      </c>
      <c r="D2654" s="3336" t="s">
        <v>4941</v>
      </c>
      <c r="E2654" s="3339">
        <v>365.5</v>
      </c>
      <c r="F2654" s="3339">
        <v>336</v>
      </c>
      <c r="G2654" s="3340">
        <v>42095</v>
      </c>
      <c r="H2654" s="3340">
        <v>42154</v>
      </c>
      <c r="I2654" s="3340">
        <v>42155</v>
      </c>
      <c r="J2654" s="3324"/>
    </row>
    <row r="2655" spans="1:12" s="3327" customFormat="1" ht="13.5" customHeight="1">
      <c r="A2655" s="3354"/>
      <c r="B2655" s="3336" t="s">
        <v>4779</v>
      </c>
      <c r="C2655" s="3336" t="s">
        <v>4942</v>
      </c>
      <c r="D2655" s="3336" t="s">
        <v>4941</v>
      </c>
      <c r="E2655" s="3339">
        <v>365.5</v>
      </c>
      <c r="F2655" s="3339">
        <v>330</v>
      </c>
      <c r="G2655" s="3340">
        <v>42156</v>
      </c>
      <c r="H2655" s="3340">
        <v>42459</v>
      </c>
      <c r="I2655" s="3340">
        <v>42460</v>
      </c>
      <c r="J2655" s="3324"/>
    </row>
    <row r="2656" spans="1:12" s="3327" customFormat="1" ht="13.5" customHeight="1">
      <c r="A2656" s="3354"/>
      <c r="B2656" s="3336" t="s">
        <v>4779</v>
      </c>
      <c r="C2656" s="3336" t="s">
        <v>4942</v>
      </c>
      <c r="D2656" s="3336" t="s">
        <v>4941</v>
      </c>
      <c r="E2656" s="3338">
        <v>409.5</v>
      </c>
      <c r="F2656" s="3339">
        <v>336</v>
      </c>
      <c r="G2656" s="3340">
        <v>42461</v>
      </c>
      <c r="H2656" s="3340">
        <v>42824</v>
      </c>
      <c r="I2656" s="3340">
        <v>42825</v>
      </c>
      <c r="J2656" s="3324"/>
    </row>
    <row r="2657" spans="1:12" s="3327" customFormat="1" ht="13.5" customHeight="1">
      <c r="A2657" s="3354"/>
      <c r="B2657" s="3331" t="s">
        <v>4779</v>
      </c>
      <c r="C2657" s="3331" t="s">
        <v>4942</v>
      </c>
      <c r="D2657" s="3331" t="s">
        <v>4941</v>
      </c>
      <c r="E2657" s="3332">
        <v>409.5</v>
      </c>
      <c r="F2657" s="3332">
        <v>345</v>
      </c>
      <c r="G2657" s="3333">
        <v>42826</v>
      </c>
      <c r="H2657" s="3333">
        <v>42983</v>
      </c>
      <c r="I2657" s="3333">
        <v>43190</v>
      </c>
      <c r="J2657" s="3324"/>
      <c r="K2657" s="3334">
        <f t="shared" ref="K2657:K2658" si="469">E2657</f>
        <v>409.5</v>
      </c>
      <c r="L2657" s="3334">
        <f t="shared" ref="L2657:L2658" si="470">F2657/30</f>
        <v>11.5</v>
      </c>
    </row>
    <row r="2658" spans="1:12" s="3327" customFormat="1" ht="13.5" customHeight="1">
      <c r="A2658" s="3354" t="s">
        <v>4784</v>
      </c>
      <c r="B2658" s="3331" t="s">
        <v>4779</v>
      </c>
      <c r="C2658" s="3331" t="s">
        <v>4942</v>
      </c>
      <c r="D2658" s="3331" t="s">
        <v>4941</v>
      </c>
      <c r="E2658" s="3332">
        <v>409.5</v>
      </c>
      <c r="F2658" s="3332">
        <v>345</v>
      </c>
      <c r="G2658" s="3333">
        <v>42984</v>
      </c>
      <c r="H2658" s="3333">
        <v>43130</v>
      </c>
      <c r="I2658" s="3333">
        <v>43190</v>
      </c>
      <c r="J2658" s="3324"/>
      <c r="K2658" s="3334">
        <f t="shared" si="469"/>
        <v>409.5</v>
      </c>
      <c r="L2658" s="3334">
        <f t="shared" si="470"/>
        <v>11.5</v>
      </c>
    </row>
    <row r="2659" spans="1:12" s="3327" customFormat="1" ht="13.5" customHeight="1">
      <c r="A2659" s="3355"/>
      <c r="B2659" s="3336" t="s">
        <v>4779</v>
      </c>
      <c r="C2659" s="3336" t="s">
        <v>4943</v>
      </c>
      <c r="D2659" s="3336" t="s">
        <v>4944</v>
      </c>
      <c r="E2659" s="3339">
        <v>325.3</v>
      </c>
      <c r="F2659" s="3339">
        <v>330</v>
      </c>
      <c r="G2659" s="3340">
        <v>41000</v>
      </c>
      <c r="H2659" s="3340">
        <v>41251</v>
      </c>
      <c r="I2659" s="3340">
        <v>41364</v>
      </c>
      <c r="J2659" s="3336"/>
    </row>
    <row r="2660" spans="1:12" s="3327" customFormat="1" ht="13.5" customHeight="1">
      <c r="A2660" s="3410"/>
      <c r="B2660" s="3336" t="s">
        <v>4779</v>
      </c>
      <c r="C2660" s="3336" t="s">
        <v>4945</v>
      </c>
      <c r="D2660" s="3336" t="s">
        <v>4946</v>
      </c>
      <c r="E2660" s="3339">
        <v>325.3</v>
      </c>
      <c r="F2660" s="3339">
        <v>330</v>
      </c>
      <c r="G2660" s="3340">
        <v>41365</v>
      </c>
      <c r="H2660" s="3340">
        <v>41728</v>
      </c>
      <c r="I2660" s="3340">
        <v>41729</v>
      </c>
      <c r="J2660" s="3336"/>
    </row>
    <row r="2661" spans="1:12" s="3327" customFormat="1" ht="13.5" customHeight="1">
      <c r="A2661" s="3354"/>
      <c r="B2661" s="3324" t="s">
        <v>4779</v>
      </c>
      <c r="C2661" s="3403" t="s">
        <v>4945</v>
      </c>
      <c r="D2661" s="3324" t="s">
        <v>4946</v>
      </c>
      <c r="E2661" s="3325">
        <v>325.3</v>
      </c>
      <c r="F2661" s="3325">
        <v>330</v>
      </c>
      <c r="G2661" s="3326">
        <v>41730</v>
      </c>
      <c r="H2661" s="3326">
        <v>42093</v>
      </c>
      <c r="I2661" s="3326">
        <v>42094</v>
      </c>
      <c r="J2661" s="3324"/>
    </row>
    <row r="2662" spans="1:12" s="3327" customFormat="1" ht="13.5" customHeight="1">
      <c r="A2662" s="3354"/>
      <c r="B2662" s="3336" t="s">
        <v>4779</v>
      </c>
      <c r="C2662" s="3336" t="s">
        <v>4945</v>
      </c>
      <c r="D2662" s="3336" t="s">
        <v>4946</v>
      </c>
      <c r="E2662" s="3339">
        <v>325.3</v>
      </c>
      <c r="F2662" s="3339">
        <v>330</v>
      </c>
      <c r="G2662" s="3340">
        <v>42095</v>
      </c>
      <c r="H2662" s="3340">
        <v>42374</v>
      </c>
      <c r="I2662" s="3340">
        <v>42460</v>
      </c>
      <c r="J2662" s="3324"/>
    </row>
    <row r="2663" spans="1:12" s="3327" customFormat="1" ht="13.5" customHeight="1">
      <c r="A2663" s="3354"/>
      <c r="B2663" s="3336" t="s">
        <v>4779</v>
      </c>
      <c r="C2663" s="3336" t="s">
        <v>4947</v>
      </c>
      <c r="D2663" s="3336" t="s">
        <v>4946</v>
      </c>
      <c r="E2663" s="3338">
        <v>327.29000000000002</v>
      </c>
      <c r="F2663" s="3339">
        <v>330</v>
      </c>
      <c r="G2663" s="3340">
        <v>42375</v>
      </c>
      <c r="H2663" s="3340">
        <v>42459</v>
      </c>
      <c r="I2663" s="3340">
        <v>42460</v>
      </c>
      <c r="J2663" s="3324"/>
    </row>
    <row r="2664" spans="1:12" s="3327" customFormat="1" ht="13.5" customHeight="1">
      <c r="A2664" s="3354"/>
      <c r="B2664" s="3336" t="s">
        <v>4779</v>
      </c>
      <c r="C2664" s="3336" t="s">
        <v>4947</v>
      </c>
      <c r="D2664" s="3336" t="s">
        <v>4946</v>
      </c>
      <c r="E2664" s="3339">
        <v>327.29000000000002</v>
      </c>
      <c r="F2664" s="3339">
        <v>330</v>
      </c>
      <c r="G2664" s="3340">
        <v>42461</v>
      </c>
      <c r="H2664" s="3340">
        <v>42824</v>
      </c>
      <c r="I2664" s="3340">
        <v>42825</v>
      </c>
      <c r="J2664" s="3324"/>
    </row>
    <row r="2665" spans="1:12" s="3327" customFormat="1" ht="13.5" customHeight="1">
      <c r="A2665" s="3354" t="s">
        <v>4784</v>
      </c>
      <c r="B2665" s="3331" t="s">
        <v>4779</v>
      </c>
      <c r="C2665" s="3331" t="s">
        <v>4947</v>
      </c>
      <c r="D2665" s="3331" t="s">
        <v>4946</v>
      </c>
      <c r="E2665" s="3332">
        <v>327.29000000000002</v>
      </c>
      <c r="F2665" s="3332">
        <v>360</v>
      </c>
      <c r="G2665" s="3333">
        <v>42826</v>
      </c>
      <c r="H2665" s="3333">
        <v>43130</v>
      </c>
      <c r="I2665" s="3333">
        <v>43190</v>
      </c>
      <c r="J2665" s="3324"/>
      <c r="K2665" s="3334">
        <f t="shared" ref="K2665" si="471">E2665</f>
        <v>327.29000000000002</v>
      </c>
      <c r="L2665" s="3334">
        <f t="shared" ref="L2665" si="472">F2665/30</f>
        <v>12</v>
      </c>
    </row>
    <row r="2666" spans="1:12" s="3327" customFormat="1" ht="13.5" customHeight="1">
      <c r="A2666" s="3355"/>
      <c r="B2666" s="3336" t="s">
        <v>4779</v>
      </c>
      <c r="C2666" s="3336" t="s">
        <v>4948</v>
      </c>
      <c r="D2666" s="3336" t="s">
        <v>4949</v>
      </c>
      <c r="E2666" s="3339">
        <v>175.2</v>
      </c>
      <c r="F2666" s="3339">
        <v>270</v>
      </c>
      <c r="G2666" s="3340">
        <v>41030</v>
      </c>
      <c r="H2666" s="3340">
        <v>41363</v>
      </c>
      <c r="I2666" s="3340">
        <v>41364</v>
      </c>
      <c r="J2666" s="3336"/>
    </row>
    <row r="2667" spans="1:12" s="3327" customFormat="1" ht="13.5" customHeight="1">
      <c r="A2667" s="3323"/>
      <c r="B2667" s="3324" t="s">
        <v>4779</v>
      </c>
      <c r="C2667" s="3324" t="s">
        <v>4948</v>
      </c>
      <c r="D2667" s="3324" t="s">
        <v>4950</v>
      </c>
      <c r="E2667" s="3325">
        <v>175.2</v>
      </c>
      <c r="F2667" s="3325">
        <v>270</v>
      </c>
      <c r="G2667" s="3326">
        <v>41730</v>
      </c>
      <c r="H2667" s="3326">
        <v>41932</v>
      </c>
      <c r="I2667" s="3326">
        <v>42094</v>
      </c>
      <c r="J2667" s="3324"/>
    </row>
    <row r="2668" spans="1:12" s="3327" customFormat="1" ht="13.5" customHeight="1">
      <c r="A2668" s="3354"/>
      <c r="B2668" s="3324" t="s">
        <v>4779</v>
      </c>
      <c r="C2668" s="3324" t="s">
        <v>4951</v>
      </c>
      <c r="D2668" s="3324" t="s">
        <v>4950</v>
      </c>
      <c r="E2668" s="3325">
        <v>175.2</v>
      </c>
      <c r="F2668" s="3325">
        <v>270</v>
      </c>
      <c r="G2668" s="3326">
        <v>41933</v>
      </c>
      <c r="H2668" s="3326">
        <v>42093</v>
      </c>
      <c r="I2668" s="3326">
        <v>42094</v>
      </c>
      <c r="J2668" s="3324"/>
    </row>
    <row r="2669" spans="1:12" s="3327" customFormat="1" ht="13.5" customHeight="1">
      <c r="A2669" s="3354"/>
      <c r="B2669" s="3336" t="s">
        <v>4779</v>
      </c>
      <c r="C2669" s="3336" t="s">
        <v>4951</v>
      </c>
      <c r="D2669" s="3336" t="s">
        <v>4950</v>
      </c>
      <c r="E2669" s="3339">
        <v>175.2</v>
      </c>
      <c r="F2669" s="3339">
        <v>265</v>
      </c>
      <c r="G2669" s="3340">
        <v>42095</v>
      </c>
      <c r="H2669" s="3340">
        <v>42459</v>
      </c>
      <c r="I2669" s="3340">
        <v>42460</v>
      </c>
      <c r="J2669" s="3324"/>
    </row>
    <row r="2670" spans="1:12" s="3327" customFormat="1" ht="13.5" customHeight="1">
      <c r="A2670" s="3354"/>
      <c r="B2670" s="3336" t="s">
        <v>4779</v>
      </c>
      <c r="C2670" s="3336" t="s">
        <v>4952</v>
      </c>
      <c r="D2670" s="3336" t="s">
        <v>4950</v>
      </c>
      <c r="E2670" s="3339">
        <v>175.2</v>
      </c>
      <c r="F2670" s="3339">
        <v>265</v>
      </c>
      <c r="G2670" s="3340">
        <v>42461</v>
      </c>
      <c r="H2670" s="3340">
        <v>42824</v>
      </c>
      <c r="I2670" s="3340">
        <v>42825</v>
      </c>
      <c r="J2670" s="3324"/>
    </row>
    <row r="2671" spans="1:12" s="3327" customFormat="1" ht="13.5" customHeight="1">
      <c r="A2671" s="3354" t="s">
        <v>4784</v>
      </c>
      <c r="B2671" s="3331" t="s">
        <v>4779</v>
      </c>
      <c r="C2671" s="3331" t="s">
        <v>4952</v>
      </c>
      <c r="D2671" s="3331" t="s">
        <v>4950</v>
      </c>
      <c r="E2671" s="3332">
        <v>175.2</v>
      </c>
      <c r="F2671" s="3332">
        <v>270</v>
      </c>
      <c r="G2671" s="3333">
        <v>42826</v>
      </c>
      <c r="H2671" s="3333">
        <v>43130</v>
      </c>
      <c r="I2671" s="3333">
        <v>43190</v>
      </c>
      <c r="J2671" s="3324"/>
      <c r="K2671" s="3334">
        <f t="shared" ref="K2671" si="473">E2671</f>
        <v>175.2</v>
      </c>
      <c r="L2671" s="3334">
        <f t="shared" ref="L2671" si="474">F2671/30</f>
        <v>9</v>
      </c>
    </row>
    <row r="2672" spans="1:12" s="3327" customFormat="1" ht="13.5" customHeight="1">
      <c r="A2672" s="3355"/>
      <c r="B2672" s="3336" t="s">
        <v>4779</v>
      </c>
      <c r="C2672" s="3336" t="s">
        <v>4953</v>
      </c>
      <c r="D2672" s="3336" t="s">
        <v>4954</v>
      </c>
      <c r="E2672" s="3339">
        <v>194.2</v>
      </c>
      <c r="F2672" s="3339">
        <v>270</v>
      </c>
      <c r="G2672" s="3340">
        <v>41000</v>
      </c>
      <c r="H2672" s="3340">
        <v>41363</v>
      </c>
      <c r="I2672" s="3340">
        <v>41364</v>
      </c>
      <c r="J2672" s="3336"/>
    </row>
    <row r="2673" spans="1:12" s="3327" customFormat="1" ht="13.5" customHeight="1">
      <c r="A2673" s="3354"/>
      <c r="B2673" s="3324" t="s">
        <v>4779</v>
      </c>
      <c r="C2673" s="3324" t="s">
        <v>4953</v>
      </c>
      <c r="D2673" s="3324" t="s">
        <v>4955</v>
      </c>
      <c r="E2673" s="3325">
        <v>194.2</v>
      </c>
      <c r="F2673" s="3325">
        <v>270</v>
      </c>
      <c r="G2673" s="3326">
        <v>41730</v>
      </c>
      <c r="H2673" s="3326">
        <v>42093</v>
      </c>
      <c r="I2673" s="3326">
        <v>42094</v>
      </c>
      <c r="J2673" s="3324"/>
    </row>
    <row r="2674" spans="1:12" s="3327" customFormat="1" ht="13.5" customHeight="1">
      <c r="A2674" s="3354"/>
      <c r="B2674" s="3336" t="s">
        <v>4779</v>
      </c>
      <c r="C2674" s="3336" t="s">
        <v>4953</v>
      </c>
      <c r="D2674" s="3336" t="s">
        <v>4955</v>
      </c>
      <c r="E2674" s="3339">
        <v>194.2</v>
      </c>
      <c r="F2674" s="3339">
        <v>270</v>
      </c>
      <c r="G2674" s="3340">
        <v>42095</v>
      </c>
      <c r="H2674" s="3340">
        <v>42253</v>
      </c>
      <c r="I2674" s="3340">
        <v>42460</v>
      </c>
      <c r="J2674" s="3324"/>
    </row>
    <row r="2675" spans="1:12" s="3327" customFormat="1" ht="13.5" customHeight="1">
      <c r="A2675" s="3354"/>
      <c r="B2675" s="3336" t="s">
        <v>4779</v>
      </c>
      <c r="C2675" s="3336" t="s">
        <v>4953</v>
      </c>
      <c r="D2675" s="3336" t="s">
        <v>4955</v>
      </c>
      <c r="E2675" s="3339">
        <v>194.2</v>
      </c>
      <c r="F2675" s="3339">
        <v>270</v>
      </c>
      <c r="G2675" s="3340">
        <v>42254</v>
      </c>
      <c r="H2675" s="3340">
        <v>42459</v>
      </c>
      <c r="I2675" s="3340">
        <v>42460</v>
      </c>
      <c r="J2675" s="3324"/>
    </row>
    <row r="2676" spans="1:12" s="3327" customFormat="1" ht="13.5" customHeight="1">
      <c r="A2676" s="3354"/>
      <c r="B2676" s="3336" t="s">
        <v>4779</v>
      </c>
      <c r="C2676" s="3336" t="s">
        <v>4953</v>
      </c>
      <c r="D2676" s="3336" t="s">
        <v>4955</v>
      </c>
      <c r="E2676" s="3339">
        <v>194.2</v>
      </c>
      <c r="F2676" s="3339">
        <v>280</v>
      </c>
      <c r="G2676" s="3340">
        <v>42461</v>
      </c>
      <c r="H2676" s="3340">
        <v>42724</v>
      </c>
      <c r="I2676" s="3340">
        <v>42825</v>
      </c>
      <c r="J2676" s="3324"/>
    </row>
    <row r="2677" spans="1:12" s="3327" customFormat="1" ht="13.5" customHeight="1">
      <c r="A2677" s="3354"/>
      <c r="B2677" s="3336" t="s">
        <v>4779</v>
      </c>
      <c r="C2677" s="3336" t="s">
        <v>4956</v>
      </c>
      <c r="D2677" s="3336" t="s">
        <v>4955</v>
      </c>
      <c r="E2677" s="3339">
        <v>194.2</v>
      </c>
      <c r="F2677" s="3339">
        <v>280</v>
      </c>
      <c r="G2677" s="3340">
        <v>42725</v>
      </c>
      <c r="H2677" s="3340">
        <v>42824</v>
      </c>
      <c r="I2677" s="3340">
        <v>42825</v>
      </c>
      <c r="J2677" s="3324"/>
    </row>
    <row r="2678" spans="1:12" s="3327" customFormat="1" ht="13.5" customHeight="1">
      <c r="A2678" s="3354"/>
      <c r="B2678" s="3331" t="s">
        <v>4779</v>
      </c>
      <c r="C2678" s="3331" t="s">
        <v>4956</v>
      </c>
      <c r="D2678" s="3331" t="s">
        <v>4955</v>
      </c>
      <c r="E2678" s="3332">
        <v>194.2</v>
      </c>
      <c r="F2678" s="3332">
        <v>288</v>
      </c>
      <c r="G2678" s="3333">
        <v>42826</v>
      </c>
      <c r="H2678" s="3333">
        <v>42885</v>
      </c>
      <c r="I2678" s="3333">
        <v>43190</v>
      </c>
      <c r="J2678" s="3324"/>
      <c r="K2678" s="3334">
        <f t="shared" ref="K2678:K2679" si="475">E2678</f>
        <v>194.2</v>
      </c>
      <c r="L2678" s="3334">
        <f t="shared" ref="L2678:L2679" si="476">F2678/30</f>
        <v>9.6</v>
      </c>
    </row>
    <row r="2679" spans="1:12" s="3327" customFormat="1" ht="13.5" customHeight="1">
      <c r="A2679" s="3354" t="s">
        <v>4784</v>
      </c>
      <c r="B2679" s="3331" t="s">
        <v>4779</v>
      </c>
      <c r="C2679" s="3331" t="s">
        <v>4957</v>
      </c>
      <c r="D2679" s="3331" t="s">
        <v>4955</v>
      </c>
      <c r="E2679" s="3332">
        <v>194.2</v>
      </c>
      <c r="F2679" s="3332">
        <v>288</v>
      </c>
      <c r="G2679" s="3333">
        <v>42887</v>
      </c>
      <c r="H2679" s="3333">
        <v>43130</v>
      </c>
      <c r="I2679" s="3333">
        <v>43190</v>
      </c>
      <c r="J2679" s="3324"/>
      <c r="K2679" s="3334">
        <f t="shared" si="475"/>
        <v>194.2</v>
      </c>
      <c r="L2679" s="3334">
        <f t="shared" si="476"/>
        <v>9.6</v>
      </c>
    </row>
    <row r="2680" spans="1:12" s="3327" customFormat="1" ht="13.5" customHeight="1">
      <c r="A2680" s="3355"/>
      <c r="B2680" s="3336" t="s">
        <v>4779</v>
      </c>
      <c r="C2680" s="3336" t="s">
        <v>4829</v>
      </c>
      <c r="D2680" s="3336" t="s">
        <v>4958</v>
      </c>
      <c r="E2680" s="3339">
        <v>120.7</v>
      </c>
      <c r="F2680" s="3339">
        <v>280</v>
      </c>
      <c r="G2680" s="3340">
        <v>41000</v>
      </c>
      <c r="H2680" s="3340">
        <v>41363</v>
      </c>
      <c r="I2680" s="3340">
        <v>41364</v>
      </c>
      <c r="J2680" s="3336"/>
    </row>
    <row r="2681" spans="1:12" s="3327" customFormat="1" ht="13.5" customHeight="1">
      <c r="A2681" s="3354"/>
      <c r="B2681" s="3324" t="s">
        <v>4779</v>
      </c>
      <c r="C2681" s="3324" t="s">
        <v>4829</v>
      </c>
      <c r="D2681" s="3324" t="s">
        <v>4959</v>
      </c>
      <c r="E2681" s="3325">
        <v>120.7</v>
      </c>
      <c r="F2681" s="3325">
        <v>280</v>
      </c>
      <c r="G2681" s="3326">
        <v>41730</v>
      </c>
      <c r="H2681" s="3326">
        <v>42093</v>
      </c>
      <c r="I2681" s="3326">
        <v>42094</v>
      </c>
      <c r="J2681" s="3324"/>
    </row>
    <row r="2682" spans="1:12" s="3327" customFormat="1" ht="13.5" customHeight="1">
      <c r="A2682" s="3354"/>
      <c r="B2682" s="3370" t="s">
        <v>4779</v>
      </c>
      <c r="C2682" s="3324" t="s">
        <v>4829</v>
      </c>
      <c r="D2682" s="3344" t="s">
        <v>4959</v>
      </c>
      <c r="E2682" s="3325">
        <v>120.7</v>
      </c>
      <c r="F2682" s="3325">
        <v>280</v>
      </c>
      <c r="G2682" s="3326">
        <v>42095</v>
      </c>
      <c r="H2682" s="3326">
        <v>42114</v>
      </c>
      <c r="I2682" s="3326">
        <v>42155</v>
      </c>
      <c r="J2682" s="3324"/>
    </row>
    <row r="2683" spans="1:12" s="3327" customFormat="1" ht="12.75" customHeight="1">
      <c r="A2683" s="3354"/>
      <c r="B2683" s="3336" t="s">
        <v>4779</v>
      </c>
      <c r="C2683" s="3336" t="s">
        <v>4960</v>
      </c>
      <c r="D2683" s="3336" t="s">
        <v>4959</v>
      </c>
      <c r="E2683" s="3339">
        <v>120.7</v>
      </c>
      <c r="F2683" s="3339">
        <v>300</v>
      </c>
      <c r="G2683" s="3340">
        <v>42115</v>
      </c>
      <c r="H2683" s="3340">
        <v>42215</v>
      </c>
      <c r="I2683" s="3340">
        <v>42460</v>
      </c>
      <c r="J2683" s="3324"/>
    </row>
    <row r="2684" spans="1:12" s="3327" customFormat="1" ht="12.75" customHeight="1">
      <c r="A2684" s="3354"/>
      <c r="B2684" s="3336" t="s">
        <v>4779</v>
      </c>
      <c r="C2684" s="3336" t="s">
        <v>4961</v>
      </c>
      <c r="D2684" s="3336" t="s">
        <v>4959</v>
      </c>
      <c r="E2684" s="3339">
        <v>120.7</v>
      </c>
      <c r="F2684" s="3339">
        <v>300</v>
      </c>
      <c r="G2684" s="3340">
        <v>42217</v>
      </c>
      <c r="H2684" s="3340">
        <v>42459</v>
      </c>
      <c r="I2684" s="3340">
        <v>42460</v>
      </c>
      <c r="J2684" s="3324"/>
    </row>
    <row r="2685" spans="1:12" s="3327" customFormat="1" ht="12.75" customHeight="1">
      <c r="A2685" s="3354"/>
      <c r="B2685" s="3336" t="s">
        <v>4779</v>
      </c>
      <c r="C2685" s="3336" t="s">
        <v>4961</v>
      </c>
      <c r="D2685" s="3336" t="s">
        <v>4959</v>
      </c>
      <c r="E2685" s="3338">
        <v>122.6</v>
      </c>
      <c r="F2685" s="3339">
        <v>310</v>
      </c>
      <c r="G2685" s="3340">
        <v>42461</v>
      </c>
      <c r="H2685" s="3340">
        <v>42824</v>
      </c>
      <c r="I2685" s="3340">
        <v>42825</v>
      </c>
      <c r="J2685" s="3324"/>
    </row>
    <row r="2686" spans="1:12" s="3327" customFormat="1" ht="12.75" customHeight="1">
      <c r="A2686" s="3354"/>
      <c r="B2686" s="3331" t="s">
        <v>4779</v>
      </c>
      <c r="C2686" s="3331" t="s">
        <v>4961</v>
      </c>
      <c r="D2686" s="3331" t="s">
        <v>4959</v>
      </c>
      <c r="E2686" s="3332">
        <v>122.6</v>
      </c>
      <c r="F2686" s="3332">
        <v>290</v>
      </c>
      <c r="G2686" s="3333">
        <v>42826</v>
      </c>
      <c r="H2686" s="3333">
        <v>42983</v>
      </c>
      <c r="I2686" s="3333">
        <v>43190</v>
      </c>
      <c r="J2686" s="3324"/>
      <c r="K2686" s="3334">
        <f t="shared" ref="K2686:K2687" si="477">E2686</f>
        <v>122.6</v>
      </c>
      <c r="L2686" s="3334">
        <f t="shared" ref="L2686:L2687" si="478">F2686/30</f>
        <v>9.6666666666666661</v>
      </c>
    </row>
    <row r="2687" spans="1:12" s="3327" customFormat="1" ht="12.75" customHeight="1">
      <c r="A2687" s="3354" t="s">
        <v>4784</v>
      </c>
      <c r="B2687" s="3331" t="s">
        <v>4779</v>
      </c>
      <c r="C2687" s="3331" t="s">
        <v>4961</v>
      </c>
      <c r="D2687" s="3331" t="s">
        <v>4959</v>
      </c>
      <c r="E2687" s="3332">
        <v>122.6</v>
      </c>
      <c r="F2687" s="3332">
        <v>290</v>
      </c>
      <c r="G2687" s="3333">
        <v>42984</v>
      </c>
      <c r="H2687" s="3333">
        <v>43130</v>
      </c>
      <c r="I2687" s="3333">
        <v>43190</v>
      </c>
      <c r="J2687" s="3324"/>
      <c r="K2687" s="3334">
        <f t="shared" si="477"/>
        <v>122.6</v>
      </c>
      <c r="L2687" s="3334">
        <f t="shared" si="478"/>
        <v>9.6666666666666661</v>
      </c>
    </row>
    <row r="2688" spans="1:12" s="3327" customFormat="1" ht="12.75" customHeight="1">
      <c r="A2688" s="3355"/>
      <c r="B2688" s="3336" t="s">
        <v>4779</v>
      </c>
      <c r="C2688" s="3336" t="s">
        <v>4674</v>
      </c>
      <c r="D2688" s="3336" t="s">
        <v>4958</v>
      </c>
      <c r="E2688" s="3339">
        <v>192.3</v>
      </c>
      <c r="F2688" s="3339">
        <v>270</v>
      </c>
      <c r="G2688" s="3340">
        <v>41000</v>
      </c>
      <c r="H2688" s="3340">
        <v>41363</v>
      </c>
      <c r="I2688" s="3340">
        <v>41364</v>
      </c>
      <c r="J2688" s="3336"/>
    </row>
    <row r="2689" spans="1:12" s="3327" customFormat="1" ht="12.75" customHeight="1">
      <c r="A2689" s="3323"/>
      <c r="B2689" s="3336" t="s">
        <v>4779</v>
      </c>
      <c r="C2689" s="3336" t="s">
        <v>4674</v>
      </c>
      <c r="D2689" s="3336" t="s">
        <v>4962</v>
      </c>
      <c r="E2689" s="3339">
        <v>192.3</v>
      </c>
      <c r="F2689" s="3339">
        <v>255</v>
      </c>
      <c r="G2689" s="3340">
        <v>41730</v>
      </c>
      <c r="H2689" s="3340">
        <v>42004</v>
      </c>
      <c r="I2689" s="3340">
        <v>42094</v>
      </c>
      <c r="J2689" s="3324"/>
    </row>
    <row r="2690" spans="1:12" s="3327" customFormat="1" ht="12.75" customHeight="1">
      <c r="A2690" s="3323"/>
      <c r="B2690" s="3350" t="s">
        <v>4779</v>
      </c>
      <c r="C2690" s="3351" t="s">
        <v>4674</v>
      </c>
      <c r="D2690" s="3351" t="s">
        <v>4962</v>
      </c>
      <c r="E2690" s="3352">
        <v>192.3</v>
      </c>
      <c r="F2690" s="3352">
        <v>255</v>
      </c>
      <c r="G2690" s="3353">
        <v>42005</v>
      </c>
      <c r="H2690" s="3353">
        <v>42041</v>
      </c>
      <c r="I2690" s="3353">
        <v>42094</v>
      </c>
      <c r="J2690" s="3324"/>
    </row>
    <row r="2691" spans="1:12" s="3327" customFormat="1" ht="12.75" customHeight="1">
      <c r="A2691" s="3323"/>
      <c r="B2691" s="3350" t="s">
        <v>4779</v>
      </c>
      <c r="C2691" s="3351" t="s">
        <v>4674</v>
      </c>
      <c r="D2691" s="3351" t="s">
        <v>4962</v>
      </c>
      <c r="E2691" s="3352">
        <v>192.3</v>
      </c>
      <c r="F2691" s="3352">
        <v>255</v>
      </c>
      <c r="G2691" s="3353">
        <v>42042</v>
      </c>
      <c r="H2691" s="3353">
        <v>42079</v>
      </c>
      <c r="I2691" s="3353">
        <v>42094</v>
      </c>
      <c r="J2691" s="3324"/>
    </row>
    <row r="2692" spans="1:12" s="3327" customFormat="1" ht="12.75" customHeight="1">
      <c r="A2692" s="3323"/>
      <c r="B2692" s="3350" t="s">
        <v>4779</v>
      </c>
      <c r="C2692" s="3351" t="s">
        <v>4674</v>
      </c>
      <c r="D2692" s="3351" t="s">
        <v>4962</v>
      </c>
      <c r="E2692" s="3352">
        <v>192.3</v>
      </c>
      <c r="F2692" s="3352">
        <v>255</v>
      </c>
      <c r="G2692" s="3353">
        <v>42080</v>
      </c>
      <c r="H2692" s="3353">
        <v>42093</v>
      </c>
      <c r="I2692" s="3353">
        <v>42124</v>
      </c>
      <c r="J2692" s="3324"/>
    </row>
    <row r="2693" spans="1:12" s="3327" customFormat="1" ht="12.75" customHeight="1">
      <c r="A2693" s="3323"/>
      <c r="B2693" s="3336" t="s">
        <v>4779</v>
      </c>
      <c r="C2693" s="3336" t="s">
        <v>4963</v>
      </c>
      <c r="D2693" s="3336" t="s">
        <v>4962</v>
      </c>
      <c r="E2693" s="3339">
        <v>192.3</v>
      </c>
      <c r="F2693" s="3339">
        <v>300</v>
      </c>
      <c r="G2693" s="3340">
        <v>42115</v>
      </c>
      <c r="H2693" s="3340">
        <v>42215</v>
      </c>
      <c r="I2693" s="3340">
        <v>42460</v>
      </c>
      <c r="J2693" s="3324"/>
    </row>
    <row r="2694" spans="1:12" s="3327" customFormat="1" ht="12.75" customHeight="1">
      <c r="A2694" s="3323"/>
      <c r="B2694" s="3336" t="s">
        <v>4779</v>
      </c>
      <c r="C2694" s="3336" t="s">
        <v>4960</v>
      </c>
      <c r="D2694" s="3336" t="s">
        <v>4962</v>
      </c>
      <c r="E2694" s="3339">
        <v>192.3</v>
      </c>
      <c r="F2694" s="3339">
        <v>300</v>
      </c>
      <c r="G2694" s="3340">
        <v>42217</v>
      </c>
      <c r="H2694" s="3340">
        <v>42459</v>
      </c>
      <c r="I2694" s="3340">
        <v>42460</v>
      </c>
      <c r="J2694" s="3324"/>
    </row>
    <row r="2695" spans="1:12" s="3327" customFormat="1" ht="12.75" customHeight="1">
      <c r="A2695" s="3323"/>
      <c r="B2695" s="3336" t="s">
        <v>4779</v>
      </c>
      <c r="C2695" s="3336" t="s">
        <v>4960</v>
      </c>
      <c r="D2695" s="3336" t="s">
        <v>4962</v>
      </c>
      <c r="E2695" s="3339">
        <v>192.3</v>
      </c>
      <c r="F2695" s="3339">
        <v>310</v>
      </c>
      <c r="G2695" s="3340">
        <v>42461</v>
      </c>
      <c r="H2695" s="3340">
        <v>42824</v>
      </c>
      <c r="I2695" s="3340">
        <v>42825</v>
      </c>
      <c r="J2695" s="3324"/>
    </row>
    <row r="2696" spans="1:12" s="3327" customFormat="1" ht="12.75" customHeight="1">
      <c r="A2696" s="3323"/>
      <c r="B2696" s="3331" t="s">
        <v>4779</v>
      </c>
      <c r="C2696" s="3331" t="s">
        <v>4960</v>
      </c>
      <c r="D2696" s="3331" t="s">
        <v>4962</v>
      </c>
      <c r="E2696" s="3332">
        <v>192.3</v>
      </c>
      <c r="F2696" s="3332">
        <v>320</v>
      </c>
      <c r="G2696" s="3333">
        <v>42826</v>
      </c>
      <c r="H2696" s="3333">
        <v>42983</v>
      </c>
      <c r="I2696" s="3333">
        <v>43190</v>
      </c>
      <c r="J2696" s="3324"/>
      <c r="K2696" s="3334">
        <f t="shared" ref="K2696:K2697" si="479">E2696</f>
        <v>192.3</v>
      </c>
      <c r="L2696" s="3334">
        <f t="shared" ref="L2696:L2697" si="480">F2696/30</f>
        <v>10.666666666666666</v>
      </c>
    </row>
    <row r="2697" spans="1:12" s="3327" customFormat="1" ht="12.75" customHeight="1">
      <c r="A2697" s="3323" t="s">
        <v>4784</v>
      </c>
      <c r="B2697" s="3331" t="s">
        <v>4779</v>
      </c>
      <c r="C2697" s="3331" t="s">
        <v>4960</v>
      </c>
      <c r="D2697" s="3331" t="s">
        <v>4962</v>
      </c>
      <c r="E2697" s="3332">
        <v>192.3</v>
      </c>
      <c r="F2697" s="3332">
        <v>320</v>
      </c>
      <c r="G2697" s="3333">
        <v>42984</v>
      </c>
      <c r="H2697" s="3333">
        <v>43130</v>
      </c>
      <c r="I2697" s="3333">
        <v>43190</v>
      </c>
      <c r="J2697" s="3324"/>
      <c r="K2697" s="3334">
        <f t="shared" si="479"/>
        <v>192.3</v>
      </c>
      <c r="L2697" s="3334">
        <f t="shared" si="480"/>
        <v>10.666666666666666</v>
      </c>
    </row>
    <row r="2698" spans="1:12" s="3327" customFormat="1" ht="13.5" customHeight="1">
      <c r="A2698" s="3335"/>
      <c r="B2698" s="3336" t="s">
        <v>4779</v>
      </c>
      <c r="C2698" s="3336" t="s">
        <v>4964</v>
      </c>
      <c r="D2698" s="3336" t="s">
        <v>4965</v>
      </c>
      <c r="E2698" s="3339">
        <v>383.8</v>
      </c>
      <c r="F2698" s="3339">
        <v>315</v>
      </c>
      <c r="G2698" s="3340">
        <v>41000</v>
      </c>
      <c r="H2698" s="3340">
        <v>41363</v>
      </c>
      <c r="I2698" s="3340">
        <v>41364</v>
      </c>
      <c r="J2698" s="3336"/>
    </row>
    <row r="2699" spans="1:12" s="3327" customFormat="1" ht="13.5" customHeight="1">
      <c r="A2699" s="3323"/>
      <c r="B2699" s="3324" t="s">
        <v>4779</v>
      </c>
      <c r="C2699" s="3324" t="s">
        <v>4964</v>
      </c>
      <c r="D2699" s="3324" t="s">
        <v>4966</v>
      </c>
      <c r="E2699" s="3325">
        <v>383.8</v>
      </c>
      <c r="F2699" s="3325">
        <v>315</v>
      </c>
      <c r="G2699" s="3326">
        <v>41365</v>
      </c>
      <c r="H2699" s="3326">
        <v>41728</v>
      </c>
      <c r="I2699" s="3326">
        <v>41729</v>
      </c>
      <c r="J2699" s="3324"/>
    </row>
    <row r="2700" spans="1:12" s="3327" customFormat="1" ht="13.5" customHeight="1">
      <c r="A2700" s="3323"/>
      <c r="B2700" s="3324" t="s">
        <v>4779</v>
      </c>
      <c r="C2700" s="3324" t="s">
        <v>4964</v>
      </c>
      <c r="D2700" s="3324" t="s">
        <v>4966</v>
      </c>
      <c r="E2700" s="3325">
        <v>383.8</v>
      </c>
      <c r="F2700" s="3325">
        <v>315</v>
      </c>
      <c r="G2700" s="3326">
        <v>41730</v>
      </c>
      <c r="H2700" s="3326">
        <v>41942</v>
      </c>
      <c r="I2700" s="3326">
        <v>42094</v>
      </c>
      <c r="J2700" s="3324"/>
    </row>
    <row r="2701" spans="1:12" s="3327" customFormat="1" ht="13.5" customHeight="1">
      <c r="A2701" s="3323"/>
      <c r="B2701" s="3324" t="s">
        <v>4779</v>
      </c>
      <c r="C2701" s="3324" t="s">
        <v>4964</v>
      </c>
      <c r="D2701" s="3324" t="s">
        <v>4966</v>
      </c>
      <c r="E2701" s="3325">
        <v>383.8</v>
      </c>
      <c r="F2701" s="3325">
        <v>315</v>
      </c>
      <c r="G2701" s="3326">
        <v>41944</v>
      </c>
      <c r="H2701" s="3326">
        <v>42093</v>
      </c>
      <c r="I2701" s="3326">
        <v>42094</v>
      </c>
      <c r="J2701" s="3324"/>
    </row>
    <row r="2702" spans="1:12" s="3327" customFormat="1" ht="15" customHeight="1">
      <c r="A2702" s="3323"/>
      <c r="B2702" s="3336" t="s">
        <v>4779</v>
      </c>
      <c r="C2702" s="3336" t="s">
        <v>4964</v>
      </c>
      <c r="D2702" s="3336" t="s">
        <v>4966</v>
      </c>
      <c r="E2702" s="3339">
        <v>383.8</v>
      </c>
      <c r="F2702" s="3339">
        <v>315</v>
      </c>
      <c r="G2702" s="3340">
        <v>42095</v>
      </c>
      <c r="H2702" s="3340">
        <v>42154</v>
      </c>
      <c r="I2702" s="3340">
        <v>42155</v>
      </c>
      <c r="J2702" s="3324"/>
    </row>
    <row r="2703" spans="1:12" s="3327" customFormat="1" ht="13.5" customHeight="1">
      <c r="A2703" s="3323"/>
      <c r="B2703" s="3336" t="s">
        <v>4779</v>
      </c>
      <c r="C2703" s="3336" t="s">
        <v>4964</v>
      </c>
      <c r="D2703" s="3336" t="s">
        <v>4966</v>
      </c>
      <c r="E2703" s="3339">
        <v>203.8</v>
      </c>
      <c r="F2703" s="3339">
        <v>315</v>
      </c>
      <c r="G2703" s="3340">
        <v>42156</v>
      </c>
      <c r="H2703" s="3340">
        <v>42459</v>
      </c>
      <c r="I2703" s="3340">
        <v>42459</v>
      </c>
      <c r="J2703" s="3324"/>
    </row>
    <row r="2704" spans="1:12" s="3327" customFormat="1" ht="13.5" customHeight="1">
      <c r="A2704" s="3323"/>
      <c r="B2704" s="3336" t="s">
        <v>4779</v>
      </c>
      <c r="C2704" s="3336" t="s">
        <v>4964</v>
      </c>
      <c r="D2704" s="3336" t="s">
        <v>4966</v>
      </c>
      <c r="E2704" s="3338">
        <v>209.9</v>
      </c>
      <c r="F2704" s="3339">
        <v>325</v>
      </c>
      <c r="G2704" s="3340">
        <v>42461</v>
      </c>
      <c r="H2704" s="3340">
        <v>42824</v>
      </c>
      <c r="I2704" s="3340">
        <v>42825</v>
      </c>
      <c r="J2704" s="3324"/>
    </row>
    <row r="2705" spans="1:12" s="3327" customFormat="1" ht="13.5" customHeight="1">
      <c r="A2705" s="3323"/>
      <c r="B2705" s="3331" t="s">
        <v>4779</v>
      </c>
      <c r="C2705" s="3331" t="s">
        <v>4964</v>
      </c>
      <c r="D2705" s="3331" t="s">
        <v>4966</v>
      </c>
      <c r="E2705" s="3332">
        <v>209.9</v>
      </c>
      <c r="F2705" s="3332">
        <v>335</v>
      </c>
      <c r="G2705" s="3333">
        <v>42826</v>
      </c>
      <c r="H2705" s="3333">
        <v>42898</v>
      </c>
      <c r="I2705" s="3333">
        <v>43190</v>
      </c>
      <c r="J2705" s="3324"/>
      <c r="K2705" s="3334">
        <f t="shared" ref="K2705:K2706" si="481">E2705</f>
        <v>209.9</v>
      </c>
      <c r="L2705" s="3334">
        <f t="shared" ref="L2705:L2706" si="482">F2705/30</f>
        <v>11.166666666666666</v>
      </c>
    </row>
    <row r="2706" spans="1:12" s="3327" customFormat="1" ht="13.5" customHeight="1">
      <c r="A2706" s="3323" t="s">
        <v>4784</v>
      </c>
      <c r="B2706" s="3331" t="s">
        <v>4779</v>
      </c>
      <c r="C2706" s="3331" t="s">
        <v>3590</v>
      </c>
      <c r="D2706" s="3331" t="s">
        <v>4966</v>
      </c>
      <c r="E2706" s="3332">
        <v>209.9</v>
      </c>
      <c r="F2706" s="3332">
        <v>390</v>
      </c>
      <c r="G2706" s="3333">
        <v>42899</v>
      </c>
      <c r="H2706" s="3333">
        <v>43130</v>
      </c>
      <c r="I2706" s="3333">
        <v>43190</v>
      </c>
      <c r="J2706" s="3324"/>
      <c r="K2706" s="3334">
        <f t="shared" si="481"/>
        <v>209.9</v>
      </c>
      <c r="L2706" s="3334">
        <f t="shared" si="482"/>
        <v>13</v>
      </c>
    </row>
    <row r="2707" spans="1:12" s="3327" customFormat="1" ht="13.5" customHeight="1">
      <c r="A2707" s="3323"/>
      <c r="B2707" s="3336" t="s">
        <v>4779</v>
      </c>
      <c r="C2707" s="3336" t="s">
        <v>4967</v>
      </c>
      <c r="D2707" s="3336" t="s">
        <v>4968</v>
      </c>
      <c r="E2707" s="3339">
        <v>180</v>
      </c>
      <c r="F2707" s="3339">
        <v>315</v>
      </c>
      <c r="G2707" s="3340">
        <v>42156</v>
      </c>
      <c r="H2707" s="3340">
        <v>42185</v>
      </c>
      <c r="I2707" s="3340">
        <v>42459</v>
      </c>
      <c r="J2707" s="3324"/>
    </row>
    <row r="2708" spans="1:12" s="3327" customFormat="1" ht="13.5" customHeight="1">
      <c r="A2708" s="3323"/>
      <c r="B2708" s="3336" t="s">
        <v>4779</v>
      </c>
      <c r="C2708" s="3336" t="s">
        <v>4967</v>
      </c>
      <c r="D2708" s="3336" t="s">
        <v>4968</v>
      </c>
      <c r="E2708" s="3339">
        <v>180</v>
      </c>
      <c r="F2708" s="3339">
        <v>315</v>
      </c>
      <c r="G2708" s="3340">
        <v>42186</v>
      </c>
      <c r="H2708" s="3340">
        <v>42459</v>
      </c>
      <c r="I2708" s="3340">
        <v>42460</v>
      </c>
      <c r="J2708" s="3324"/>
    </row>
    <row r="2709" spans="1:12" s="3327" customFormat="1" ht="13.5" customHeight="1">
      <c r="A2709" s="3323"/>
      <c r="B2709" s="3336" t="s">
        <v>4779</v>
      </c>
      <c r="C2709" s="3336" t="s">
        <v>4967</v>
      </c>
      <c r="D2709" s="3336" t="s">
        <v>4968</v>
      </c>
      <c r="E2709" s="3339">
        <v>180</v>
      </c>
      <c r="F2709" s="3339">
        <v>290</v>
      </c>
      <c r="G2709" s="3340">
        <v>42461</v>
      </c>
      <c r="H2709" s="3340">
        <v>42824</v>
      </c>
      <c r="I2709" s="3340">
        <v>42825</v>
      </c>
      <c r="J2709" s="3324"/>
    </row>
    <row r="2710" spans="1:12" s="3327" customFormat="1" ht="13.5" customHeight="1">
      <c r="A2710" s="3323" t="s">
        <v>4784</v>
      </c>
      <c r="B2710" s="3331" t="s">
        <v>4779</v>
      </c>
      <c r="C2710" s="3331" t="s">
        <v>4967</v>
      </c>
      <c r="D2710" s="3331" t="s">
        <v>4968</v>
      </c>
      <c r="E2710" s="3332">
        <v>180</v>
      </c>
      <c r="F2710" s="3332">
        <v>305</v>
      </c>
      <c r="G2710" s="3333">
        <v>42826</v>
      </c>
      <c r="H2710" s="3333">
        <v>43130</v>
      </c>
      <c r="I2710" s="3333">
        <v>43190</v>
      </c>
      <c r="J2710" s="3324"/>
      <c r="K2710" s="3334">
        <f t="shared" ref="K2710" si="483">E2710</f>
        <v>180</v>
      </c>
      <c r="L2710" s="3334">
        <f t="shared" ref="L2710" si="484">F2710/30</f>
        <v>10.166666666666666</v>
      </c>
    </row>
    <row r="2711" spans="1:12" s="3327" customFormat="1" ht="13.5" customHeight="1">
      <c r="A2711" s="3335"/>
      <c r="B2711" s="3336" t="s">
        <v>4779</v>
      </c>
      <c r="C2711" s="3336" t="s">
        <v>4969</v>
      </c>
      <c r="D2711" s="3336" t="s">
        <v>4970</v>
      </c>
      <c r="E2711" s="3339">
        <v>349.8</v>
      </c>
      <c r="F2711" s="3339">
        <v>315</v>
      </c>
      <c r="G2711" s="3340">
        <v>41000</v>
      </c>
      <c r="H2711" s="3340">
        <v>41251</v>
      </c>
      <c r="I2711" s="3340">
        <v>41364</v>
      </c>
      <c r="J2711" s="3336"/>
    </row>
    <row r="2712" spans="1:12" s="3327" customFormat="1" ht="13.5" customHeight="1">
      <c r="A2712" s="3323"/>
      <c r="B2712" s="3324" t="s">
        <v>4779</v>
      </c>
      <c r="C2712" s="3324" t="s">
        <v>4971</v>
      </c>
      <c r="D2712" s="3324" t="s">
        <v>4972</v>
      </c>
      <c r="E2712" s="3325">
        <v>217.5</v>
      </c>
      <c r="F2712" s="3325">
        <v>330</v>
      </c>
      <c r="G2712" s="3326">
        <v>41487</v>
      </c>
      <c r="H2712" s="3326">
        <v>41728</v>
      </c>
      <c r="I2712" s="3326">
        <v>41729</v>
      </c>
      <c r="J2712" s="3324"/>
    </row>
    <row r="2713" spans="1:12" s="3327" customFormat="1" ht="13.5" customHeight="1">
      <c r="A2713" s="3323"/>
      <c r="B2713" s="3324" t="s">
        <v>4779</v>
      </c>
      <c r="C2713" s="3324" t="s">
        <v>4971</v>
      </c>
      <c r="D2713" s="3324" t="s">
        <v>4972</v>
      </c>
      <c r="E2713" s="3325">
        <v>217.5</v>
      </c>
      <c r="F2713" s="3325">
        <v>330</v>
      </c>
      <c r="G2713" s="3326">
        <v>41730</v>
      </c>
      <c r="H2713" s="3326">
        <v>42093</v>
      </c>
      <c r="I2713" s="3326">
        <v>42094</v>
      </c>
      <c r="J2713" s="3324"/>
    </row>
    <row r="2714" spans="1:12" s="3327" customFormat="1" ht="13.5" customHeight="1">
      <c r="A2714" s="3354"/>
      <c r="B2714" s="3336" t="s">
        <v>4779</v>
      </c>
      <c r="C2714" s="3336" t="s">
        <v>4971</v>
      </c>
      <c r="D2714" s="3336" t="s">
        <v>4972</v>
      </c>
      <c r="E2714" s="3339">
        <v>217.5</v>
      </c>
      <c r="F2714" s="3339">
        <v>336</v>
      </c>
      <c r="G2714" s="3340">
        <v>42095</v>
      </c>
      <c r="H2714" s="3340">
        <v>42459</v>
      </c>
      <c r="I2714" s="3340">
        <v>42460</v>
      </c>
      <c r="J2714" s="3324"/>
    </row>
    <row r="2715" spans="1:12" s="3327" customFormat="1" ht="13.5" customHeight="1">
      <c r="A2715" s="3323"/>
      <c r="B2715" s="3324" t="s">
        <v>4779</v>
      </c>
      <c r="C2715" s="3324" t="s">
        <v>4971</v>
      </c>
      <c r="D2715" s="3324" t="s">
        <v>4973</v>
      </c>
      <c r="E2715" s="3325">
        <v>132.30000000000001</v>
      </c>
      <c r="F2715" s="3325">
        <v>330</v>
      </c>
      <c r="G2715" s="3326">
        <v>41730</v>
      </c>
      <c r="H2715" s="3326">
        <v>42093</v>
      </c>
      <c r="I2715" s="3326">
        <v>42094</v>
      </c>
      <c r="J2715" s="3324"/>
    </row>
    <row r="2716" spans="1:12" s="3327" customFormat="1" ht="13.5" customHeight="1">
      <c r="A2716" s="3323"/>
      <c r="B2716" s="3336" t="s">
        <v>4779</v>
      </c>
      <c r="C2716" s="3336" t="s">
        <v>4971</v>
      </c>
      <c r="D2716" s="3336" t="s">
        <v>4973</v>
      </c>
      <c r="E2716" s="3339">
        <v>132.30000000000001</v>
      </c>
      <c r="F2716" s="3339">
        <v>336</v>
      </c>
      <c r="G2716" s="3340">
        <v>42095</v>
      </c>
      <c r="H2716" s="3340">
        <v>42459</v>
      </c>
      <c r="I2716" s="3340">
        <v>42460</v>
      </c>
      <c r="J2716" s="3324"/>
    </row>
    <row r="2717" spans="1:12" s="3327" customFormat="1" ht="13.5" customHeight="1">
      <c r="A2717" s="3323"/>
      <c r="B2717" s="3336" t="s">
        <v>4779</v>
      </c>
      <c r="C2717" s="3336" t="s">
        <v>4069</v>
      </c>
      <c r="D2717" s="3336" t="s">
        <v>4974</v>
      </c>
      <c r="E2717" s="3338">
        <v>409.4</v>
      </c>
      <c r="F2717" s="3339">
        <v>346</v>
      </c>
      <c r="G2717" s="3340">
        <v>42461</v>
      </c>
      <c r="H2717" s="3340">
        <v>42824</v>
      </c>
      <c r="I2717" s="3340">
        <v>42825</v>
      </c>
      <c r="J2717" s="3324"/>
    </row>
    <row r="2718" spans="1:12" s="3327" customFormat="1" ht="13.5" customHeight="1">
      <c r="A2718" s="3323"/>
      <c r="B2718" s="3331" t="s">
        <v>4779</v>
      </c>
      <c r="C2718" s="3331" t="s">
        <v>4069</v>
      </c>
      <c r="D2718" s="3331" t="s">
        <v>4974</v>
      </c>
      <c r="E2718" s="3332">
        <v>409.4</v>
      </c>
      <c r="F2718" s="3332">
        <v>346</v>
      </c>
      <c r="G2718" s="3333">
        <v>42826</v>
      </c>
      <c r="H2718" s="3333">
        <v>42901</v>
      </c>
      <c r="I2718" s="3333">
        <v>43190</v>
      </c>
      <c r="J2718" s="3324"/>
      <c r="K2718" s="3334">
        <f t="shared" ref="K2718:K2722" si="485">E2718</f>
        <v>409.4</v>
      </c>
      <c r="L2718" s="3334">
        <f t="shared" ref="L2718:L2722" si="486">F2718/30</f>
        <v>11.533333333333333</v>
      </c>
    </row>
    <row r="2719" spans="1:12" s="3327" customFormat="1" ht="13.5" customHeight="1">
      <c r="A2719" s="3323" t="s">
        <v>4784</v>
      </c>
      <c r="B2719" s="3331" t="s">
        <v>4779</v>
      </c>
      <c r="C2719" s="3331" t="s">
        <v>4069</v>
      </c>
      <c r="D2719" s="3331" t="s">
        <v>4974</v>
      </c>
      <c r="E2719" s="3332">
        <v>210</v>
      </c>
      <c r="F2719" s="3332">
        <v>365</v>
      </c>
      <c r="G2719" s="3333">
        <v>42902</v>
      </c>
      <c r="H2719" s="3333">
        <v>43130</v>
      </c>
      <c r="I2719" s="3333">
        <v>43190</v>
      </c>
      <c r="J2719" s="3324"/>
      <c r="K2719" s="3334">
        <f t="shared" si="485"/>
        <v>210</v>
      </c>
      <c r="L2719" s="3334">
        <f t="shared" si="486"/>
        <v>12.166666666666666</v>
      </c>
    </row>
    <row r="2720" spans="1:12" s="3327" customFormat="1" ht="13.5" customHeight="1">
      <c r="A2720" s="3323"/>
      <c r="B2720" s="3331" t="s">
        <v>4779</v>
      </c>
      <c r="C2720" s="3331" t="s">
        <v>4129</v>
      </c>
      <c r="D2720" s="3331" t="s">
        <v>4975</v>
      </c>
      <c r="E2720" s="3332">
        <v>72.28</v>
      </c>
      <c r="F2720" s="3332">
        <v>370</v>
      </c>
      <c r="G2720" s="3333">
        <v>42902</v>
      </c>
      <c r="H2720" s="3333">
        <v>43008</v>
      </c>
      <c r="I2720" s="3333">
        <v>43190</v>
      </c>
      <c r="J2720" s="3324"/>
      <c r="K2720" s="3334">
        <f t="shared" si="485"/>
        <v>72.28</v>
      </c>
      <c r="L2720" s="3334">
        <f t="shared" si="486"/>
        <v>12.333333333333334</v>
      </c>
    </row>
    <row r="2721" spans="1:12" s="3327" customFormat="1" ht="13.5" customHeight="1">
      <c r="A2721" s="3323" t="s">
        <v>4784</v>
      </c>
      <c r="B2721" s="3331" t="s">
        <v>4779</v>
      </c>
      <c r="C2721" s="3331" t="s">
        <v>4129</v>
      </c>
      <c r="D2721" s="3331" t="s">
        <v>4975</v>
      </c>
      <c r="E2721" s="3332">
        <v>72.28</v>
      </c>
      <c r="F2721" s="3332">
        <v>370</v>
      </c>
      <c r="G2721" s="3333">
        <v>43009</v>
      </c>
      <c r="H2721" s="3333">
        <v>43130</v>
      </c>
      <c r="I2721" s="3333">
        <v>43190</v>
      </c>
      <c r="J2721" s="3324"/>
      <c r="K2721" s="3334">
        <f t="shared" si="485"/>
        <v>72.28</v>
      </c>
      <c r="L2721" s="3334">
        <f t="shared" si="486"/>
        <v>12.333333333333334</v>
      </c>
    </row>
    <row r="2722" spans="1:12" s="3327" customFormat="1" ht="13.5" customHeight="1">
      <c r="A2722" s="3323" t="s">
        <v>4784</v>
      </c>
      <c r="B2722" s="3331" t="s">
        <v>4779</v>
      </c>
      <c r="C2722" s="3331" t="s">
        <v>4976</v>
      </c>
      <c r="D2722" s="3331" t="s">
        <v>4977</v>
      </c>
      <c r="E2722" s="3332">
        <v>127.12</v>
      </c>
      <c r="F2722" s="3332">
        <v>370</v>
      </c>
      <c r="G2722" s="3333">
        <v>42902</v>
      </c>
      <c r="H2722" s="3333">
        <v>43130</v>
      </c>
      <c r="I2722" s="3333">
        <v>43190</v>
      </c>
      <c r="J2722" s="3324"/>
      <c r="K2722" s="3334">
        <f t="shared" si="485"/>
        <v>127.12</v>
      </c>
      <c r="L2722" s="3334">
        <f t="shared" si="486"/>
        <v>12.333333333333334</v>
      </c>
    </row>
    <row r="2723" spans="1:12" s="3327" customFormat="1" ht="13.5" customHeight="1">
      <c r="A2723" s="3335"/>
      <c r="B2723" s="3336" t="s">
        <v>4779</v>
      </c>
      <c r="C2723" s="3336" t="s">
        <v>4978</v>
      </c>
      <c r="D2723" s="3336" t="s">
        <v>4979</v>
      </c>
      <c r="E2723" s="3339">
        <v>321.2</v>
      </c>
      <c r="F2723" s="3339">
        <v>310</v>
      </c>
      <c r="G2723" s="3340">
        <v>41000</v>
      </c>
      <c r="H2723" s="3340">
        <v>41363</v>
      </c>
      <c r="I2723" s="3340">
        <v>41364</v>
      </c>
      <c r="J2723" s="3336"/>
    </row>
    <row r="2724" spans="1:12" s="3327" customFormat="1" ht="13.5" customHeight="1">
      <c r="A2724" s="3323"/>
      <c r="B2724" s="3324" t="s">
        <v>4779</v>
      </c>
      <c r="C2724" s="3324" t="s">
        <v>4978</v>
      </c>
      <c r="D2724" s="3324" t="s">
        <v>4980</v>
      </c>
      <c r="E2724" s="3325">
        <v>321.2</v>
      </c>
      <c r="F2724" s="3325">
        <v>330</v>
      </c>
      <c r="G2724" s="3326">
        <v>41730</v>
      </c>
      <c r="H2724" s="3326">
        <v>41789</v>
      </c>
      <c r="I2724" s="3326">
        <v>42094</v>
      </c>
      <c r="J2724" s="3324"/>
    </row>
    <row r="2725" spans="1:12" s="3327" customFormat="1" ht="13.5" customHeight="1">
      <c r="A2725" s="3323"/>
      <c r="B2725" s="3324" t="s">
        <v>4779</v>
      </c>
      <c r="C2725" s="3403" t="s">
        <v>4981</v>
      </c>
      <c r="D2725" s="3324" t="s">
        <v>4980</v>
      </c>
      <c r="E2725" s="3325">
        <v>321.2</v>
      </c>
      <c r="F2725" s="3325">
        <v>330</v>
      </c>
      <c r="G2725" s="3326">
        <v>41791</v>
      </c>
      <c r="H2725" s="3326">
        <v>42093</v>
      </c>
      <c r="I2725" s="3326">
        <v>42094</v>
      </c>
      <c r="J2725" s="3324"/>
    </row>
    <row r="2726" spans="1:12" s="3327" customFormat="1" ht="13.5" customHeight="1">
      <c r="A2726" s="3323"/>
      <c r="B2726" s="3336" t="s">
        <v>4779</v>
      </c>
      <c r="C2726" s="3336" t="s">
        <v>4981</v>
      </c>
      <c r="D2726" s="3336" t="s">
        <v>4980</v>
      </c>
      <c r="E2726" s="3339">
        <v>321.2</v>
      </c>
      <c r="F2726" s="3339">
        <v>336</v>
      </c>
      <c r="G2726" s="3340">
        <v>42095</v>
      </c>
      <c r="H2726" s="3340">
        <v>42141</v>
      </c>
      <c r="I2726" s="3340">
        <v>42155</v>
      </c>
      <c r="J2726" s="3324"/>
    </row>
    <row r="2727" spans="1:12" s="3327" customFormat="1" ht="13.5" customHeight="1">
      <c r="A2727" s="3323"/>
      <c r="B2727" s="3336" t="s">
        <v>4779</v>
      </c>
      <c r="C2727" s="3336" t="s">
        <v>4052</v>
      </c>
      <c r="D2727" s="3336" t="s">
        <v>4980</v>
      </c>
      <c r="E2727" s="3339">
        <v>251.55</v>
      </c>
      <c r="F2727" s="3339">
        <v>330</v>
      </c>
      <c r="G2727" s="3340">
        <v>42142</v>
      </c>
      <c r="H2727" s="3340">
        <v>42459</v>
      </c>
      <c r="I2727" s="3340">
        <v>42460</v>
      </c>
      <c r="J2727" s="3324"/>
    </row>
    <row r="2728" spans="1:12" s="3327" customFormat="1" ht="13.5" customHeight="1">
      <c r="A2728" s="3323"/>
      <c r="B2728" s="3336" t="s">
        <v>4779</v>
      </c>
      <c r="C2728" s="3336" t="s">
        <v>4052</v>
      </c>
      <c r="D2728" s="3336" t="s">
        <v>4980</v>
      </c>
      <c r="E2728" s="3339">
        <v>251.55</v>
      </c>
      <c r="F2728" s="3339">
        <v>340</v>
      </c>
      <c r="G2728" s="3340">
        <v>42461</v>
      </c>
      <c r="H2728" s="3340">
        <v>42824</v>
      </c>
      <c r="I2728" s="3340">
        <v>42825</v>
      </c>
      <c r="J2728" s="3324"/>
    </row>
    <row r="2729" spans="1:12" s="3327" customFormat="1" ht="13.5" customHeight="1">
      <c r="A2729" s="3323"/>
      <c r="B2729" s="3331" t="s">
        <v>4779</v>
      </c>
      <c r="C2729" s="3331" t="s">
        <v>4052</v>
      </c>
      <c r="D2729" s="3331" t="s">
        <v>4982</v>
      </c>
      <c r="E2729" s="3332">
        <v>251.55</v>
      </c>
      <c r="F2729" s="3332">
        <v>355</v>
      </c>
      <c r="G2729" s="3333">
        <v>42826</v>
      </c>
      <c r="H2729" s="3333">
        <v>42885</v>
      </c>
      <c r="I2729" s="3333">
        <v>42886</v>
      </c>
      <c r="J2729" s="3324"/>
      <c r="K2729" s="3334">
        <f t="shared" ref="K2729:K2730" si="487">E2729</f>
        <v>251.55</v>
      </c>
      <c r="L2729" s="3334">
        <f t="shared" ref="L2729:L2730" si="488">F2729/30</f>
        <v>11.833333333333334</v>
      </c>
    </row>
    <row r="2730" spans="1:12" s="3327" customFormat="1" ht="13.5" customHeight="1">
      <c r="A2730" s="3335"/>
      <c r="B2730" s="3331" t="s">
        <v>4779</v>
      </c>
      <c r="C2730" s="3331" t="s">
        <v>4052</v>
      </c>
      <c r="D2730" s="3331" t="s">
        <v>4982</v>
      </c>
      <c r="E2730" s="3332">
        <v>251.55</v>
      </c>
      <c r="F2730" s="3332">
        <v>355</v>
      </c>
      <c r="G2730" s="3333">
        <v>42887</v>
      </c>
      <c r="H2730" s="3333">
        <v>42898</v>
      </c>
      <c r="I2730" s="3333">
        <v>43190</v>
      </c>
      <c r="J2730" s="3324"/>
      <c r="K2730" s="3334">
        <f t="shared" si="487"/>
        <v>251.55</v>
      </c>
      <c r="L2730" s="3334">
        <f t="shared" si="488"/>
        <v>11.833333333333334</v>
      </c>
    </row>
    <row r="2731" spans="1:12" s="3327" customFormat="1" ht="13.5" customHeight="1">
      <c r="A2731" s="3335"/>
      <c r="B2731" s="3336" t="s">
        <v>4779</v>
      </c>
      <c r="C2731" s="3336" t="s">
        <v>4983</v>
      </c>
      <c r="D2731" s="3336" t="s">
        <v>4984</v>
      </c>
      <c r="E2731" s="3339">
        <v>233.4</v>
      </c>
      <c r="F2731" s="3339">
        <v>300</v>
      </c>
      <c r="G2731" s="3340">
        <v>41000</v>
      </c>
      <c r="H2731" s="3340">
        <v>41363</v>
      </c>
      <c r="I2731" s="3340">
        <v>41364</v>
      </c>
      <c r="J2731" s="3336"/>
    </row>
    <row r="2732" spans="1:12" s="3327" customFormat="1" ht="13.5" customHeight="1">
      <c r="A2732" s="3323"/>
      <c r="B2732" s="3324" t="s">
        <v>4779</v>
      </c>
      <c r="C2732" s="3324" t="s">
        <v>4983</v>
      </c>
      <c r="D2732" s="3324" t="s">
        <v>4985</v>
      </c>
      <c r="E2732" s="3325">
        <v>233.4</v>
      </c>
      <c r="F2732" s="3325">
        <v>320</v>
      </c>
      <c r="G2732" s="3326">
        <v>41730</v>
      </c>
      <c r="H2732" s="3326">
        <v>41820</v>
      </c>
      <c r="I2732" s="3326">
        <v>42094</v>
      </c>
      <c r="J2732" s="3324"/>
    </row>
    <row r="2733" spans="1:12" s="3327" customFormat="1" ht="13.5" customHeight="1">
      <c r="A2733" s="3323"/>
      <c r="B2733" s="3324" t="s">
        <v>4779</v>
      </c>
      <c r="C2733" s="3324" t="s">
        <v>4963</v>
      </c>
      <c r="D2733" s="3324" t="s">
        <v>4986</v>
      </c>
      <c r="E2733" s="3325">
        <v>133.4</v>
      </c>
      <c r="F2733" s="3325">
        <v>320</v>
      </c>
      <c r="G2733" s="3326">
        <v>41821</v>
      </c>
      <c r="H2733" s="3326">
        <v>42093</v>
      </c>
      <c r="I2733" s="3326">
        <v>42094</v>
      </c>
      <c r="J2733" s="3324"/>
    </row>
    <row r="2734" spans="1:12" s="3327" customFormat="1" ht="13.5" customHeight="1">
      <c r="A2734" s="3323"/>
      <c r="B2734" s="3336" t="s">
        <v>4779</v>
      </c>
      <c r="C2734" s="3336" t="s">
        <v>4963</v>
      </c>
      <c r="D2734" s="3336" t="s">
        <v>4986</v>
      </c>
      <c r="E2734" s="3339">
        <v>133.4</v>
      </c>
      <c r="F2734" s="3339">
        <v>326</v>
      </c>
      <c r="G2734" s="3340">
        <v>42095</v>
      </c>
      <c r="H2734" s="3340">
        <v>42141</v>
      </c>
      <c r="I2734" s="3340">
        <v>42155</v>
      </c>
      <c r="J2734" s="3324"/>
    </row>
    <row r="2735" spans="1:12" s="3327" customFormat="1" ht="13.5" customHeight="1">
      <c r="A2735" s="3323"/>
      <c r="B2735" s="3324" t="s">
        <v>4779</v>
      </c>
      <c r="C2735" s="3324" t="s">
        <v>4960</v>
      </c>
      <c r="D2735" s="3324" t="s">
        <v>4987</v>
      </c>
      <c r="E2735" s="3325">
        <v>100</v>
      </c>
      <c r="F2735" s="3325">
        <v>320</v>
      </c>
      <c r="G2735" s="3326">
        <v>41821</v>
      </c>
      <c r="H2735" s="3326">
        <v>42093</v>
      </c>
      <c r="I2735" s="3326">
        <v>42094</v>
      </c>
      <c r="J2735" s="3324"/>
    </row>
    <row r="2736" spans="1:12" s="3327" customFormat="1" ht="13.5" customHeight="1">
      <c r="A2736" s="3323"/>
      <c r="B2736" s="3336" t="s">
        <v>4779</v>
      </c>
      <c r="C2736" s="3336" t="s">
        <v>4960</v>
      </c>
      <c r="D2736" s="3336" t="s">
        <v>4987</v>
      </c>
      <c r="E2736" s="3339">
        <v>100</v>
      </c>
      <c r="F2736" s="3339">
        <v>326</v>
      </c>
      <c r="G2736" s="3340">
        <v>42095</v>
      </c>
      <c r="H2736" s="3340">
        <v>42141</v>
      </c>
      <c r="I2736" s="3340">
        <v>42155</v>
      </c>
      <c r="J2736" s="3324"/>
    </row>
    <row r="2737" spans="1:14" s="3327" customFormat="1" ht="13.5" customHeight="1">
      <c r="A2737" s="3323"/>
      <c r="B2737" s="3336" t="s">
        <v>4779</v>
      </c>
      <c r="C2737" s="3336" t="s">
        <v>4939</v>
      </c>
      <c r="D2737" s="3336" t="s">
        <v>4988</v>
      </c>
      <c r="E2737" s="3339">
        <v>312.69</v>
      </c>
      <c r="F2737" s="3339">
        <v>336</v>
      </c>
      <c r="G2737" s="3340">
        <v>42142</v>
      </c>
      <c r="H2737" s="3340">
        <v>42459</v>
      </c>
      <c r="I2737" s="3340">
        <v>42460</v>
      </c>
      <c r="J2737" s="3324"/>
    </row>
    <row r="2738" spans="1:14" s="3327" customFormat="1" ht="13.5" customHeight="1">
      <c r="A2738" s="3323"/>
      <c r="B2738" s="3336" t="s">
        <v>4779</v>
      </c>
      <c r="C2738" s="3336" t="s">
        <v>4939</v>
      </c>
      <c r="D2738" s="3336" t="s">
        <v>4988</v>
      </c>
      <c r="E2738" s="3339">
        <v>312.69</v>
      </c>
      <c r="F2738" s="3339">
        <v>344</v>
      </c>
      <c r="G2738" s="3340">
        <v>42461</v>
      </c>
      <c r="H2738" s="3340">
        <v>42824</v>
      </c>
      <c r="I2738" s="3340">
        <v>42825</v>
      </c>
      <c r="J2738" s="3324"/>
    </row>
    <row r="2739" spans="1:14" s="3327" customFormat="1" ht="13.5" customHeight="1">
      <c r="A2739" s="3335"/>
      <c r="B2739" s="3331" t="s">
        <v>4779</v>
      </c>
      <c r="C2739" s="3331" t="s">
        <v>4939</v>
      </c>
      <c r="D2739" s="3331" t="s">
        <v>4988</v>
      </c>
      <c r="E2739" s="3332">
        <v>312.69</v>
      </c>
      <c r="F2739" s="3332">
        <v>350</v>
      </c>
      <c r="G2739" s="3333">
        <v>42826</v>
      </c>
      <c r="H2739" s="3333">
        <v>42898</v>
      </c>
      <c r="I2739" s="3333">
        <v>43190</v>
      </c>
      <c r="J2739" s="3324"/>
      <c r="K2739" s="3334">
        <f t="shared" ref="K2739" si="489">E2739</f>
        <v>312.69</v>
      </c>
      <c r="L2739" s="3334">
        <f t="shared" ref="L2739" si="490">F2739/30</f>
        <v>11.666666666666666</v>
      </c>
    </row>
    <row r="2740" spans="1:14" s="3327" customFormat="1" ht="13.5" customHeight="1">
      <c r="A2740" s="3335"/>
      <c r="B2740" s="3336" t="s">
        <v>4779</v>
      </c>
      <c r="C2740" s="3336" t="s">
        <v>4989</v>
      </c>
      <c r="D2740" s="3336" t="s">
        <v>4990</v>
      </c>
      <c r="E2740" s="3339">
        <v>154.1</v>
      </c>
      <c r="F2740" s="3339">
        <v>270</v>
      </c>
      <c r="G2740" s="3340">
        <v>41000</v>
      </c>
      <c r="H2740" s="3340">
        <v>41363</v>
      </c>
      <c r="I2740" s="3340">
        <v>41364</v>
      </c>
      <c r="J2740" s="3336"/>
    </row>
    <row r="2741" spans="1:14" s="3327" customFormat="1" ht="13.5" customHeight="1">
      <c r="A2741" s="3323"/>
      <c r="B2741" s="3324" t="s">
        <v>4779</v>
      </c>
      <c r="C2741" s="3324" t="s">
        <v>4869</v>
      </c>
      <c r="D2741" s="3324" t="s">
        <v>4928</v>
      </c>
      <c r="E2741" s="3325">
        <v>154.1</v>
      </c>
      <c r="F2741" s="3325">
        <v>275</v>
      </c>
      <c r="G2741" s="3326">
        <v>41730</v>
      </c>
      <c r="H2741" s="3326">
        <v>41973</v>
      </c>
      <c r="I2741" s="3326">
        <v>42094</v>
      </c>
      <c r="J2741" s="3324"/>
    </row>
    <row r="2742" spans="1:14" s="3327" customFormat="1" ht="13.5" customHeight="1">
      <c r="A2742" s="3354"/>
      <c r="B2742" s="3324" t="s">
        <v>4779</v>
      </c>
      <c r="C2742" s="3324" t="s">
        <v>4879</v>
      </c>
      <c r="D2742" s="3324" t="s">
        <v>4928</v>
      </c>
      <c r="E2742" s="3325">
        <v>154.1</v>
      </c>
      <c r="F2742" s="3325">
        <v>275</v>
      </c>
      <c r="G2742" s="3326">
        <v>41974</v>
      </c>
      <c r="H2742" s="3326">
        <v>42093</v>
      </c>
      <c r="I2742" s="3326">
        <v>42094</v>
      </c>
      <c r="J2742" s="3324"/>
    </row>
    <row r="2743" spans="1:14" s="3327" customFormat="1" ht="13.5" customHeight="1">
      <c r="A2743" s="3354"/>
      <c r="B2743" s="3336" t="s">
        <v>4779</v>
      </c>
      <c r="C2743" s="3336" t="s">
        <v>4879</v>
      </c>
      <c r="D2743" s="3336" t="s">
        <v>4928</v>
      </c>
      <c r="E2743" s="3339">
        <v>154.1</v>
      </c>
      <c r="F2743" s="3397">
        <v>281</v>
      </c>
      <c r="G2743" s="3340">
        <v>42095</v>
      </c>
      <c r="H2743" s="3340">
        <v>42141</v>
      </c>
      <c r="I2743" s="3340">
        <v>42155</v>
      </c>
      <c r="J2743" s="3379"/>
    </row>
    <row r="2744" spans="1:14" s="3327" customFormat="1" ht="14.25" customHeight="1">
      <c r="A2744" s="3354"/>
      <c r="B2744" s="3336" t="s">
        <v>4779</v>
      </c>
      <c r="C2744" s="3336" t="s">
        <v>3431</v>
      </c>
      <c r="D2744" s="3336" t="s">
        <v>4926</v>
      </c>
      <c r="E2744" s="3339">
        <v>303.01</v>
      </c>
      <c r="F2744" s="3397">
        <v>275</v>
      </c>
      <c r="G2744" s="3340">
        <v>42142</v>
      </c>
      <c r="H2744" s="3340">
        <v>42459</v>
      </c>
      <c r="I2744" s="3340">
        <v>42460</v>
      </c>
      <c r="J2744" s="3379"/>
    </row>
    <row r="2745" spans="1:14" s="3327" customFormat="1" ht="14.25" customHeight="1">
      <c r="A2745" s="3354"/>
      <c r="B2745" s="3336" t="s">
        <v>4779</v>
      </c>
      <c r="C2745" s="3336" t="s">
        <v>3431</v>
      </c>
      <c r="D2745" s="3336" t="s">
        <v>4926</v>
      </c>
      <c r="E2745" s="3339">
        <v>303.01</v>
      </c>
      <c r="F2745" s="3397">
        <v>275</v>
      </c>
      <c r="G2745" s="3340">
        <v>42461</v>
      </c>
      <c r="H2745" s="3340">
        <v>42824</v>
      </c>
      <c r="I2745" s="3340">
        <v>42825</v>
      </c>
      <c r="J2745" s="3379"/>
    </row>
    <row r="2746" spans="1:14" s="3327" customFormat="1" ht="14.25" customHeight="1">
      <c r="A2746" s="3354"/>
      <c r="B2746" s="3331" t="s">
        <v>4779</v>
      </c>
      <c r="C2746" s="3331" t="s">
        <v>3431</v>
      </c>
      <c r="D2746" s="3331" t="s">
        <v>4926</v>
      </c>
      <c r="E2746" s="3332">
        <v>303.01</v>
      </c>
      <c r="F2746" s="3399">
        <v>270</v>
      </c>
      <c r="G2746" s="3400">
        <v>42826</v>
      </c>
      <c r="H2746" s="3333">
        <v>42885</v>
      </c>
      <c r="I2746" s="3400">
        <v>42886</v>
      </c>
      <c r="J2746" s="3379"/>
      <c r="K2746" s="3334">
        <f t="shared" ref="K2746:K2747" si="491">E2746</f>
        <v>303.01</v>
      </c>
      <c r="L2746" s="3334">
        <f t="shared" ref="L2746:L2747" si="492">F2746/30</f>
        <v>9</v>
      </c>
    </row>
    <row r="2747" spans="1:14" s="3327" customFormat="1" ht="14.25" customHeight="1">
      <c r="A2747" s="3355"/>
      <c r="B2747" s="3331" t="s">
        <v>4779</v>
      </c>
      <c r="C2747" s="3331" t="s">
        <v>3431</v>
      </c>
      <c r="D2747" s="3331" t="s">
        <v>4926</v>
      </c>
      <c r="E2747" s="3332">
        <v>303.01</v>
      </c>
      <c r="F2747" s="3399">
        <v>290</v>
      </c>
      <c r="G2747" s="3400">
        <v>42887</v>
      </c>
      <c r="H2747" s="3333">
        <v>42898</v>
      </c>
      <c r="I2747" s="3400">
        <v>43190</v>
      </c>
      <c r="J2747" s="3379"/>
      <c r="K2747" s="3334">
        <f t="shared" si="491"/>
        <v>303.01</v>
      </c>
      <c r="L2747" s="3359">
        <f t="shared" si="492"/>
        <v>9.6666666666666661</v>
      </c>
      <c r="M2747" s="3360"/>
      <c r="N2747" s="3360">
        <f>SUMPRODUCT(K2388:K2747,L2388:L2747)/SUM(K2388:K2747)</f>
        <v>10.069657832830881</v>
      </c>
    </row>
    <row r="2748" spans="1:14" ht="17.25" customHeight="1" outlineLevel="1">
      <c r="A2748" s="3361">
        <v>52</v>
      </c>
      <c r="B2748" s="3401" t="s">
        <v>4991</v>
      </c>
      <c r="C2748" s="3401"/>
      <c r="D2748" s="3401"/>
      <c r="E2748" s="3412">
        <v>9124.1700000000019</v>
      </c>
      <c r="F2748" s="3402">
        <v>16023</v>
      </c>
      <c r="G2748" s="3402"/>
      <c r="H2748" s="3402"/>
      <c r="I2748" s="3402"/>
      <c r="J2748" s="3402">
        <v>0</v>
      </c>
    </row>
    <row r="2749" spans="1:14" s="3327" customFormat="1" ht="14.25" customHeight="1">
      <c r="A2749" s="3335"/>
      <c r="B2749" s="3336" t="s">
        <v>4992</v>
      </c>
      <c r="C2749" s="3336" t="s">
        <v>4993</v>
      </c>
      <c r="D2749" s="3336" t="s">
        <v>4994</v>
      </c>
      <c r="E2749" s="3339">
        <v>604.1</v>
      </c>
      <c r="F2749" s="3339">
        <v>165</v>
      </c>
      <c r="G2749" s="3340">
        <v>41000</v>
      </c>
      <c r="H2749" s="3340">
        <v>41363</v>
      </c>
      <c r="I2749" s="3340">
        <v>41364</v>
      </c>
      <c r="J2749" s="3336"/>
    </row>
    <row r="2750" spans="1:14" s="3327" customFormat="1" ht="13.5" customHeight="1">
      <c r="A2750" s="3323"/>
      <c r="B2750" s="3324" t="s">
        <v>4992</v>
      </c>
      <c r="C2750" s="3324" t="s">
        <v>4993</v>
      </c>
      <c r="D2750" s="3324" t="s">
        <v>4995</v>
      </c>
      <c r="E2750" s="3325">
        <v>604.1</v>
      </c>
      <c r="F2750" s="3325">
        <v>125</v>
      </c>
      <c r="G2750" s="3326">
        <v>41730</v>
      </c>
      <c r="H2750" s="3326">
        <v>42093</v>
      </c>
      <c r="I2750" s="3326">
        <v>42094</v>
      </c>
      <c r="J2750" s="3324"/>
    </row>
    <row r="2751" spans="1:14" s="3327" customFormat="1" ht="13.5" customHeight="1">
      <c r="A2751" s="3323"/>
      <c r="B2751" s="3336" t="s">
        <v>4992</v>
      </c>
      <c r="C2751" s="3336" t="s">
        <v>4993</v>
      </c>
      <c r="D2751" s="3336" t="s">
        <v>4995</v>
      </c>
      <c r="E2751" s="3339">
        <v>604.1</v>
      </c>
      <c r="F2751" s="3339">
        <v>131</v>
      </c>
      <c r="G2751" s="3340">
        <v>42095</v>
      </c>
      <c r="H2751" s="3340">
        <v>42368</v>
      </c>
      <c r="I2751" s="3340">
        <v>42460</v>
      </c>
      <c r="J2751" s="3324"/>
    </row>
    <row r="2752" spans="1:14" s="3327" customFormat="1" ht="13.5" customHeight="1">
      <c r="A2752" s="3354"/>
      <c r="B2752" s="3336" t="s">
        <v>4992</v>
      </c>
      <c r="C2752" s="3336" t="s">
        <v>3350</v>
      </c>
      <c r="D2752" s="3336" t="s">
        <v>4995</v>
      </c>
      <c r="E2752" s="3339">
        <v>604.1</v>
      </c>
      <c r="F2752" s="3339">
        <v>435</v>
      </c>
      <c r="G2752" s="3340">
        <v>42448</v>
      </c>
      <c r="H2752" s="3340">
        <v>42459</v>
      </c>
      <c r="I2752" s="3340">
        <v>42460</v>
      </c>
      <c r="J2752" s="3324"/>
    </row>
    <row r="2753" spans="1:12" s="3327" customFormat="1" ht="13.5" customHeight="1">
      <c r="A2753" s="3354"/>
      <c r="B2753" s="3336" t="s">
        <v>4992</v>
      </c>
      <c r="C2753" s="3336" t="s">
        <v>3350</v>
      </c>
      <c r="D2753" s="3336" t="s">
        <v>4996</v>
      </c>
      <c r="E2753" s="3338">
        <v>261.39999999999998</v>
      </c>
      <c r="F2753" s="3339">
        <v>134</v>
      </c>
      <c r="G2753" s="3340">
        <v>42461</v>
      </c>
      <c r="H2753" s="3340">
        <v>42824</v>
      </c>
      <c r="I2753" s="3340">
        <v>42825</v>
      </c>
      <c r="J2753" s="3324"/>
    </row>
    <row r="2754" spans="1:12" s="3327" customFormat="1" ht="13.5" customHeight="1">
      <c r="A2754" s="3354" t="s">
        <v>4997</v>
      </c>
      <c r="B2754" s="3331" t="s">
        <v>4992</v>
      </c>
      <c r="C2754" s="3331" t="s">
        <v>4998</v>
      </c>
      <c r="D2754" s="3331" t="s">
        <v>4996</v>
      </c>
      <c r="E2754" s="3332">
        <v>261.39999999999998</v>
      </c>
      <c r="F2754" s="3332">
        <v>142</v>
      </c>
      <c r="G2754" s="3333">
        <v>42826</v>
      </c>
      <c r="H2754" s="3333">
        <v>43130</v>
      </c>
      <c r="I2754" s="3333">
        <v>43190</v>
      </c>
      <c r="J2754" s="3324"/>
      <c r="K2754" s="3334">
        <f t="shared" ref="K2754" si="493">E2754</f>
        <v>261.39999999999998</v>
      </c>
      <c r="L2754" s="3334">
        <f t="shared" ref="L2754" si="494">F2754/30</f>
        <v>4.7333333333333334</v>
      </c>
    </row>
    <row r="2755" spans="1:12" s="3327" customFormat="1" ht="13.5" customHeight="1">
      <c r="A2755" s="3354"/>
      <c r="B2755" s="3336" t="s">
        <v>4992</v>
      </c>
      <c r="C2755" s="3336" t="s">
        <v>3749</v>
      </c>
      <c r="D2755" s="3336" t="s">
        <v>4999</v>
      </c>
      <c r="E2755" s="3338">
        <v>173.6</v>
      </c>
      <c r="F2755" s="3339">
        <v>240</v>
      </c>
      <c r="G2755" s="3340">
        <v>42461</v>
      </c>
      <c r="H2755" s="3340">
        <v>42824</v>
      </c>
      <c r="I2755" s="3340">
        <v>42825</v>
      </c>
      <c r="J2755" s="3324"/>
    </row>
    <row r="2756" spans="1:12" s="3327" customFormat="1" ht="13.5" customHeight="1">
      <c r="A2756" s="3354" t="s">
        <v>4997</v>
      </c>
      <c r="B2756" s="3331" t="s">
        <v>4992</v>
      </c>
      <c r="C2756" s="3331" t="s">
        <v>3749</v>
      </c>
      <c r="D2756" s="3331" t="s">
        <v>4999</v>
      </c>
      <c r="E2756" s="3332">
        <v>173.6</v>
      </c>
      <c r="F2756" s="3332">
        <v>250</v>
      </c>
      <c r="G2756" s="3333">
        <v>42826</v>
      </c>
      <c r="H2756" s="3333">
        <v>43130</v>
      </c>
      <c r="I2756" s="3333">
        <v>43190</v>
      </c>
      <c r="J2756" s="3324"/>
      <c r="K2756" s="3334">
        <f t="shared" ref="K2756" si="495">E2756</f>
        <v>173.6</v>
      </c>
      <c r="L2756" s="3334">
        <f t="shared" ref="L2756" si="496">F2756/30</f>
        <v>8.3333333333333339</v>
      </c>
    </row>
    <row r="2757" spans="1:12" s="3327" customFormat="1" ht="13.5" customHeight="1">
      <c r="A2757" s="3354"/>
      <c r="B2757" s="3336" t="s">
        <v>4992</v>
      </c>
      <c r="C2757" s="3336" t="s">
        <v>4083</v>
      </c>
      <c r="D2757" s="3336" t="s">
        <v>5000</v>
      </c>
      <c r="E2757" s="3338">
        <v>169.12</v>
      </c>
      <c r="F2757" s="3339">
        <v>180</v>
      </c>
      <c r="G2757" s="3340">
        <v>42461</v>
      </c>
      <c r="H2757" s="3340">
        <v>42824</v>
      </c>
      <c r="I2757" s="3340">
        <v>42825</v>
      </c>
      <c r="J2757" s="3324"/>
    </row>
    <row r="2758" spans="1:12" s="3327" customFormat="1" ht="13.5" customHeight="1">
      <c r="A2758" s="3354"/>
      <c r="B2758" s="3331" t="s">
        <v>4992</v>
      </c>
      <c r="C2758" s="3331" t="s">
        <v>4083</v>
      </c>
      <c r="D2758" s="3331" t="s">
        <v>5000</v>
      </c>
      <c r="E2758" s="3332">
        <v>169.12</v>
      </c>
      <c r="F2758" s="3332">
        <v>180</v>
      </c>
      <c r="G2758" s="3333">
        <v>42826</v>
      </c>
      <c r="H2758" s="3333">
        <v>43008</v>
      </c>
      <c r="I2758" s="3333">
        <v>43190</v>
      </c>
      <c r="J2758" s="3324"/>
      <c r="K2758" s="3334">
        <f t="shared" ref="K2758:K2759" si="497">E2758</f>
        <v>169.12</v>
      </c>
      <c r="L2758" s="3334">
        <f t="shared" ref="L2758:L2759" si="498">F2758/30</f>
        <v>6</v>
      </c>
    </row>
    <row r="2759" spans="1:12" s="3327" customFormat="1" ht="13.5" customHeight="1">
      <c r="A2759" s="3354" t="s">
        <v>4997</v>
      </c>
      <c r="B2759" s="3331" t="s">
        <v>4992</v>
      </c>
      <c r="C2759" s="3331" t="s">
        <v>5001</v>
      </c>
      <c r="D2759" s="3331" t="s">
        <v>5000</v>
      </c>
      <c r="E2759" s="3332">
        <v>169.12</v>
      </c>
      <c r="F2759" s="3332">
        <v>180</v>
      </c>
      <c r="G2759" s="3333">
        <v>43009</v>
      </c>
      <c r="H2759" s="3333">
        <v>43130</v>
      </c>
      <c r="I2759" s="3333">
        <v>43190</v>
      </c>
      <c r="J2759" s="3324"/>
      <c r="K2759" s="3334">
        <f t="shared" si="497"/>
        <v>169.12</v>
      </c>
      <c r="L2759" s="3334">
        <f t="shared" si="498"/>
        <v>6</v>
      </c>
    </row>
    <row r="2760" spans="1:12" s="3327" customFormat="1" ht="13.5" customHeight="1">
      <c r="A2760" s="3355"/>
      <c r="B2760" s="3336" t="s">
        <v>4992</v>
      </c>
      <c r="C2760" s="3336" t="s">
        <v>5002</v>
      </c>
      <c r="D2760" s="3336" t="s">
        <v>5003</v>
      </c>
      <c r="E2760" s="3339">
        <v>336.2</v>
      </c>
      <c r="F2760" s="3339">
        <v>150</v>
      </c>
      <c r="G2760" s="3340">
        <v>41000</v>
      </c>
      <c r="H2760" s="3340">
        <v>41363</v>
      </c>
      <c r="I2760" s="3340">
        <v>41364</v>
      </c>
      <c r="J2760" s="3336"/>
    </row>
    <row r="2761" spans="1:12" s="3327" customFormat="1" ht="13.5" customHeight="1">
      <c r="A2761" s="3323"/>
      <c r="B2761" s="3324" t="s">
        <v>4992</v>
      </c>
      <c r="C2761" s="3324" t="s">
        <v>5004</v>
      </c>
      <c r="D2761" s="3324" t="s">
        <v>5005</v>
      </c>
      <c r="E2761" s="3325">
        <v>331.2</v>
      </c>
      <c r="F2761" s="3325">
        <v>180</v>
      </c>
      <c r="G2761" s="3326">
        <v>41730</v>
      </c>
      <c r="H2761" s="3326">
        <v>42093</v>
      </c>
      <c r="I2761" s="3326">
        <v>42094</v>
      </c>
      <c r="J2761" s="3324"/>
    </row>
    <row r="2762" spans="1:12" s="3327" customFormat="1" ht="13.5" customHeight="1">
      <c r="A2762" s="3354"/>
      <c r="B2762" s="3336" t="s">
        <v>4992</v>
      </c>
      <c r="C2762" s="3336" t="s">
        <v>5004</v>
      </c>
      <c r="D2762" s="3336" t="s">
        <v>5005</v>
      </c>
      <c r="E2762" s="3339">
        <v>331.2</v>
      </c>
      <c r="F2762" s="3339">
        <v>186</v>
      </c>
      <c r="G2762" s="3340">
        <v>42095</v>
      </c>
      <c r="H2762" s="3340">
        <v>42151</v>
      </c>
      <c r="I2762" s="3340">
        <v>42460</v>
      </c>
      <c r="J2762" s="3324"/>
    </row>
    <row r="2763" spans="1:12" s="3327" customFormat="1" ht="13.5" customHeight="1">
      <c r="A2763" s="3354"/>
      <c r="B2763" s="3336" t="s">
        <v>4992</v>
      </c>
      <c r="C2763" s="3336" t="s">
        <v>5006</v>
      </c>
      <c r="D2763" s="3336" t="s">
        <v>5005</v>
      </c>
      <c r="E2763" s="3339">
        <v>331.2</v>
      </c>
      <c r="F2763" s="3339">
        <v>186</v>
      </c>
      <c r="G2763" s="3340">
        <v>42152</v>
      </c>
      <c r="H2763" s="3340">
        <v>42399</v>
      </c>
      <c r="I2763" s="3340">
        <v>42460</v>
      </c>
      <c r="J2763" s="3324"/>
    </row>
    <row r="2764" spans="1:12" s="3327" customFormat="1" ht="13.5" customHeight="1">
      <c r="A2764" s="3354"/>
      <c r="B2764" s="3336" t="s">
        <v>4992</v>
      </c>
      <c r="C2764" s="3336" t="s">
        <v>3774</v>
      </c>
      <c r="D2764" s="3336" t="s">
        <v>5005</v>
      </c>
      <c r="E2764" s="3339">
        <v>331.2</v>
      </c>
      <c r="F2764" s="3339">
        <v>435</v>
      </c>
      <c r="G2764" s="3340">
        <v>42448</v>
      </c>
      <c r="H2764" s="3340">
        <v>42459</v>
      </c>
      <c r="I2764" s="3340">
        <v>42460</v>
      </c>
      <c r="J2764" s="3324"/>
    </row>
    <row r="2765" spans="1:12" s="3327" customFormat="1" ht="13.5" customHeight="1">
      <c r="A2765" s="3354"/>
      <c r="B2765" s="3336" t="s">
        <v>4992</v>
      </c>
      <c r="C2765" s="3336" t="s">
        <v>3359</v>
      </c>
      <c r="D2765" s="3336" t="s">
        <v>5007</v>
      </c>
      <c r="E2765" s="3338">
        <v>169.12</v>
      </c>
      <c r="F2765" s="3339">
        <v>240</v>
      </c>
      <c r="G2765" s="3340">
        <v>42461</v>
      </c>
      <c r="H2765" s="3340">
        <v>42804</v>
      </c>
      <c r="I2765" s="3340">
        <v>42825</v>
      </c>
      <c r="J2765" s="3324"/>
    </row>
    <row r="2766" spans="1:12" s="3327" customFormat="1" ht="13.5" customHeight="1">
      <c r="A2766" s="3354"/>
      <c r="B2766" s="3336" t="s">
        <v>4992</v>
      </c>
      <c r="C2766" s="3336" t="s">
        <v>3359</v>
      </c>
      <c r="D2766" s="3336" t="s">
        <v>5007</v>
      </c>
      <c r="E2766" s="3338">
        <v>169.12</v>
      </c>
      <c r="F2766" s="3339">
        <v>240</v>
      </c>
      <c r="G2766" s="3340">
        <v>42805</v>
      </c>
      <c r="H2766" s="3340">
        <v>42835</v>
      </c>
      <c r="I2766" s="3340">
        <v>42835</v>
      </c>
      <c r="J2766" s="3324"/>
    </row>
    <row r="2767" spans="1:12" s="3327" customFormat="1" ht="13.5" customHeight="1">
      <c r="A2767" s="3354"/>
      <c r="B2767" s="3331" t="s">
        <v>4992</v>
      </c>
      <c r="C2767" s="3331" t="s">
        <v>3359</v>
      </c>
      <c r="D2767" s="3331" t="s">
        <v>5007</v>
      </c>
      <c r="E2767" s="3332">
        <v>169.12</v>
      </c>
      <c r="F2767" s="3332">
        <v>240</v>
      </c>
      <c r="G2767" s="3333">
        <v>42836</v>
      </c>
      <c r="H2767" s="3333">
        <v>42916</v>
      </c>
      <c r="I2767" s="3333">
        <v>43190</v>
      </c>
      <c r="J2767" s="3324"/>
      <c r="K2767" s="3334">
        <f t="shared" ref="K2767:K2769" si="499">E2767</f>
        <v>169.12</v>
      </c>
      <c r="L2767" s="3334">
        <f t="shared" ref="L2767:L2769" si="500">F2767/30</f>
        <v>8</v>
      </c>
    </row>
    <row r="2768" spans="1:12" s="3327" customFormat="1" ht="13.5" customHeight="1">
      <c r="A2768" s="3354"/>
      <c r="B2768" s="3331" t="s">
        <v>4992</v>
      </c>
      <c r="C2768" s="3331" t="s">
        <v>5008</v>
      </c>
      <c r="D2768" s="3331" t="s">
        <v>5007</v>
      </c>
      <c r="E2768" s="3332">
        <v>169.12</v>
      </c>
      <c r="F2768" s="3332">
        <v>245</v>
      </c>
      <c r="G2768" s="3333">
        <v>42917</v>
      </c>
      <c r="H2768" s="3333">
        <v>43084</v>
      </c>
      <c r="I2768" s="3333">
        <v>43190</v>
      </c>
      <c r="J2768" s="3324"/>
      <c r="K2768" s="3334">
        <f t="shared" si="499"/>
        <v>169.12</v>
      </c>
      <c r="L2768" s="3334">
        <f t="shared" si="500"/>
        <v>8.1666666666666661</v>
      </c>
    </row>
    <row r="2769" spans="1:12" s="3327" customFormat="1" ht="13.5" customHeight="1">
      <c r="A2769" s="3354" t="s">
        <v>4997</v>
      </c>
      <c r="B2769" s="3331" t="s">
        <v>4992</v>
      </c>
      <c r="C2769" s="3331" t="s">
        <v>5009</v>
      </c>
      <c r="D2769" s="3331" t="s">
        <v>5007</v>
      </c>
      <c r="E2769" s="3332">
        <v>169.12</v>
      </c>
      <c r="F2769" s="3332">
        <v>245</v>
      </c>
      <c r="G2769" s="3333">
        <v>43085</v>
      </c>
      <c r="H2769" s="3333">
        <v>43130</v>
      </c>
      <c r="I2769" s="3333">
        <v>43190</v>
      </c>
      <c r="J2769" s="3324"/>
      <c r="K2769" s="3334">
        <f t="shared" si="499"/>
        <v>169.12</v>
      </c>
      <c r="L2769" s="3334">
        <f t="shared" si="500"/>
        <v>8.1666666666666661</v>
      </c>
    </row>
    <row r="2770" spans="1:12" s="3327" customFormat="1" ht="13.5" customHeight="1">
      <c r="A2770" s="3354"/>
      <c r="B2770" s="3336" t="s">
        <v>4992</v>
      </c>
      <c r="C2770" s="3336" t="s">
        <v>5010</v>
      </c>
      <c r="D2770" s="3336" t="s">
        <v>5011</v>
      </c>
      <c r="E2770" s="3338">
        <v>169.12</v>
      </c>
      <c r="F2770" s="3339">
        <v>240</v>
      </c>
      <c r="G2770" s="3340">
        <v>42461</v>
      </c>
      <c r="H2770" s="3340">
        <v>42824</v>
      </c>
      <c r="I2770" s="3340">
        <v>42825</v>
      </c>
      <c r="J2770" s="3324"/>
    </row>
    <row r="2771" spans="1:12" s="3327" customFormat="1" ht="13.5" customHeight="1">
      <c r="A2771" s="3354" t="s">
        <v>4997</v>
      </c>
      <c r="B2771" s="3331" t="s">
        <v>4992</v>
      </c>
      <c r="C2771" s="3331" t="s">
        <v>5010</v>
      </c>
      <c r="D2771" s="3331" t="s">
        <v>5011</v>
      </c>
      <c r="E2771" s="3332">
        <v>169.12</v>
      </c>
      <c r="F2771" s="3332">
        <v>250</v>
      </c>
      <c r="G2771" s="3333">
        <v>42826</v>
      </c>
      <c r="H2771" s="3333">
        <v>43130</v>
      </c>
      <c r="I2771" s="3333">
        <v>43190</v>
      </c>
      <c r="J2771" s="3324"/>
      <c r="K2771" s="3334">
        <f t="shared" ref="K2771" si="501">E2771</f>
        <v>169.12</v>
      </c>
      <c r="L2771" s="3334">
        <f t="shared" ref="L2771" si="502">F2771/30</f>
        <v>8.3333333333333339</v>
      </c>
    </row>
    <row r="2772" spans="1:12" s="3327" customFormat="1" ht="13.5" customHeight="1">
      <c r="A2772" s="3355"/>
      <c r="B2772" s="3336" t="s">
        <v>4992</v>
      </c>
      <c r="C2772" s="3336" t="s">
        <v>5012</v>
      </c>
      <c r="D2772" s="3336" t="s">
        <v>5013</v>
      </c>
      <c r="E2772" s="3339">
        <v>336.1</v>
      </c>
      <c r="F2772" s="3339">
        <v>165</v>
      </c>
      <c r="G2772" s="3340">
        <v>41000</v>
      </c>
      <c r="H2772" s="3340">
        <v>41363</v>
      </c>
      <c r="I2772" s="3340">
        <v>41364</v>
      </c>
      <c r="J2772" s="3336"/>
    </row>
    <row r="2773" spans="1:12" s="3327" customFormat="1" ht="13.5" customHeight="1">
      <c r="A2773" s="3409"/>
      <c r="B2773" s="3324" t="s">
        <v>4992</v>
      </c>
      <c r="C2773" s="3324" t="s">
        <v>5012</v>
      </c>
      <c r="D2773" s="3324" t="s">
        <v>5014</v>
      </c>
      <c r="E2773" s="3325">
        <v>331.1</v>
      </c>
      <c r="F2773" s="3325">
        <v>190</v>
      </c>
      <c r="G2773" s="3326">
        <v>41730</v>
      </c>
      <c r="H2773" s="3326">
        <v>41800</v>
      </c>
      <c r="I2773" s="3326">
        <v>42094</v>
      </c>
      <c r="J2773" s="3324"/>
    </row>
    <row r="2774" spans="1:12" s="3327" customFormat="1" ht="13.5" customHeight="1">
      <c r="A2774" s="3323"/>
      <c r="B2774" s="3324" t="s">
        <v>4992</v>
      </c>
      <c r="C2774" s="3324" t="s">
        <v>5015</v>
      </c>
      <c r="D2774" s="3324" t="s">
        <v>5014</v>
      </c>
      <c r="E2774" s="3325">
        <v>331.1</v>
      </c>
      <c r="F2774" s="3325">
        <v>190</v>
      </c>
      <c r="G2774" s="3326">
        <v>41801</v>
      </c>
      <c r="H2774" s="3326">
        <v>42093</v>
      </c>
      <c r="I2774" s="3326">
        <v>42094</v>
      </c>
      <c r="J2774" s="3324"/>
    </row>
    <row r="2775" spans="1:12" s="3327" customFormat="1" ht="13.5" customHeight="1">
      <c r="A2775" s="3354"/>
      <c r="B2775" s="3336" t="s">
        <v>4992</v>
      </c>
      <c r="C2775" s="3336" t="s">
        <v>5015</v>
      </c>
      <c r="D2775" s="3336" t="s">
        <v>5014</v>
      </c>
      <c r="E2775" s="3339">
        <v>331.1</v>
      </c>
      <c r="F2775" s="3339">
        <v>196</v>
      </c>
      <c r="G2775" s="3340">
        <v>42095</v>
      </c>
      <c r="H2775" s="3340">
        <v>42141</v>
      </c>
      <c r="I2775" s="3340">
        <v>42460</v>
      </c>
      <c r="J2775" s="3324"/>
    </row>
    <row r="2776" spans="1:12" s="3327" customFormat="1" ht="13.5" customHeight="1">
      <c r="A2776" s="3354"/>
      <c r="B2776" s="3336" t="s">
        <v>4992</v>
      </c>
      <c r="C2776" s="3336" t="s">
        <v>5006</v>
      </c>
      <c r="D2776" s="3336" t="s">
        <v>5014</v>
      </c>
      <c r="E2776" s="3339">
        <v>331.1</v>
      </c>
      <c r="F2776" s="3339">
        <v>190</v>
      </c>
      <c r="G2776" s="3340">
        <v>42142</v>
      </c>
      <c r="H2776" s="3340">
        <v>42399</v>
      </c>
      <c r="I2776" s="3340">
        <v>42460</v>
      </c>
      <c r="J2776" s="3324"/>
    </row>
    <row r="2777" spans="1:12" s="3327" customFormat="1" ht="13.5" customHeight="1">
      <c r="A2777" s="3354"/>
      <c r="B2777" s="3336" t="s">
        <v>4992</v>
      </c>
      <c r="C2777" s="3336" t="s">
        <v>3915</v>
      </c>
      <c r="D2777" s="3336" t="s">
        <v>5016</v>
      </c>
      <c r="E2777" s="3338">
        <v>168.41</v>
      </c>
      <c r="F2777" s="3339">
        <v>240</v>
      </c>
      <c r="G2777" s="3340">
        <v>42461</v>
      </c>
      <c r="H2777" s="3340">
        <v>42734</v>
      </c>
      <c r="I2777" s="3340">
        <v>42825</v>
      </c>
      <c r="J2777" s="3324"/>
    </row>
    <row r="2778" spans="1:12" s="3327" customFormat="1" ht="13.5" customHeight="1">
      <c r="A2778" s="3354"/>
      <c r="B2778" s="3336" t="s">
        <v>4992</v>
      </c>
      <c r="C2778" s="3336" t="s">
        <v>3915</v>
      </c>
      <c r="D2778" s="3336" t="s">
        <v>5016</v>
      </c>
      <c r="E2778" s="3338">
        <v>168.41</v>
      </c>
      <c r="F2778" s="3339">
        <v>240</v>
      </c>
      <c r="G2778" s="3340">
        <v>42736</v>
      </c>
      <c r="H2778" s="3340">
        <v>42824</v>
      </c>
      <c r="I2778" s="3340">
        <v>42825</v>
      </c>
      <c r="J2778" s="3324"/>
    </row>
    <row r="2779" spans="1:12" s="3327" customFormat="1" ht="13.5" customHeight="1">
      <c r="A2779" s="3354"/>
      <c r="B2779" s="3331" t="s">
        <v>4992</v>
      </c>
      <c r="C2779" s="3331" t="s">
        <v>3915</v>
      </c>
      <c r="D2779" s="3331" t="s">
        <v>5016</v>
      </c>
      <c r="E2779" s="3332">
        <v>168.41</v>
      </c>
      <c r="F2779" s="3332">
        <v>250</v>
      </c>
      <c r="G2779" s="3333">
        <v>42826</v>
      </c>
      <c r="H2779" s="3333">
        <v>42983</v>
      </c>
      <c r="I2779" s="3333">
        <v>43190</v>
      </c>
      <c r="J2779" s="3324"/>
      <c r="K2779" s="3334">
        <f t="shared" ref="K2779:K2780" si="503">E2779</f>
        <v>168.41</v>
      </c>
      <c r="L2779" s="3334">
        <f t="shared" ref="L2779:L2780" si="504">F2779/30</f>
        <v>8.3333333333333339</v>
      </c>
    </row>
    <row r="2780" spans="1:12" s="3327" customFormat="1" ht="13.5" customHeight="1">
      <c r="A2780" s="3354" t="s">
        <v>4997</v>
      </c>
      <c r="B2780" s="3331" t="s">
        <v>4992</v>
      </c>
      <c r="C2780" s="3331" t="s">
        <v>3915</v>
      </c>
      <c r="D2780" s="3331" t="s">
        <v>5016</v>
      </c>
      <c r="E2780" s="3332">
        <v>168.41</v>
      </c>
      <c r="F2780" s="3332">
        <v>250</v>
      </c>
      <c r="G2780" s="3333">
        <v>42984</v>
      </c>
      <c r="H2780" s="3333">
        <v>43130</v>
      </c>
      <c r="I2780" s="3333">
        <v>43190</v>
      </c>
      <c r="J2780" s="3324"/>
      <c r="K2780" s="3334">
        <f t="shared" si="503"/>
        <v>168.41</v>
      </c>
      <c r="L2780" s="3334">
        <f t="shared" si="504"/>
        <v>8.3333333333333339</v>
      </c>
    </row>
    <row r="2781" spans="1:12" s="3327" customFormat="1" ht="13.5" customHeight="1">
      <c r="A2781" s="3354"/>
      <c r="B2781" s="3336" t="s">
        <v>4992</v>
      </c>
      <c r="C2781" s="3336" t="s">
        <v>3774</v>
      </c>
      <c r="D2781" s="3336" t="s">
        <v>5017</v>
      </c>
      <c r="E2781" s="3338">
        <v>170.46</v>
      </c>
      <c r="F2781" s="3339">
        <v>240</v>
      </c>
      <c r="G2781" s="3340">
        <v>42461</v>
      </c>
      <c r="H2781" s="3340">
        <v>42551</v>
      </c>
      <c r="I2781" s="3340">
        <v>42825</v>
      </c>
      <c r="J2781" s="3324"/>
    </row>
    <row r="2782" spans="1:12" s="3327" customFormat="1" ht="13.5" customHeight="1">
      <c r="A2782" s="3354"/>
      <c r="B2782" s="3336" t="s">
        <v>4992</v>
      </c>
      <c r="C2782" s="3336" t="s">
        <v>3774</v>
      </c>
      <c r="D2782" s="3336" t="s">
        <v>5017</v>
      </c>
      <c r="E2782" s="3338">
        <v>170.46</v>
      </c>
      <c r="F2782" s="3339">
        <v>240</v>
      </c>
      <c r="G2782" s="3340">
        <v>42552</v>
      </c>
      <c r="H2782" s="3340">
        <v>42824</v>
      </c>
      <c r="I2782" s="3340">
        <v>42825</v>
      </c>
      <c r="J2782" s="3324"/>
    </row>
    <row r="2783" spans="1:12" s="3327" customFormat="1" ht="13.5" customHeight="1">
      <c r="A2783" s="3354" t="s">
        <v>4997</v>
      </c>
      <c r="B2783" s="3331" t="s">
        <v>4992</v>
      </c>
      <c r="C2783" s="3331" t="s">
        <v>3774</v>
      </c>
      <c r="D2783" s="3331" t="s">
        <v>5017</v>
      </c>
      <c r="E2783" s="3332">
        <v>170.46</v>
      </c>
      <c r="F2783" s="3332">
        <v>250</v>
      </c>
      <c r="G2783" s="3333">
        <v>42826</v>
      </c>
      <c r="H2783" s="3333">
        <v>43130</v>
      </c>
      <c r="I2783" s="3333">
        <v>43190</v>
      </c>
      <c r="J2783" s="3324"/>
      <c r="K2783" s="3334">
        <f t="shared" ref="K2783" si="505">E2783</f>
        <v>170.46</v>
      </c>
      <c r="L2783" s="3334">
        <f t="shared" ref="L2783" si="506">F2783/30</f>
        <v>8.3333333333333339</v>
      </c>
    </row>
    <row r="2784" spans="1:12" s="3327" customFormat="1" ht="13.5" customHeight="1">
      <c r="A2784" s="3323"/>
      <c r="B2784" s="3324" t="s">
        <v>4992</v>
      </c>
      <c r="C2784" s="3324" t="s">
        <v>5018</v>
      </c>
      <c r="D2784" s="3324" t="s">
        <v>5019</v>
      </c>
      <c r="E2784" s="3325">
        <v>333.5</v>
      </c>
      <c r="F2784" s="3325">
        <v>205</v>
      </c>
      <c r="G2784" s="3326">
        <v>41730</v>
      </c>
      <c r="H2784" s="3326">
        <v>42093</v>
      </c>
      <c r="I2784" s="3326">
        <v>42094</v>
      </c>
      <c r="J2784" s="3324"/>
    </row>
    <row r="2785" spans="1:12" s="3327" customFormat="1" ht="13.5" customHeight="1">
      <c r="A2785" s="3354"/>
      <c r="B2785" s="3336" t="s">
        <v>4992</v>
      </c>
      <c r="C2785" s="3336" t="s">
        <v>5018</v>
      </c>
      <c r="D2785" s="3336" t="s">
        <v>5019</v>
      </c>
      <c r="E2785" s="3339">
        <v>333.5</v>
      </c>
      <c r="F2785" s="3339">
        <v>216</v>
      </c>
      <c r="G2785" s="3340">
        <v>42095</v>
      </c>
      <c r="H2785" s="3340">
        <v>42459</v>
      </c>
      <c r="I2785" s="3340">
        <v>42460</v>
      </c>
      <c r="J2785" s="3324"/>
    </row>
    <row r="2786" spans="1:12" s="3327" customFormat="1" ht="13.5" customHeight="1">
      <c r="A2786" s="3354"/>
      <c r="B2786" s="3336" t="s">
        <v>4992</v>
      </c>
      <c r="C2786" s="3336" t="s">
        <v>5018</v>
      </c>
      <c r="D2786" s="3336" t="s">
        <v>5019</v>
      </c>
      <c r="E2786" s="3339">
        <v>333.5</v>
      </c>
      <c r="F2786" s="3339">
        <v>216</v>
      </c>
      <c r="G2786" s="3340">
        <v>42461</v>
      </c>
      <c r="H2786" s="3340">
        <v>42824</v>
      </c>
      <c r="I2786" s="3340">
        <v>42825</v>
      </c>
      <c r="J2786" s="3324"/>
    </row>
    <row r="2787" spans="1:12" s="3327" customFormat="1" ht="13.5" customHeight="1">
      <c r="A2787" s="3354"/>
      <c r="B2787" s="3331" t="s">
        <v>4992</v>
      </c>
      <c r="C2787" s="3331" t="s">
        <v>5018</v>
      </c>
      <c r="D2787" s="3331" t="s">
        <v>5020</v>
      </c>
      <c r="E2787" s="3332">
        <v>333.5</v>
      </c>
      <c r="F2787" s="3332">
        <v>216</v>
      </c>
      <c r="G2787" s="3333">
        <v>42826</v>
      </c>
      <c r="H2787" s="3333">
        <v>42916</v>
      </c>
      <c r="I2787" s="3333">
        <v>43190</v>
      </c>
      <c r="J2787" s="3324"/>
      <c r="K2787" s="3334">
        <f t="shared" ref="K2787:K2788" si="507">E2787</f>
        <v>333.5</v>
      </c>
      <c r="L2787" s="3334">
        <f t="shared" ref="L2787:L2788" si="508">F2787/30</f>
        <v>7.2</v>
      </c>
    </row>
    <row r="2788" spans="1:12" s="3327" customFormat="1" ht="13.5" customHeight="1">
      <c r="A2788" s="3354" t="s">
        <v>4997</v>
      </c>
      <c r="B2788" s="3331" t="s">
        <v>4992</v>
      </c>
      <c r="C2788" s="3331" t="s">
        <v>5018</v>
      </c>
      <c r="D2788" s="3331" t="s">
        <v>5020</v>
      </c>
      <c r="E2788" s="3332">
        <v>333.5</v>
      </c>
      <c r="F2788" s="3332">
        <v>220</v>
      </c>
      <c r="G2788" s="3333">
        <v>42917</v>
      </c>
      <c r="H2788" s="3333">
        <v>43130</v>
      </c>
      <c r="I2788" s="3333">
        <v>43190</v>
      </c>
      <c r="J2788" s="3324"/>
      <c r="K2788" s="3334">
        <f t="shared" si="507"/>
        <v>333.5</v>
      </c>
      <c r="L2788" s="3334">
        <f t="shared" si="508"/>
        <v>7.333333333333333</v>
      </c>
    </row>
    <row r="2789" spans="1:12" s="3327" customFormat="1" ht="13.5" customHeight="1">
      <c r="A2789" s="3323"/>
      <c r="B2789" s="3324" t="s">
        <v>4992</v>
      </c>
      <c r="C2789" s="3324" t="s">
        <v>5018</v>
      </c>
      <c r="D2789" s="3324" t="s">
        <v>5021</v>
      </c>
      <c r="E2789" s="3325">
        <v>254.4</v>
      </c>
      <c r="F2789" s="3325">
        <v>160</v>
      </c>
      <c r="G2789" s="3326">
        <v>41730</v>
      </c>
      <c r="H2789" s="3326">
        <v>42093</v>
      </c>
      <c r="I2789" s="3326">
        <v>42094</v>
      </c>
      <c r="J2789" s="3324"/>
    </row>
    <row r="2790" spans="1:12" s="3327" customFormat="1" ht="13.5" customHeight="1">
      <c r="A2790" s="3323"/>
      <c r="B2790" s="3336" t="s">
        <v>4992</v>
      </c>
      <c r="C2790" s="3336" t="s">
        <v>5018</v>
      </c>
      <c r="D2790" s="3336" t="s">
        <v>5021</v>
      </c>
      <c r="E2790" s="3339">
        <v>254.4</v>
      </c>
      <c r="F2790" s="3339">
        <v>166</v>
      </c>
      <c r="G2790" s="3340">
        <v>42095</v>
      </c>
      <c r="H2790" s="3340">
        <v>42459</v>
      </c>
      <c r="I2790" s="3340">
        <v>42460</v>
      </c>
      <c r="J2790" s="3324"/>
    </row>
    <row r="2791" spans="1:12" s="3327" customFormat="1" ht="13.5" customHeight="1">
      <c r="A2791" s="3323"/>
      <c r="B2791" s="3336" t="s">
        <v>4992</v>
      </c>
      <c r="C2791" s="3336" t="s">
        <v>5018</v>
      </c>
      <c r="D2791" s="3336" t="s">
        <v>5021</v>
      </c>
      <c r="E2791" s="3339">
        <v>254.4</v>
      </c>
      <c r="F2791" s="3339">
        <v>171</v>
      </c>
      <c r="G2791" s="3340">
        <v>42461</v>
      </c>
      <c r="H2791" s="3340">
        <v>42824</v>
      </c>
      <c r="I2791" s="3340">
        <v>42825</v>
      </c>
      <c r="J2791" s="3324"/>
    </row>
    <row r="2792" spans="1:12" s="3327" customFormat="1" ht="13.5" customHeight="1">
      <c r="A2792" s="3323"/>
      <c r="B2792" s="3331" t="s">
        <v>4992</v>
      </c>
      <c r="C2792" s="3331" t="s">
        <v>5018</v>
      </c>
      <c r="D2792" s="3331" t="s">
        <v>5021</v>
      </c>
      <c r="E2792" s="3332">
        <v>254.4</v>
      </c>
      <c r="F2792" s="3332">
        <v>171</v>
      </c>
      <c r="G2792" s="3333">
        <v>42826</v>
      </c>
      <c r="H2792" s="3333">
        <v>42916</v>
      </c>
      <c r="I2792" s="3333">
        <v>43190</v>
      </c>
      <c r="J2792" s="3324"/>
      <c r="K2792" s="3334">
        <f t="shared" ref="K2792:K2793" si="509">E2792</f>
        <v>254.4</v>
      </c>
      <c r="L2792" s="3334">
        <f t="shared" ref="L2792:L2793" si="510">F2792/30</f>
        <v>5.7</v>
      </c>
    </row>
    <row r="2793" spans="1:12" s="3327" customFormat="1" ht="13.5" customHeight="1">
      <c r="A2793" s="3323" t="s">
        <v>4997</v>
      </c>
      <c r="B2793" s="3331" t="s">
        <v>4992</v>
      </c>
      <c r="C2793" s="3331" t="s">
        <v>5018</v>
      </c>
      <c r="D2793" s="3331" t="s">
        <v>5021</v>
      </c>
      <c r="E2793" s="3332">
        <v>254.4</v>
      </c>
      <c r="F2793" s="3332">
        <v>175</v>
      </c>
      <c r="G2793" s="3333">
        <v>42917</v>
      </c>
      <c r="H2793" s="3333">
        <v>43130</v>
      </c>
      <c r="I2793" s="3333">
        <v>43190</v>
      </c>
      <c r="J2793" s="3324"/>
      <c r="K2793" s="3334">
        <f t="shared" si="509"/>
        <v>254.4</v>
      </c>
      <c r="L2793" s="3334">
        <f t="shared" si="510"/>
        <v>5.833333333333333</v>
      </c>
    </row>
    <row r="2794" spans="1:12" s="3327" customFormat="1" ht="13.5" customHeight="1">
      <c r="A2794" s="3323"/>
      <c r="B2794" s="3324" t="s">
        <v>4992</v>
      </c>
      <c r="C2794" s="3324" t="s">
        <v>5018</v>
      </c>
      <c r="D2794" s="3324" t="s">
        <v>5019</v>
      </c>
      <c r="E2794" s="3325">
        <v>592.5</v>
      </c>
      <c r="F2794" s="3325">
        <v>130</v>
      </c>
      <c r="G2794" s="3326">
        <v>41730</v>
      </c>
      <c r="H2794" s="3326">
        <v>42093</v>
      </c>
      <c r="I2794" s="3326">
        <v>42094</v>
      </c>
      <c r="J2794" s="3324"/>
    </row>
    <row r="2795" spans="1:12" s="3327" customFormat="1" ht="13.5" customHeight="1">
      <c r="A2795" s="3354"/>
      <c r="B2795" s="3336" t="s">
        <v>4992</v>
      </c>
      <c r="C2795" s="3336" t="s">
        <v>5018</v>
      </c>
      <c r="D2795" s="3336" t="s">
        <v>5019</v>
      </c>
      <c r="E2795" s="3339">
        <v>592.5</v>
      </c>
      <c r="F2795" s="3339">
        <v>136</v>
      </c>
      <c r="G2795" s="3340">
        <v>42095</v>
      </c>
      <c r="H2795" s="3340">
        <v>42154</v>
      </c>
      <c r="I2795" s="3340">
        <v>42460</v>
      </c>
      <c r="J2795" s="3324"/>
    </row>
    <row r="2796" spans="1:12" s="3327" customFormat="1" ht="13.5" customHeight="1">
      <c r="A2796" s="3354"/>
      <c r="B2796" s="3336" t="s">
        <v>4992</v>
      </c>
      <c r="C2796" s="3336" t="s">
        <v>5018</v>
      </c>
      <c r="D2796" s="3336" t="s">
        <v>5022</v>
      </c>
      <c r="E2796" s="3339">
        <v>514</v>
      </c>
      <c r="F2796" s="3339">
        <v>136</v>
      </c>
      <c r="G2796" s="3340">
        <v>42156</v>
      </c>
      <c r="H2796" s="3340">
        <v>42459</v>
      </c>
      <c r="I2796" s="3340">
        <v>42460</v>
      </c>
      <c r="J2796" s="3324"/>
    </row>
    <row r="2797" spans="1:12" s="3327" customFormat="1" ht="13.5" customHeight="1">
      <c r="A2797" s="3354"/>
      <c r="B2797" s="3336" t="s">
        <v>4992</v>
      </c>
      <c r="C2797" s="3336" t="s">
        <v>5018</v>
      </c>
      <c r="D2797" s="3336" t="s">
        <v>5022</v>
      </c>
      <c r="E2797" s="3339">
        <v>514</v>
      </c>
      <c r="F2797" s="3339">
        <v>136</v>
      </c>
      <c r="G2797" s="3340">
        <v>42461</v>
      </c>
      <c r="H2797" s="3340">
        <v>42824</v>
      </c>
      <c r="I2797" s="3340">
        <v>42825</v>
      </c>
      <c r="J2797" s="3324"/>
    </row>
    <row r="2798" spans="1:12" s="3327" customFormat="1" ht="13.5" customHeight="1">
      <c r="A2798" s="3354" t="s">
        <v>4997</v>
      </c>
      <c r="B2798" s="3331" t="s">
        <v>4992</v>
      </c>
      <c r="C2798" s="3331" t="s">
        <v>5018</v>
      </c>
      <c r="D2798" s="3331" t="s">
        <v>5019</v>
      </c>
      <c r="E2798" s="3332">
        <v>514</v>
      </c>
      <c r="F2798" s="3332">
        <v>150</v>
      </c>
      <c r="G2798" s="3333">
        <v>42826</v>
      </c>
      <c r="H2798" s="3333">
        <v>43130</v>
      </c>
      <c r="I2798" s="3333">
        <v>43190</v>
      </c>
      <c r="J2798" s="3324"/>
      <c r="K2798" s="3334">
        <f t="shared" ref="K2798" si="511">E2798</f>
        <v>514</v>
      </c>
      <c r="L2798" s="3334">
        <f t="shared" ref="L2798" si="512">F2798/30</f>
        <v>5</v>
      </c>
    </row>
    <row r="2799" spans="1:12" s="3327" customFormat="1" ht="13.5" customHeight="1">
      <c r="A2799" s="3354"/>
      <c r="B2799" s="3336" t="s">
        <v>4992</v>
      </c>
      <c r="C2799" s="3336" t="s">
        <v>5023</v>
      </c>
      <c r="D2799" s="3336" t="s">
        <v>5019</v>
      </c>
      <c r="E2799" s="3339">
        <v>78.5</v>
      </c>
      <c r="F2799" s="3339">
        <v>136</v>
      </c>
      <c r="G2799" s="3340">
        <v>42156</v>
      </c>
      <c r="H2799" s="3340">
        <v>42459</v>
      </c>
      <c r="I2799" s="3340">
        <v>42460</v>
      </c>
      <c r="J2799" s="3324"/>
    </row>
    <row r="2800" spans="1:12" s="3327" customFormat="1" ht="13.5" customHeight="1">
      <c r="A2800" s="3354"/>
      <c r="B2800" s="3336" t="s">
        <v>4992</v>
      </c>
      <c r="C2800" s="3336" t="s">
        <v>5023</v>
      </c>
      <c r="D2800" s="3336" t="s">
        <v>5019</v>
      </c>
      <c r="E2800" s="3338">
        <v>81.400000000000006</v>
      </c>
      <c r="F2800" s="3339">
        <v>146</v>
      </c>
      <c r="G2800" s="3340">
        <v>42461</v>
      </c>
      <c r="H2800" s="3340">
        <v>42824</v>
      </c>
      <c r="I2800" s="3340">
        <v>42825</v>
      </c>
      <c r="J2800" s="3324"/>
    </row>
    <row r="2801" spans="1:12" s="3327" customFormat="1" ht="13.5" customHeight="1">
      <c r="A2801" s="3354" t="s">
        <v>4997</v>
      </c>
      <c r="B2801" s="3331" t="s">
        <v>4992</v>
      </c>
      <c r="C2801" s="3331" t="s">
        <v>5024</v>
      </c>
      <c r="D2801" s="3331" t="s">
        <v>5025</v>
      </c>
      <c r="E2801" s="3332">
        <v>81.400000000000006</v>
      </c>
      <c r="F2801" s="3332">
        <v>136</v>
      </c>
      <c r="G2801" s="3333">
        <v>42826</v>
      </c>
      <c r="H2801" s="3333">
        <v>43130</v>
      </c>
      <c r="I2801" s="3333">
        <v>43190</v>
      </c>
      <c r="J2801" s="3324"/>
      <c r="K2801" s="3334">
        <f t="shared" ref="K2801" si="513">E2801</f>
        <v>81.400000000000006</v>
      </c>
      <c r="L2801" s="3334">
        <f t="shared" ref="L2801" si="514">F2801/30</f>
        <v>4.5333333333333332</v>
      </c>
    </row>
    <row r="2802" spans="1:12" s="3327" customFormat="1" ht="13.5" customHeight="1">
      <c r="A2802" s="3355"/>
      <c r="B2802" s="3336" t="s">
        <v>4992</v>
      </c>
      <c r="C2802" s="3336" t="s">
        <v>5026</v>
      </c>
      <c r="D2802" s="3336" t="s">
        <v>5027</v>
      </c>
      <c r="E2802" s="3339">
        <v>199.8</v>
      </c>
      <c r="F2802" s="3339">
        <v>165</v>
      </c>
      <c r="G2802" s="3340">
        <v>41000</v>
      </c>
      <c r="H2802" s="3340">
        <v>41363</v>
      </c>
      <c r="I2802" s="3340">
        <v>41364</v>
      </c>
      <c r="J2802" s="3336"/>
    </row>
    <row r="2803" spans="1:12" s="3327" customFormat="1" ht="13.5" customHeight="1">
      <c r="A2803" s="3323"/>
      <c r="B2803" s="3324" t="s">
        <v>4992</v>
      </c>
      <c r="C2803" s="3324" t="s">
        <v>5023</v>
      </c>
      <c r="D2803" s="3324" t="s">
        <v>5028</v>
      </c>
      <c r="E2803" s="3325">
        <v>182.9</v>
      </c>
      <c r="F2803" s="3325">
        <v>185</v>
      </c>
      <c r="G2803" s="3326">
        <v>41730</v>
      </c>
      <c r="H2803" s="3326">
        <v>42093</v>
      </c>
      <c r="I2803" s="3326">
        <v>42094</v>
      </c>
      <c r="J2803" s="3324"/>
    </row>
    <row r="2804" spans="1:12" s="3327" customFormat="1" ht="13.5" customHeight="1">
      <c r="A2804" s="3323"/>
      <c r="B2804" s="3336" t="s">
        <v>4992</v>
      </c>
      <c r="C2804" s="3336" t="s">
        <v>5023</v>
      </c>
      <c r="D2804" s="3336" t="s">
        <v>5028</v>
      </c>
      <c r="E2804" s="3339">
        <v>182.9</v>
      </c>
      <c r="F2804" s="3339">
        <v>185</v>
      </c>
      <c r="G2804" s="3340">
        <v>42095</v>
      </c>
      <c r="H2804" s="3340">
        <v>42459</v>
      </c>
      <c r="I2804" s="3340">
        <v>42460</v>
      </c>
      <c r="J2804" s="3324"/>
    </row>
    <row r="2805" spans="1:12" s="3327" customFormat="1" ht="13.5" customHeight="1">
      <c r="A2805" s="3354"/>
      <c r="B2805" s="3336" t="s">
        <v>4992</v>
      </c>
      <c r="C2805" s="3336" t="s">
        <v>5023</v>
      </c>
      <c r="D2805" s="3336" t="s">
        <v>5028</v>
      </c>
      <c r="E2805" s="3338">
        <v>185.81</v>
      </c>
      <c r="F2805" s="3339">
        <v>185</v>
      </c>
      <c r="G2805" s="3340">
        <v>42461</v>
      </c>
      <c r="H2805" s="3340">
        <v>42824</v>
      </c>
      <c r="I2805" s="3340">
        <v>42825</v>
      </c>
      <c r="J2805" s="3324"/>
    </row>
    <row r="2806" spans="1:12" s="3327" customFormat="1" ht="13.5" customHeight="1">
      <c r="A2806" s="3354" t="s">
        <v>4997</v>
      </c>
      <c r="B2806" s="3331" t="s">
        <v>4992</v>
      </c>
      <c r="C2806" s="3331" t="s">
        <v>5024</v>
      </c>
      <c r="D2806" s="3331" t="s">
        <v>5028</v>
      </c>
      <c r="E2806" s="3332">
        <v>185.81</v>
      </c>
      <c r="F2806" s="3332">
        <v>190</v>
      </c>
      <c r="G2806" s="3333">
        <v>42826</v>
      </c>
      <c r="H2806" s="3333">
        <v>43130</v>
      </c>
      <c r="I2806" s="3333">
        <v>43190</v>
      </c>
      <c r="J2806" s="3324"/>
      <c r="K2806" s="3334">
        <f t="shared" ref="K2806" si="515">E2806</f>
        <v>185.81</v>
      </c>
      <c r="L2806" s="3334">
        <f t="shared" ref="L2806" si="516">F2806/30</f>
        <v>6.333333333333333</v>
      </c>
    </row>
    <row r="2807" spans="1:12" s="3327" customFormat="1" ht="13.5" customHeight="1">
      <c r="A2807" s="3354"/>
      <c r="B2807" s="3324" t="s">
        <v>4992</v>
      </c>
      <c r="C2807" s="3324" t="s">
        <v>5029</v>
      </c>
      <c r="D2807" s="3324" t="s">
        <v>5030</v>
      </c>
      <c r="E2807" s="3325">
        <v>215.1</v>
      </c>
      <c r="F2807" s="3325">
        <v>140</v>
      </c>
      <c r="G2807" s="3326">
        <v>40634</v>
      </c>
      <c r="H2807" s="3326">
        <v>40877</v>
      </c>
      <c r="I2807" s="3326">
        <v>40999</v>
      </c>
      <c r="J2807" s="3324"/>
    </row>
    <row r="2808" spans="1:12" s="3327" customFormat="1" ht="13.5" customHeight="1">
      <c r="A2808" s="3335"/>
      <c r="B2808" s="3336" t="s">
        <v>4992</v>
      </c>
      <c r="C2808" s="3336" t="s">
        <v>4049</v>
      </c>
      <c r="D2808" s="3336" t="s">
        <v>5030</v>
      </c>
      <c r="E2808" s="3339">
        <v>215.1</v>
      </c>
      <c r="F2808" s="3339">
        <v>92.98</v>
      </c>
      <c r="G2808" s="3340">
        <v>41091</v>
      </c>
      <c r="H2808" s="3340">
        <v>41363</v>
      </c>
      <c r="I2808" s="3340">
        <v>41182</v>
      </c>
      <c r="J2808" s="3336"/>
    </row>
    <row r="2809" spans="1:12" s="3327" customFormat="1" ht="13.5" customHeight="1">
      <c r="A2809" s="3323"/>
      <c r="B2809" s="3324" t="s">
        <v>4992</v>
      </c>
      <c r="C2809" s="3324" t="s">
        <v>5006</v>
      </c>
      <c r="D2809" s="3324" t="s">
        <v>5031</v>
      </c>
      <c r="E2809" s="3325">
        <v>215.1</v>
      </c>
      <c r="F2809" s="3325">
        <v>145</v>
      </c>
      <c r="G2809" s="3326">
        <v>41730</v>
      </c>
      <c r="H2809" s="3326">
        <v>42003</v>
      </c>
      <c r="I2809" s="3326">
        <v>42094</v>
      </c>
      <c r="J2809" s="3324"/>
    </row>
    <row r="2810" spans="1:12" s="3327" customFormat="1" ht="13.5" customHeight="1">
      <c r="A2810" s="3323"/>
      <c r="B2810" s="3324" t="s">
        <v>4992</v>
      </c>
      <c r="C2810" s="3324" t="s">
        <v>5032</v>
      </c>
      <c r="D2810" s="3324" t="s">
        <v>5031</v>
      </c>
      <c r="E2810" s="3325">
        <v>215.1</v>
      </c>
      <c r="F2810" s="3325">
        <v>150</v>
      </c>
      <c r="G2810" s="3326">
        <v>42005</v>
      </c>
      <c r="H2810" s="3326">
        <v>42093</v>
      </c>
      <c r="I2810" s="3326">
        <v>42094</v>
      </c>
      <c r="J2810" s="3324"/>
    </row>
    <row r="2811" spans="1:12" s="3327" customFormat="1" ht="13.5" customHeight="1">
      <c r="A2811" s="3354"/>
      <c r="B2811" s="3336" t="s">
        <v>4992</v>
      </c>
      <c r="C2811" s="3336" t="s">
        <v>5032</v>
      </c>
      <c r="D2811" s="3336" t="s">
        <v>5031</v>
      </c>
      <c r="E2811" s="3339">
        <v>215.1</v>
      </c>
      <c r="F2811" s="3339">
        <v>156</v>
      </c>
      <c r="G2811" s="3340">
        <v>42095</v>
      </c>
      <c r="H2811" s="3340">
        <v>42459</v>
      </c>
      <c r="I2811" s="3340">
        <v>42460</v>
      </c>
      <c r="J2811" s="3324"/>
    </row>
    <row r="2812" spans="1:12" s="3327" customFormat="1" ht="13.5" customHeight="1">
      <c r="A2812" s="3354"/>
      <c r="B2812" s="3336" t="s">
        <v>4992</v>
      </c>
      <c r="C2812" s="3336" t="s">
        <v>5032</v>
      </c>
      <c r="D2812" s="3336" t="s">
        <v>5031</v>
      </c>
      <c r="E2812" s="3338">
        <v>217.4</v>
      </c>
      <c r="F2812" s="3339">
        <v>180</v>
      </c>
      <c r="G2812" s="3340">
        <v>42461</v>
      </c>
      <c r="H2812" s="3340">
        <v>42824</v>
      </c>
      <c r="I2812" s="3340">
        <v>42825</v>
      </c>
      <c r="J2812" s="3324"/>
    </row>
    <row r="2813" spans="1:12" s="3327" customFormat="1" ht="13.5" customHeight="1">
      <c r="A2813" s="3354" t="s">
        <v>4997</v>
      </c>
      <c r="B2813" s="3331" t="s">
        <v>4992</v>
      </c>
      <c r="C2813" s="3331" t="s">
        <v>5032</v>
      </c>
      <c r="D2813" s="3331" t="s">
        <v>5033</v>
      </c>
      <c r="E2813" s="3332">
        <v>217.4</v>
      </c>
      <c r="F2813" s="3332">
        <v>166</v>
      </c>
      <c r="G2813" s="3333">
        <v>42826</v>
      </c>
      <c r="H2813" s="3333">
        <v>43130</v>
      </c>
      <c r="I2813" s="3333">
        <v>43190</v>
      </c>
      <c r="J2813" s="3324"/>
      <c r="K2813" s="3334">
        <f t="shared" ref="K2813" si="517">E2813</f>
        <v>217.4</v>
      </c>
      <c r="L2813" s="3334">
        <f t="shared" ref="L2813" si="518">F2813/30</f>
        <v>5.5333333333333332</v>
      </c>
    </row>
    <row r="2814" spans="1:12" s="3327" customFormat="1" ht="13.5" customHeight="1">
      <c r="A2814" s="3323"/>
      <c r="B2814" s="3324" t="s">
        <v>4992</v>
      </c>
      <c r="C2814" s="3324" t="s">
        <v>5034</v>
      </c>
      <c r="D2814" s="3324" t="s">
        <v>5033</v>
      </c>
      <c r="E2814" s="3325">
        <v>290</v>
      </c>
      <c r="F2814" s="3325">
        <v>160</v>
      </c>
      <c r="G2814" s="3326">
        <v>41730</v>
      </c>
      <c r="H2814" s="3326">
        <v>42093</v>
      </c>
      <c r="I2814" s="3326">
        <v>42094</v>
      </c>
      <c r="J2814" s="3324"/>
    </row>
    <row r="2815" spans="1:12" s="3327" customFormat="1" ht="13.5" customHeight="1">
      <c r="A2815" s="3323"/>
      <c r="B2815" s="3336" t="s">
        <v>4992</v>
      </c>
      <c r="C2815" s="3336" t="s">
        <v>5034</v>
      </c>
      <c r="D2815" s="3336" t="s">
        <v>5033</v>
      </c>
      <c r="E2815" s="3339">
        <v>290</v>
      </c>
      <c r="F2815" s="3339">
        <v>166</v>
      </c>
      <c r="G2815" s="3340">
        <v>42095</v>
      </c>
      <c r="H2815" s="3340">
        <v>42459</v>
      </c>
      <c r="I2815" s="3340">
        <v>42460</v>
      </c>
      <c r="J2815" s="3324"/>
    </row>
    <row r="2816" spans="1:12" s="3327" customFormat="1" ht="13.5" customHeight="1">
      <c r="A2816" s="3323"/>
      <c r="B2816" s="3336" t="s">
        <v>4992</v>
      </c>
      <c r="C2816" s="3336" t="s">
        <v>5034</v>
      </c>
      <c r="D2816" s="3336" t="s">
        <v>5033</v>
      </c>
      <c r="E2816" s="3339">
        <v>290</v>
      </c>
      <c r="F2816" s="3339">
        <v>180</v>
      </c>
      <c r="G2816" s="3340">
        <v>42461</v>
      </c>
      <c r="H2816" s="3340">
        <v>42824</v>
      </c>
      <c r="I2816" s="3340">
        <v>42825</v>
      </c>
      <c r="J2816" s="3324"/>
    </row>
    <row r="2817" spans="1:12" s="3327" customFormat="1" ht="13.5" customHeight="1">
      <c r="A2817" s="3323" t="s">
        <v>4997</v>
      </c>
      <c r="B2817" s="3331" t="s">
        <v>4992</v>
      </c>
      <c r="C2817" s="3331" t="s">
        <v>5034</v>
      </c>
      <c r="D2817" s="3331" t="s">
        <v>5035</v>
      </c>
      <c r="E2817" s="3332">
        <v>290</v>
      </c>
      <c r="F2817" s="3332">
        <v>176</v>
      </c>
      <c r="G2817" s="3333">
        <v>42826</v>
      </c>
      <c r="H2817" s="3333">
        <v>43130</v>
      </c>
      <c r="I2817" s="3333">
        <v>43190</v>
      </c>
      <c r="J2817" s="3324"/>
      <c r="K2817" s="3334">
        <f t="shared" ref="K2817" si="519">E2817</f>
        <v>290</v>
      </c>
      <c r="L2817" s="3334">
        <f t="shared" ref="L2817" si="520">F2817/30</f>
        <v>5.8666666666666663</v>
      </c>
    </row>
    <row r="2818" spans="1:12" s="3327" customFormat="1" ht="13.5" customHeight="1">
      <c r="A2818" s="3323"/>
      <c r="B2818" s="3324" t="s">
        <v>4992</v>
      </c>
      <c r="C2818" s="3324" t="s">
        <v>5036</v>
      </c>
      <c r="D2818" s="3324" t="s">
        <v>5037</v>
      </c>
      <c r="E2818" s="3325">
        <v>636</v>
      </c>
      <c r="F2818" s="3325">
        <v>160</v>
      </c>
      <c r="G2818" s="3326">
        <v>41730</v>
      </c>
      <c r="H2818" s="3326">
        <v>41820</v>
      </c>
      <c r="I2818" s="3326">
        <v>42094</v>
      </c>
      <c r="J2818" s="3324"/>
    </row>
    <row r="2819" spans="1:12" s="3327" customFormat="1" ht="13.5" customHeight="1">
      <c r="A2819" s="3323"/>
      <c r="B2819" s="3324" t="s">
        <v>4992</v>
      </c>
      <c r="C2819" s="3324" t="s">
        <v>5038</v>
      </c>
      <c r="D2819" s="3324" t="s">
        <v>5035</v>
      </c>
      <c r="E2819" s="3325">
        <v>333.5</v>
      </c>
      <c r="F2819" s="3325">
        <v>160</v>
      </c>
      <c r="G2819" s="3326">
        <v>41821</v>
      </c>
      <c r="H2819" s="3326">
        <v>42093</v>
      </c>
      <c r="I2819" s="3326">
        <v>42094</v>
      </c>
      <c r="J2819" s="3324"/>
    </row>
    <row r="2820" spans="1:12" s="3327" customFormat="1" ht="13.5" customHeight="1">
      <c r="A2820" s="3323"/>
      <c r="B2820" s="3336" t="s">
        <v>4992</v>
      </c>
      <c r="C2820" s="3336" t="s">
        <v>5038</v>
      </c>
      <c r="D2820" s="3336" t="s">
        <v>5035</v>
      </c>
      <c r="E2820" s="3339">
        <v>333.5</v>
      </c>
      <c r="F2820" s="3339">
        <v>166</v>
      </c>
      <c r="G2820" s="3340">
        <v>42095</v>
      </c>
      <c r="H2820" s="3340">
        <v>42459</v>
      </c>
      <c r="I2820" s="3340">
        <v>42460</v>
      </c>
      <c r="J2820" s="3324"/>
    </row>
    <row r="2821" spans="1:12" s="3327" customFormat="1" ht="13.5" customHeight="1">
      <c r="A2821" s="3323"/>
      <c r="B2821" s="3336" t="s">
        <v>4992</v>
      </c>
      <c r="C2821" s="3336" t="s">
        <v>5038</v>
      </c>
      <c r="D2821" s="3336" t="s">
        <v>5035</v>
      </c>
      <c r="E2821" s="3338">
        <v>336.1</v>
      </c>
      <c r="F2821" s="3339">
        <v>190</v>
      </c>
      <c r="G2821" s="3340">
        <v>42461</v>
      </c>
      <c r="H2821" s="3340">
        <v>42824</v>
      </c>
      <c r="I2821" s="3340">
        <v>42825</v>
      </c>
      <c r="J2821" s="3324"/>
    </row>
    <row r="2822" spans="1:12" s="3327" customFormat="1" ht="13.5" customHeight="1">
      <c r="A2822" s="3323" t="s">
        <v>4997</v>
      </c>
      <c r="B2822" s="3331" t="s">
        <v>4992</v>
      </c>
      <c r="C2822" s="3331" t="s">
        <v>5038</v>
      </c>
      <c r="D2822" s="3331" t="s">
        <v>5039</v>
      </c>
      <c r="E2822" s="3332">
        <v>336.1</v>
      </c>
      <c r="F2822" s="3332">
        <v>176</v>
      </c>
      <c r="G2822" s="3333">
        <v>42826</v>
      </c>
      <c r="H2822" s="3333">
        <v>43130</v>
      </c>
      <c r="I2822" s="3333">
        <v>43190</v>
      </c>
      <c r="J2822" s="3324"/>
      <c r="K2822" s="3334">
        <f t="shared" ref="K2822" si="521">E2822</f>
        <v>336.1</v>
      </c>
      <c r="L2822" s="3334">
        <f t="shared" ref="L2822" si="522">F2822/30</f>
        <v>5.8666666666666663</v>
      </c>
    </row>
    <row r="2823" spans="1:12" s="3327" customFormat="1" ht="13.5" customHeight="1">
      <c r="A2823" s="3323"/>
      <c r="B2823" s="3324" t="s">
        <v>4992</v>
      </c>
      <c r="C2823" s="3324" t="s">
        <v>5040</v>
      </c>
      <c r="D2823" s="3324" t="s">
        <v>5039</v>
      </c>
      <c r="E2823" s="3325">
        <v>302.5</v>
      </c>
      <c r="F2823" s="3325">
        <v>160</v>
      </c>
      <c r="G2823" s="3326">
        <v>41821</v>
      </c>
      <c r="H2823" s="3326">
        <v>42093</v>
      </c>
      <c r="I2823" s="3326">
        <v>42094</v>
      </c>
      <c r="J2823" s="3324"/>
    </row>
    <row r="2824" spans="1:12" s="3327" customFormat="1" ht="13.5" customHeight="1">
      <c r="A2824" s="3323"/>
      <c r="B2824" s="3336" t="s">
        <v>4992</v>
      </c>
      <c r="C2824" s="3336" t="s">
        <v>5040</v>
      </c>
      <c r="D2824" s="3336" t="s">
        <v>5039</v>
      </c>
      <c r="E2824" s="3339">
        <v>302.5</v>
      </c>
      <c r="F2824" s="3339">
        <v>176</v>
      </c>
      <c r="G2824" s="3340">
        <v>42095</v>
      </c>
      <c r="H2824" s="3340">
        <v>42459</v>
      </c>
      <c r="I2824" s="3340">
        <v>42460</v>
      </c>
      <c r="J2824" s="3324"/>
    </row>
    <row r="2825" spans="1:12" s="3327" customFormat="1" ht="13.5" customHeight="1">
      <c r="A2825" s="3323"/>
      <c r="B2825" s="3336" t="s">
        <v>4992</v>
      </c>
      <c r="C2825" s="3336" t="s">
        <v>5040</v>
      </c>
      <c r="D2825" s="3336" t="s">
        <v>5039</v>
      </c>
      <c r="E2825" s="3339">
        <v>302.5</v>
      </c>
      <c r="F2825" s="3339">
        <v>190</v>
      </c>
      <c r="G2825" s="3340">
        <v>42461</v>
      </c>
      <c r="H2825" s="3340">
        <v>42824</v>
      </c>
      <c r="I2825" s="3340">
        <v>42825</v>
      </c>
      <c r="J2825" s="3324"/>
    </row>
    <row r="2826" spans="1:12" s="3327" customFormat="1" ht="13.5" customHeight="1">
      <c r="A2826" s="3323" t="s">
        <v>4997</v>
      </c>
      <c r="B2826" s="3331" t="s">
        <v>4992</v>
      </c>
      <c r="C2826" s="3331" t="s">
        <v>5040</v>
      </c>
      <c r="D2826" s="3331" t="s">
        <v>5041</v>
      </c>
      <c r="E2826" s="3332">
        <v>302.5</v>
      </c>
      <c r="F2826" s="3332">
        <v>196</v>
      </c>
      <c r="G2826" s="3333">
        <v>42826</v>
      </c>
      <c r="H2826" s="3333">
        <v>43130</v>
      </c>
      <c r="I2826" s="3333">
        <v>43190</v>
      </c>
      <c r="J2826" s="3324"/>
      <c r="K2826" s="3334">
        <f t="shared" ref="K2826" si="523">E2826</f>
        <v>302.5</v>
      </c>
      <c r="L2826" s="3334">
        <f t="shared" ref="L2826" si="524">F2826/30</f>
        <v>6.5333333333333332</v>
      </c>
    </row>
    <row r="2827" spans="1:12" s="3327" customFormat="1" ht="13.5" customHeight="1">
      <c r="A2827" s="3354"/>
      <c r="B2827" s="3324" t="s">
        <v>4992</v>
      </c>
      <c r="C2827" s="3324" t="s">
        <v>5042</v>
      </c>
      <c r="D2827" s="3324" t="s">
        <v>5043</v>
      </c>
      <c r="E2827" s="3325">
        <v>446.2</v>
      </c>
      <c r="F2827" s="3325">
        <v>165</v>
      </c>
      <c r="G2827" s="3326">
        <v>41000</v>
      </c>
      <c r="H2827" s="3326">
        <v>41169</v>
      </c>
      <c r="I2827" s="3326">
        <v>42094</v>
      </c>
      <c r="J2827" s="3324"/>
    </row>
    <row r="2828" spans="1:12" s="3327" customFormat="1" ht="13.5" customHeight="1">
      <c r="A2828" s="3335"/>
      <c r="B2828" s="3336" t="s">
        <v>4992</v>
      </c>
      <c r="C2828" s="3336" t="s">
        <v>5044</v>
      </c>
      <c r="D2828" s="3336" t="s">
        <v>5043</v>
      </c>
      <c r="E2828" s="3339">
        <v>446.2</v>
      </c>
      <c r="F2828" s="3339">
        <v>185</v>
      </c>
      <c r="G2828" s="3340">
        <v>41189</v>
      </c>
      <c r="H2828" s="3340">
        <v>41363</v>
      </c>
      <c r="I2828" s="3340">
        <v>41364</v>
      </c>
      <c r="J2828" s="3336"/>
    </row>
    <row r="2829" spans="1:12" s="3327" customFormat="1" ht="13.5" customHeight="1">
      <c r="A2829" s="3323"/>
      <c r="B2829" s="3324" t="s">
        <v>4992</v>
      </c>
      <c r="C2829" s="3324" t="s">
        <v>5045</v>
      </c>
      <c r="D2829" s="3324" t="s">
        <v>5046</v>
      </c>
      <c r="E2829" s="3325">
        <v>436.2</v>
      </c>
      <c r="F2829" s="3325">
        <v>185</v>
      </c>
      <c r="G2829" s="3326">
        <v>41730</v>
      </c>
      <c r="H2829" s="3326">
        <v>42093</v>
      </c>
      <c r="I2829" s="3326">
        <v>42094</v>
      </c>
      <c r="J2829" s="3324"/>
    </row>
    <row r="2830" spans="1:12" s="3327" customFormat="1" ht="13.5" customHeight="1">
      <c r="A2830" s="3354"/>
      <c r="B2830" s="3336" t="s">
        <v>4992</v>
      </c>
      <c r="C2830" s="3336" t="s">
        <v>5045</v>
      </c>
      <c r="D2830" s="3336" t="s">
        <v>5046</v>
      </c>
      <c r="E2830" s="3339">
        <v>436.2</v>
      </c>
      <c r="F2830" s="3339">
        <v>191</v>
      </c>
      <c r="G2830" s="3340">
        <v>42095</v>
      </c>
      <c r="H2830" s="3340">
        <v>42185</v>
      </c>
      <c r="I2830" s="3340">
        <v>42460</v>
      </c>
      <c r="J2830" s="3324"/>
    </row>
    <row r="2831" spans="1:12" s="3327" customFormat="1" ht="13.5" customHeight="1">
      <c r="A2831" s="3354"/>
      <c r="B2831" s="3336" t="s">
        <v>4992</v>
      </c>
      <c r="C2831" s="3336" t="s">
        <v>5045</v>
      </c>
      <c r="D2831" s="3336" t="s">
        <v>5046</v>
      </c>
      <c r="E2831" s="3339">
        <v>436.2</v>
      </c>
      <c r="F2831" s="3339">
        <v>185</v>
      </c>
      <c r="G2831" s="3340">
        <v>42186</v>
      </c>
      <c r="H2831" s="3340">
        <v>42459</v>
      </c>
      <c r="I2831" s="3340">
        <v>42460</v>
      </c>
      <c r="J2831" s="3324"/>
    </row>
    <row r="2832" spans="1:12" s="3327" customFormat="1" ht="13.5" customHeight="1">
      <c r="A2832" s="3354"/>
      <c r="B2832" s="3336" t="s">
        <v>4992</v>
      </c>
      <c r="C2832" s="3336" t="s">
        <v>5045</v>
      </c>
      <c r="D2832" s="3336" t="s">
        <v>5046</v>
      </c>
      <c r="E2832" s="3339">
        <v>436.2</v>
      </c>
      <c r="F2832" s="3339">
        <v>160</v>
      </c>
      <c r="G2832" s="3340">
        <v>42461</v>
      </c>
      <c r="H2832" s="3340">
        <v>42490</v>
      </c>
      <c r="I2832" s="3340">
        <v>42825</v>
      </c>
      <c r="J2832" s="3324"/>
    </row>
    <row r="2833" spans="1:12" s="3327" customFormat="1" ht="13.5" customHeight="1">
      <c r="A2833" s="3354"/>
      <c r="B2833" s="3336" t="s">
        <v>4992</v>
      </c>
      <c r="C2833" s="3336" t="s">
        <v>5045</v>
      </c>
      <c r="D2833" s="3336" t="s">
        <v>5046</v>
      </c>
      <c r="E2833" s="3339">
        <v>436.2</v>
      </c>
      <c r="F2833" s="3339">
        <v>160</v>
      </c>
      <c r="G2833" s="3340">
        <v>42501</v>
      </c>
      <c r="H2833" s="3340">
        <v>42520</v>
      </c>
      <c r="I2833" s="3340">
        <v>42825</v>
      </c>
      <c r="J2833" s="3324"/>
    </row>
    <row r="2834" spans="1:12" s="3327" customFormat="1" ht="13.5" customHeight="1">
      <c r="A2834" s="3354"/>
      <c r="B2834" s="3336" t="s">
        <v>4992</v>
      </c>
      <c r="C2834" s="3336" t="s">
        <v>5045</v>
      </c>
      <c r="D2834" s="3336" t="s">
        <v>5046</v>
      </c>
      <c r="E2834" s="3339">
        <v>436.2</v>
      </c>
      <c r="F2834" s="3339">
        <v>160</v>
      </c>
      <c r="G2834" s="3340">
        <v>42522</v>
      </c>
      <c r="H2834" s="3340">
        <v>42612</v>
      </c>
      <c r="I2834" s="3340">
        <v>42825</v>
      </c>
      <c r="J2834" s="3324"/>
    </row>
    <row r="2835" spans="1:12" s="3327" customFormat="1" ht="13.5" customHeight="1">
      <c r="A2835" s="3354"/>
      <c r="B2835" s="3336" t="s">
        <v>4992</v>
      </c>
      <c r="C2835" s="3336" t="s">
        <v>5045</v>
      </c>
      <c r="D2835" s="3336" t="s">
        <v>5046</v>
      </c>
      <c r="E2835" s="3339">
        <v>436.2</v>
      </c>
      <c r="F2835" s="3339">
        <v>160</v>
      </c>
      <c r="G2835" s="3340">
        <v>42644</v>
      </c>
      <c r="H2835" s="3340">
        <v>42824</v>
      </c>
      <c r="I2835" s="3340">
        <v>42825</v>
      </c>
      <c r="J2835" s="3324"/>
    </row>
    <row r="2836" spans="1:12" s="3327" customFormat="1" ht="13.5" customHeight="1">
      <c r="A2836" s="3354"/>
      <c r="B2836" s="3331" t="s">
        <v>4992</v>
      </c>
      <c r="C2836" s="3331" t="s">
        <v>5045</v>
      </c>
      <c r="D2836" s="3331" t="s">
        <v>5046</v>
      </c>
      <c r="E2836" s="3332">
        <v>436.2</v>
      </c>
      <c r="F2836" s="3332">
        <v>138</v>
      </c>
      <c r="G2836" s="3333">
        <v>42826</v>
      </c>
      <c r="H2836" s="3333">
        <v>43069</v>
      </c>
      <c r="I2836" s="3333">
        <v>43190</v>
      </c>
      <c r="J2836" s="3324"/>
      <c r="K2836" s="3334">
        <f t="shared" ref="K2836:K2837" si="525">E2836</f>
        <v>436.2</v>
      </c>
      <c r="L2836" s="3334">
        <f t="shared" ref="L2836:L2837" si="526">F2836/30</f>
        <v>4.5999999999999996</v>
      </c>
    </row>
    <row r="2837" spans="1:12" s="3327" customFormat="1" ht="13.5" customHeight="1">
      <c r="A2837" s="3354" t="s">
        <v>5047</v>
      </c>
      <c r="B2837" s="3331" t="s">
        <v>4992</v>
      </c>
      <c r="C2837" s="3331" t="s">
        <v>5048</v>
      </c>
      <c r="D2837" s="3331" t="s">
        <v>5046</v>
      </c>
      <c r="E2837" s="3332">
        <v>436.2</v>
      </c>
      <c r="F2837" s="3332">
        <v>130</v>
      </c>
      <c r="G2837" s="3333">
        <v>43070</v>
      </c>
      <c r="H2837" s="3333">
        <v>43130</v>
      </c>
      <c r="I2837" s="3333">
        <v>43190</v>
      </c>
      <c r="J2837" s="3324"/>
      <c r="K2837" s="3334">
        <f t="shared" si="525"/>
        <v>436.2</v>
      </c>
      <c r="L2837" s="3334">
        <f t="shared" si="526"/>
        <v>4.333333333333333</v>
      </c>
    </row>
    <row r="2838" spans="1:12" s="3327" customFormat="1" ht="13.5" customHeight="1">
      <c r="A2838" s="3323"/>
      <c r="B2838" s="3324" t="s">
        <v>4992</v>
      </c>
      <c r="C2838" s="3324" t="s">
        <v>5049</v>
      </c>
      <c r="D2838" s="3324" t="s">
        <v>5050</v>
      </c>
      <c r="E2838" s="3325">
        <v>253.6</v>
      </c>
      <c r="F2838" s="3325">
        <v>145</v>
      </c>
      <c r="G2838" s="3326">
        <v>41730</v>
      </c>
      <c r="H2838" s="3326">
        <v>42093</v>
      </c>
      <c r="I2838" s="3326">
        <v>42094</v>
      </c>
      <c r="J2838" s="3324"/>
    </row>
    <row r="2839" spans="1:12" s="3327" customFormat="1" ht="13.5" customHeight="1">
      <c r="A2839" s="3323"/>
      <c r="B2839" s="3336" t="s">
        <v>4992</v>
      </c>
      <c r="C2839" s="3336" t="s">
        <v>5049</v>
      </c>
      <c r="D2839" s="3336" t="s">
        <v>5050</v>
      </c>
      <c r="E2839" s="3339">
        <v>253.6</v>
      </c>
      <c r="F2839" s="3339">
        <v>156</v>
      </c>
      <c r="G2839" s="3340">
        <v>42095</v>
      </c>
      <c r="H2839" s="3340">
        <v>42459</v>
      </c>
      <c r="I2839" s="3340">
        <v>42460</v>
      </c>
      <c r="J2839" s="3324"/>
    </row>
    <row r="2840" spans="1:12" s="3327" customFormat="1" ht="13.5" customHeight="1">
      <c r="A2840" s="3354"/>
      <c r="B2840" s="3336" t="s">
        <v>4992</v>
      </c>
      <c r="C2840" s="3336" t="s">
        <v>5051</v>
      </c>
      <c r="D2840" s="3336" t="s">
        <v>5050</v>
      </c>
      <c r="E2840" s="3339">
        <v>253.6</v>
      </c>
      <c r="F2840" s="3339">
        <v>213</v>
      </c>
      <c r="G2840" s="3340">
        <v>42511</v>
      </c>
      <c r="H2840" s="3340">
        <v>42520</v>
      </c>
      <c r="I2840" s="3340">
        <v>42825</v>
      </c>
      <c r="J2840" s="3324"/>
    </row>
    <row r="2841" spans="1:12" s="3327" customFormat="1" ht="13.5" customHeight="1">
      <c r="A2841" s="3354"/>
      <c r="B2841" s="3324" t="s">
        <v>4992</v>
      </c>
      <c r="C2841" s="3324" t="s">
        <v>5052</v>
      </c>
      <c r="D2841" s="3324" t="s">
        <v>5053</v>
      </c>
      <c r="E2841" s="3325">
        <v>221.5</v>
      </c>
      <c r="F2841" s="3325">
        <v>150</v>
      </c>
      <c r="G2841" s="3326">
        <v>40593</v>
      </c>
      <c r="H2841" s="3326">
        <v>40968</v>
      </c>
      <c r="I2841" s="3326">
        <v>40999</v>
      </c>
      <c r="J2841" s="3324"/>
    </row>
    <row r="2842" spans="1:12" s="3327" customFormat="1" ht="13.5" customHeight="1">
      <c r="A2842" s="3323"/>
      <c r="B2842" s="3324" t="s">
        <v>4992</v>
      </c>
      <c r="C2842" s="3324" t="s">
        <v>5054</v>
      </c>
      <c r="D2842" s="3324" t="s">
        <v>5055</v>
      </c>
      <c r="E2842" s="3325">
        <v>221.5</v>
      </c>
      <c r="F2842" s="3325">
        <v>145</v>
      </c>
      <c r="G2842" s="3326">
        <v>41730</v>
      </c>
      <c r="H2842" s="3326">
        <v>42093</v>
      </c>
      <c r="I2842" s="3326">
        <v>42094</v>
      </c>
      <c r="J2842" s="3324"/>
    </row>
    <row r="2843" spans="1:12" s="3327" customFormat="1" ht="14.25" customHeight="1">
      <c r="A2843" s="3323"/>
      <c r="B2843" s="3336" t="s">
        <v>4992</v>
      </c>
      <c r="C2843" s="3336" t="s">
        <v>5054</v>
      </c>
      <c r="D2843" s="3336" t="s">
        <v>5055</v>
      </c>
      <c r="E2843" s="3339">
        <v>221.5</v>
      </c>
      <c r="F2843" s="3339">
        <v>156</v>
      </c>
      <c r="G2843" s="3340">
        <v>42095</v>
      </c>
      <c r="H2843" s="3340">
        <v>42459</v>
      </c>
      <c r="I2843" s="3340">
        <v>42460</v>
      </c>
      <c r="J2843" s="3324"/>
    </row>
    <row r="2844" spans="1:12" s="3327" customFormat="1" ht="14.25" customHeight="1">
      <c r="A2844" s="3354"/>
      <c r="B2844" s="3336" t="s">
        <v>4992</v>
      </c>
      <c r="C2844" s="3336" t="s">
        <v>5051</v>
      </c>
      <c r="D2844" s="3336" t="s">
        <v>5055</v>
      </c>
      <c r="E2844" s="3339">
        <v>221.5</v>
      </c>
      <c r="F2844" s="3339">
        <v>207</v>
      </c>
      <c r="G2844" s="3340">
        <v>42511</v>
      </c>
      <c r="H2844" s="3340">
        <v>42520</v>
      </c>
      <c r="I2844" s="3340">
        <v>42825</v>
      </c>
      <c r="J2844" s="3324"/>
    </row>
    <row r="2845" spans="1:12" s="3327" customFormat="1" ht="14.25" customHeight="1">
      <c r="A2845" s="3354"/>
      <c r="B2845" s="3336" t="s">
        <v>4992</v>
      </c>
      <c r="C2845" s="3336" t="s">
        <v>5051</v>
      </c>
      <c r="D2845" s="3336" t="s">
        <v>5056</v>
      </c>
      <c r="E2845" s="3339">
        <v>475.1</v>
      </c>
      <c r="F2845" s="3339">
        <v>151</v>
      </c>
      <c r="G2845" s="3340">
        <v>42522</v>
      </c>
      <c r="H2845" s="3340">
        <v>42612</v>
      </c>
      <c r="I2845" s="3340">
        <v>42825</v>
      </c>
      <c r="J2845" s="3324"/>
    </row>
    <row r="2846" spans="1:12" s="3327" customFormat="1" ht="14.25" customHeight="1">
      <c r="A2846" s="3354"/>
      <c r="B2846" s="3336" t="s">
        <v>4992</v>
      </c>
      <c r="C2846" s="3336" t="s">
        <v>5051</v>
      </c>
      <c r="D2846" s="3336" t="s">
        <v>5055</v>
      </c>
      <c r="E2846" s="3339">
        <v>475.1</v>
      </c>
      <c r="F2846" s="3339">
        <v>151</v>
      </c>
      <c r="G2846" s="3340">
        <v>42614</v>
      </c>
      <c r="H2846" s="3340">
        <v>42824</v>
      </c>
      <c r="I2846" s="3340">
        <v>42825</v>
      </c>
      <c r="J2846" s="3324"/>
    </row>
    <row r="2847" spans="1:12" s="3327" customFormat="1" ht="14.25" customHeight="1">
      <c r="A2847" s="3354" t="s">
        <v>4997</v>
      </c>
      <c r="B2847" s="3331" t="s">
        <v>4992</v>
      </c>
      <c r="C2847" s="3331" t="s">
        <v>5051</v>
      </c>
      <c r="D2847" s="3331" t="s">
        <v>5055</v>
      </c>
      <c r="E2847" s="3332">
        <v>475.1</v>
      </c>
      <c r="F2847" s="3332">
        <v>120</v>
      </c>
      <c r="G2847" s="3333">
        <v>42826</v>
      </c>
      <c r="H2847" s="3333">
        <v>43130</v>
      </c>
      <c r="I2847" s="3333">
        <v>43190</v>
      </c>
      <c r="J2847" s="3324"/>
      <c r="K2847" s="3334">
        <f t="shared" ref="K2847" si="527">E2847</f>
        <v>475.1</v>
      </c>
      <c r="L2847" s="3334">
        <f t="shared" ref="L2847" si="528">F2847/30</f>
        <v>4</v>
      </c>
    </row>
    <row r="2848" spans="1:12" s="3327" customFormat="1" ht="13.5" customHeight="1">
      <c r="A2848" s="3354"/>
      <c r="B2848" s="3324" t="s">
        <v>4992</v>
      </c>
      <c r="C2848" s="3324" t="s">
        <v>5057</v>
      </c>
      <c r="D2848" s="3324" t="s">
        <v>5058</v>
      </c>
      <c r="E2848" s="3325">
        <v>396.3</v>
      </c>
      <c r="F2848" s="3325">
        <v>140</v>
      </c>
      <c r="G2848" s="3326">
        <v>40264</v>
      </c>
      <c r="H2848" s="3326">
        <v>40632</v>
      </c>
      <c r="I2848" s="3326">
        <v>40632</v>
      </c>
      <c r="J2848" s="3324"/>
    </row>
    <row r="2849" spans="1:12" s="3327" customFormat="1" ht="13.5" customHeight="1">
      <c r="A2849" s="3335"/>
      <c r="B2849" s="3336" t="s">
        <v>4992</v>
      </c>
      <c r="C2849" s="3336" t="s">
        <v>5059</v>
      </c>
      <c r="D2849" s="3336" t="s">
        <v>5058</v>
      </c>
      <c r="E2849" s="3339">
        <v>396.3</v>
      </c>
      <c r="F2849" s="3339">
        <v>140</v>
      </c>
      <c r="G2849" s="3340">
        <v>41000</v>
      </c>
      <c r="H2849" s="3340">
        <v>41363</v>
      </c>
      <c r="I2849" s="3340">
        <v>41364</v>
      </c>
      <c r="J2849" s="3336"/>
    </row>
    <row r="2850" spans="1:12" s="3327" customFormat="1" ht="13.5" customHeight="1">
      <c r="A2850" s="3323"/>
      <c r="B2850" s="3324" t="s">
        <v>4992</v>
      </c>
      <c r="C2850" s="3324" t="s">
        <v>5059</v>
      </c>
      <c r="D2850" s="3324" t="s">
        <v>5060</v>
      </c>
      <c r="E2850" s="3325">
        <v>396.3</v>
      </c>
      <c r="F2850" s="3325">
        <v>145</v>
      </c>
      <c r="G2850" s="3326">
        <v>41730</v>
      </c>
      <c r="H2850" s="3326">
        <v>42093</v>
      </c>
      <c r="I2850" s="3326">
        <v>42094</v>
      </c>
      <c r="J2850" s="3324"/>
    </row>
    <row r="2851" spans="1:12" s="3327" customFormat="1" ht="13.5" customHeight="1">
      <c r="A2851" s="3323"/>
      <c r="B2851" s="3336" t="s">
        <v>4992</v>
      </c>
      <c r="C2851" s="3336" t="s">
        <v>5059</v>
      </c>
      <c r="D2851" s="3336" t="s">
        <v>5060</v>
      </c>
      <c r="E2851" s="3339">
        <v>396.3</v>
      </c>
      <c r="F2851" s="3339">
        <v>145</v>
      </c>
      <c r="G2851" s="3340">
        <v>42095</v>
      </c>
      <c r="H2851" s="3340">
        <v>42459</v>
      </c>
      <c r="I2851" s="3340">
        <v>42460</v>
      </c>
      <c r="J2851" s="3324"/>
    </row>
    <row r="2852" spans="1:12" s="3327" customFormat="1" ht="13.5" customHeight="1">
      <c r="A2852" s="3354"/>
      <c r="B2852" s="3336" t="s">
        <v>4992</v>
      </c>
      <c r="C2852" s="3336" t="s">
        <v>3367</v>
      </c>
      <c r="D2852" s="3336" t="s">
        <v>5061</v>
      </c>
      <c r="E2852" s="3339">
        <v>196.3</v>
      </c>
      <c r="F2852" s="3339">
        <v>145</v>
      </c>
      <c r="G2852" s="3340">
        <v>42461</v>
      </c>
      <c r="H2852" s="3340">
        <v>42824</v>
      </c>
      <c r="I2852" s="3340">
        <v>42825</v>
      </c>
      <c r="J2852" s="3324"/>
    </row>
    <row r="2853" spans="1:12" s="3327" customFormat="1" ht="13.5" customHeight="1">
      <c r="A2853" s="3354" t="s">
        <v>4997</v>
      </c>
      <c r="B2853" s="3331" t="s">
        <v>4992</v>
      </c>
      <c r="C2853" s="3331" t="s">
        <v>3367</v>
      </c>
      <c r="D2853" s="3331" t="s">
        <v>5060</v>
      </c>
      <c r="E2853" s="3332">
        <v>196.3</v>
      </c>
      <c r="F2853" s="3332">
        <v>81</v>
      </c>
      <c r="G2853" s="3333">
        <v>42826</v>
      </c>
      <c r="H2853" s="3333">
        <v>43130</v>
      </c>
      <c r="I2853" s="3333">
        <v>43190</v>
      </c>
      <c r="J2853" s="3324"/>
      <c r="K2853" s="3334">
        <f t="shared" ref="K2853" si="529">E2853</f>
        <v>196.3</v>
      </c>
      <c r="L2853" s="3334">
        <f t="shared" ref="L2853" si="530">F2853/30</f>
        <v>2.7</v>
      </c>
    </row>
    <row r="2854" spans="1:12" s="3327" customFormat="1" ht="13.5" customHeight="1">
      <c r="A2854" s="3354"/>
      <c r="B2854" s="3336" t="s">
        <v>4992</v>
      </c>
      <c r="C2854" s="3336" t="s">
        <v>3765</v>
      </c>
      <c r="D2854" s="3336" t="s">
        <v>5062</v>
      </c>
      <c r="E2854" s="3339">
        <v>120</v>
      </c>
      <c r="F2854" s="3339">
        <v>240</v>
      </c>
      <c r="G2854" s="3340">
        <v>42461</v>
      </c>
      <c r="H2854" s="3340">
        <v>42824</v>
      </c>
      <c r="I2854" s="3340">
        <v>42825</v>
      </c>
      <c r="J2854" s="3324"/>
    </row>
    <row r="2855" spans="1:12" s="3327" customFormat="1" ht="13.5" customHeight="1">
      <c r="A2855" s="3354"/>
      <c r="B2855" s="3331" t="s">
        <v>4992</v>
      </c>
      <c r="C2855" s="3331" t="s">
        <v>3765</v>
      </c>
      <c r="D2855" s="3331" t="s">
        <v>5062</v>
      </c>
      <c r="E2855" s="3332">
        <v>120</v>
      </c>
      <c r="F2855" s="3332">
        <v>250</v>
      </c>
      <c r="G2855" s="3333">
        <v>42826</v>
      </c>
      <c r="H2855" s="3333">
        <v>42916</v>
      </c>
      <c r="I2855" s="3333">
        <v>43190</v>
      </c>
      <c r="J2855" s="3324"/>
      <c r="K2855" s="3334">
        <f t="shared" ref="K2855:K2856" si="531">E2855</f>
        <v>120</v>
      </c>
      <c r="L2855" s="3334">
        <f t="shared" ref="L2855:L2856" si="532">F2855/30</f>
        <v>8.3333333333333339</v>
      </c>
    </row>
    <row r="2856" spans="1:12" s="3327" customFormat="1" ht="13.5" customHeight="1">
      <c r="A2856" s="3354" t="s">
        <v>4997</v>
      </c>
      <c r="B2856" s="3331" t="s">
        <v>4992</v>
      </c>
      <c r="C2856" s="3331" t="s">
        <v>5063</v>
      </c>
      <c r="D2856" s="3331" t="s">
        <v>5062</v>
      </c>
      <c r="E2856" s="3332">
        <v>120</v>
      </c>
      <c r="F2856" s="3332">
        <v>245</v>
      </c>
      <c r="G2856" s="3333">
        <v>42917</v>
      </c>
      <c r="H2856" s="3333">
        <v>43130</v>
      </c>
      <c r="I2856" s="3333">
        <v>43190</v>
      </c>
      <c r="J2856" s="3324"/>
      <c r="K2856" s="3334">
        <f t="shared" si="531"/>
        <v>120</v>
      </c>
      <c r="L2856" s="3334">
        <f t="shared" si="532"/>
        <v>8.1666666666666661</v>
      </c>
    </row>
    <row r="2857" spans="1:12" s="3327" customFormat="1" ht="13.5" customHeight="1">
      <c r="A2857" s="3354"/>
      <c r="B2857" s="3336" t="s">
        <v>4992</v>
      </c>
      <c r="C2857" s="3336" t="s">
        <v>3774</v>
      </c>
      <c r="D2857" s="3336" t="s">
        <v>5064</v>
      </c>
      <c r="E2857" s="3339">
        <v>80</v>
      </c>
      <c r="F2857" s="3339">
        <v>240</v>
      </c>
      <c r="G2857" s="3340">
        <v>42461</v>
      </c>
      <c r="H2857" s="3340">
        <v>42551</v>
      </c>
      <c r="I2857" s="3340">
        <v>42825</v>
      </c>
      <c r="J2857" s="3324"/>
    </row>
    <row r="2858" spans="1:12" s="3327" customFormat="1" ht="13.5" customHeight="1">
      <c r="A2858" s="3354"/>
      <c r="B2858" s="3336" t="s">
        <v>4992</v>
      </c>
      <c r="C2858" s="3336" t="s">
        <v>3777</v>
      </c>
      <c r="D2858" s="3336" t="s">
        <v>5064</v>
      </c>
      <c r="E2858" s="3339">
        <v>80</v>
      </c>
      <c r="F2858" s="3339">
        <v>240</v>
      </c>
      <c r="G2858" s="3340">
        <v>42552</v>
      </c>
      <c r="H2858" s="3340">
        <v>42824</v>
      </c>
      <c r="I2858" s="3340">
        <v>42825</v>
      </c>
      <c r="J2858" s="3324"/>
    </row>
    <row r="2859" spans="1:12" s="3327" customFormat="1" ht="13.5" customHeight="1">
      <c r="A2859" s="3354" t="s">
        <v>4997</v>
      </c>
      <c r="B2859" s="3331" t="s">
        <v>4992</v>
      </c>
      <c r="C2859" s="3331" t="s">
        <v>3777</v>
      </c>
      <c r="D2859" s="3331" t="s">
        <v>5064</v>
      </c>
      <c r="E2859" s="3332">
        <v>80</v>
      </c>
      <c r="F2859" s="3332">
        <v>250</v>
      </c>
      <c r="G2859" s="3333">
        <v>42826</v>
      </c>
      <c r="H2859" s="3333">
        <v>43130</v>
      </c>
      <c r="I2859" s="3333">
        <v>43190</v>
      </c>
      <c r="J2859" s="3324"/>
      <c r="K2859" s="3334">
        <f t="shared" ref="K2859" si="533">E2859</f>
        <v>80</v>
      </c>
      <c r="L2859" s="3334">
        <f t="shared" ref="L2859" si="534">F2859/30</f>
        <v>8.3333333333333339</v>
      </c>
    </row>
    <row r="2860" spans="1:12" s="3327" customFormat="1" ht="13.5" customHeight="1">
      <c r="A2860" s="3355"/>
      <c r="B2860" s="3336" t="s">
        <v>4992</v>
      </c>
      <c r="C2860" s="3336" t="s">
        <v>5065</v>
      </c>
      <c r="D2860" s="3336" t="s">
        <v>5066</v>
      </c>
      <c r="E2860" s="3339">
        <v>246</v>
      </c>
      <c r="F2860" s="3339">
        <v>150</v>
      </c>
      <c r="G2860" s="3340">
        <v>41000</v>
      </c>
      <c r="H2860" s="3340">
        <v>41363</v>
      </c>
      <c r="I2860" s="3340">
        <v>41364</v>
      </c>
      <c r="J2860" s="3336"/>
    </row>
    <row r="2861" spans="1:12" s="3327" customFormat="1" ht="13.5" customHeight="1">
      <c r="A2861" s="3323"/>
      <c r="B2861" s="3324" t="s">
        <v>4992</v>
      </c>
      <c r="C2861" s="3324" t="s">
        <v>5065</v>
      </c>
      <c r="D2861" s="3324" t="s">
        <v>5067</v>
      </c>
      <c r="E2861" s="3325">
        <v>246</v>
      </c>
      <c r="F2861" s="3325">
        <v>160</v>
      </c>
      <c r="G2861" s="3326">
        <v>41730</v>
      </c>
      <c r="H2861" s="3326">
        <v>42093</v>
      </c>
      <c r="I2861" s="3326">
        <v>42094</v>
      </c>
      <c r="J2861" s="3324"/>
    </row>
    <row r="2862" spans="1:12" s="3327" customFormat="1" ht="13.5" customHeight="1">
      <c r="A2862" s="3354"/>
      <c r="B2862" s="3336" t="s">
        <v>4992</v>
      </c>
      <c r="C2862" s="3336" t="s">
        <v>5065</v>
      </c>
      <c r="D2862" s="3336" t="s">
        <v>5067</v>
      </c>
      <c r="E2862" s="3339">
        <v>246</v>
      </c>
      <c r="F2862" s="3339">
        <v>166</v>
      </c>
      <c r="G2862" s="3340">
        <v>42095</v>
      </c>
      <c r="H2862" s="3340">
        <v>42154</v>
      </c>
      <c r="I2862" s="3340">
        <v>42155</v>
      </c>
      <c r="J2862" s="3324"/>
    </row>
    <row r="2863" spans="1:12" s="3327" customFormat="1" ht="13.5" customHeight="1">
      <c r="A2863" s="3354"/>
      <c r="B2863" s="3336" t="s">
        <v>4992</v>
      </c>
      <c r="C2863" s="3336" t="s">
        <v>5065</v>
      </c>
      <c r="D2863" s="3336" t="s">
        <v>5067</v>
      </c>
      <c r="E2863" s="3339">
        <v>246</v>
      </c>
      <c r="F2863" s="3339">
        <v>166</v>
      </c>
      <c r="G2863" s="3340">
        <v>42156</v>
      </c>
      <c r="H2863" s="3340">
        <v>42185</v>
      </c>
      <c r="I2863" s="3340">
        <v>42460</v>
      </c>
      <c r="J2863" s="3324"/>
    </row>
    <row r="2864" spans="1:12" s="3327" customFormat="1" ht="13.5" customHeight="1">
      <c r="A2864" s="3354"/>
      <c r="B2864" s="3336" t="s">
        <v>4992</v>
      </c>
      <c r="C2864" s="3336" t="s">
        <v>5068</v>
      </c>
      <c r="D2864" s="3336" t="s">
        <v>5067</v>
      </c>
      <c r="E2864" s="3339">
        <v>246</v>
      </c>
      <c r="F2864" s="3339">
        <v>160</v>
      </c>
      <c r="G2864" s="3340">
        <v>42186</v>
      </c>
      <c r="H2864" s="3340">
        <v>42459</v>
      </c>
      <c r="I2864" s="3340">
        <v>42460</v>
      </c>
      <c r="J2864" s="3324"/>
    </row>
    <row r="2865" spans="1:12" s="3327" customFormat="1" ht="13.5" customHeight="1">
      <c r="A2865" s="3354"/>
      <c r="B2865" s="3336" t="s">
        <v>4992</v>
      </c>
      <c r="C2865" s="3336" t="s">
        <v>5068</v>
      </c>
      <c r="D2865" s="3336" t="s">
        <v>5067</v>
      </c>
      <c r="E2865" s="3339">
        <v>246</v>
      </c>
      <c r="F2865" s="3339">
        <v>165</v>
      </c>
      <c r="G2865" s="3340">
        <v>42461</v>
      </c>
      <c r="H2865" s="3340">
        <v>42520</v>
      </c>
      <c r="I2865" s="3340">
        <v>42825</v>
      </c>
      <c r="J2865" s="3324"/>
    </row>
    <row r="2866" spans="1:12" s="3327" customFormat="1" ht="13.5" customHeight="1">
      <c r="A2866" s="3354"/>
      <c r="B2866" s="3336" t="s">
        <v>4992</v>
      </c>
      <c r="C2866" s="3336" t="s">
        <v>5068</v>
      </c>
      <c r="D2866" s="3336" t="s">
        <v>5067</v>
      </c>
      <c r="E2866" s="3339">
        <v>246</v>
      </c>
      <c r="F2866" s="3339">
        <v>165</v>
      </c>
      <c r="G2866" s="3340">
        <v>42522</v>
      </c>
      <c r="H2866" s="3340">
        <v>42824</v>
      </c>
      <c r="I2866" s="3340">
        <v>42825</v>
      </c>
      <c r="J2866" s="3324"/>
    </row>
    <row r="2867" spans="1:12" s="3327" customFormat="1" ht="13.5" customHeight="1">
      <c r="A2867" s="3354" t="s">
        <v>4997</v>
      </c>
      <c r="B2867" s="3331" t="s">
        <v>4992</v>
      </c>
      <c r="C2867" s="3331" t="s">
        <v>5068</v>
      </c>
      <c r="D2867" s="3331" t="s">
        <v>5067</v>
      </c>
      <c r="E2867" s="3332">
        <v>246</v>
      </c>
      <c r="F2867" s="3332">
        <v>170</v>
      </c>
      <c r="G2867" s="3333">
        <v>42826</v>
      </c>
      <c r="H2867" s="3333">
        <v>43130</v>
      </c>
      <c r="I2867" s="3333">
        <v>43190</v>
      </c>
      <c r="J2867" s="3324"/>
      <c r="K2867" s="3334">
        <f t="shared" ref="K2867" si="535">E2867</f>
        <v>246</v>
      </c>
      <c r="L2867" s="3334">
        <f t="shared" ref="L2867" si="536">F2867/30</f>
        <v>5.666666666666667</v>
      </c>
    </row>
    <row r="2868" spans="1:12" s="3327" customFormat="1" ht="13.5" customHeight="1">
      <c r="A2868" s="3355"/>
      <c r="B2868" s="3336" t="s">
        <v>4992</v>
      </c>
      <c r="C2868" s="3336" t="s">
        <v>5069</v>
      </c>
      <c r="D2868" s="3336" t="s">
        <v>5070</v>
      </c>
      <c r="E2868" s="3339">
        <v>373.2</v>
      </c>
      <c r="F2868" s="3339">
        <v>170</v>
      </c>
      <c r="G2868" s="3340">
        <v>41000</v>
      </c>
      <c r="H2868" s="3340">
        <v>41363</v>
      </c>
      <c r="I2868" s="3340">
        <v>41364</v>
      </c>
      <c r="J2868" s="3336"/>
    </row>
    <row r="2869" spans="1:12" s="3327" customFormat="1" ht="13.5" customHeight="1">
      <c r="A2869" s="3323"/>
      <c r="B2869" s="3324" t="s">
        <v>4992</v>
      </c>
      <c r="C2869" s="3324" t="s">
        <v>5069</v>
      </c>
      <c r="D2869" s="3324" t="s">
        <v>5071</v>
      </c>
      <c r="E2869" s="3325">
        <v>373.2</v>
      </c>
      <c r="F2869" s="3325">
        <v>185</v>
      </c>
      <c r="G2869" s="3326">
        <v>41730</v>
      </c>
      <c r="H2869" s="3326">
        <v>42093</v>
      </c>
      <c r="I2869" s="3326">
        <v>42094</v>
      </c>
      <c r="J2869" s="3324"/>
    </row>
    <row r="2870" spans="1:12" s="3327" customFormat="1" ht="13.5" customHeight="1">
      <c r="A2870" s="3354"/>
      <c r="B2870" s="3336" t="s">
        <v>4992</v>
      </c>
      <c r="C2870" s="3336" t="s">
        <v>5069</v>
      </c>
      <c r="D2870" s="3336" t="s">
        <v>5071</v>
      </c>
      <c r="E2870" s="3339">
        <v>373.2</v>
      </c>
      <c r="F2870" s="3339">
        <v>191</v>
      </c>
      <c r="G2870" s="3340">
        <v>42095</v>
      </c>
      <c r="H2870" s="3340">
        <v>42154</v>
      </c>
      <c r="I2870" s="3340">
        <v>42155</v>
      </c>
      <c r="J2870" s="3324"/>
    </row>
    <row r="2871" spans="1:12" s="3327" customFormat="1" ht="13.5" customHeight="1">
      <c r="A2871" s="3354"/>
      <c r="B2871" s="3336" t="s">
        <v>4992</v>
      </c>
      <c r="C2871" s="3336" t="s">
        <v>4867</v>
      </c>
      <c r="D2871" s="3336" t="s">
        <v>5071</v>
      </c>
      <c r="E2871" s="3339">
        <v>373.2</v>
      </c>
      <c r="F2871" s="3339">
        <v>180</v>
      </c>
      <c r="G2871" s="3340">
        <v>42156</v>
      </c>
      <c r="H2871" s="3340">
        <v>42185</v>
      </c>
      <c r="I2871" s="3340">
        <v>42460</v>
      </c>
      <c r="J2871" s="3324"/>
    </row>
    <row r="2872" spans="1:12" s="3327" customFormat="1" ht="13.5" customHeight="1">
      <c r="A2872" s="3354"/>
      <c r="B2872" s="3336" t="s">
        <v>4992</v>
      </c>
      <c r="C2872" s="3336" t="s">
        <v>5072</v>
      </c>
      <c r="D2872" s="3336" t="s">
        <v>5071</v>
      </c>
      <c r="E2872" s="3339">
        <v>373.2</v>
      </c>
      <c r="F2872" s="3339">
        <v>180</v>
      </c>
      <c r="G2872" s="3340">
        <v>42186</v>
      </c>
      <c r="H2872" s="3340">
        <v>42459</v>
      </c>
      <c r="I2872" s="3340">
        <v>42460</v>
      </c>
      <c r="J2872" s="3324"/>
    </row>
    <row r="2873" spans="1:12" s="3327" customFormat="1" ht="13.5" customHeight="1">
      <c r="A2873" s="3354"/>
      <c r="B2873" s="3336" t="s">
        <v>4992</v>
      </c>
      <c r="C2873" s="3336" t="s">
        <v>5072</v>
      </c>
      <c r="D2873" s="3336" t="s">
        <v>5071</v>
      </c>
      <c r="E2873" s="3339">
        <v>373.2</v>
      </c>
      <c r="F2873" s="3339">
        <v>180</v>
      </c>
      <c r="G2873" s="3340">
        <v>42461</v>
      </c>
      <c r="H2873" s="3340">
        <v>42824</v>
      </c>
      <c r="I2873" s="3340">
        <v>42825</v>
      </c>
      <c r="J2873" s="3324"/>
    </row>
    <row r="2874" spans="1:12" s="3327" customFormat="1" ht="13.5" customHeight="1">
      <c r="A2874" s="3354"/>
      <c r="B2874" s="3331" t="s">
        <v>4992</v>
      </c>
      <c r="C2874" s="3331" t="s">
        <v>5072</v>
      </c>
      <c r="D2874" s="3331" t="s">
        <v>5071</v>
      </c>
      <c r="E2874" s="3332">
        <v>373.2</v>
      </c>
      <c r="F2874" s="3332">
        <v>196</v>
      </c>
      <c r="G2874" s="3333">
        <v>42826</v>
      </c>
      <c r="H2874" s="3333">
        <v>42855</v>
      </c>
      <c r="I2874" s="3333">
        <v>43190</v>
      </c>
      <c r="J2874" s="3324"/>
      <c r="K2874" s="3334">
        <f t="shared" ref="K2874:K2875" si="537">E2874</f>
        <v>373.2</v>
      </c>
      <c r="L2874" s="3334">
        <f t="shared" ref="L2874:L2875" si="538">F2874/30</f>
        <v>6.5333333333333332</v>
      </c>
    </row>
    <row r="2875" spans="1:12" s="3327" customFormat="1" ht="11.25">
      <c r="A2875" s="3354" t="s">
        <v>4997</v>
      </c>
      <c r="B2875" s="3331" t="s">
        <v>4992</v>
      </c>
      <c r="C2875" s="3331" t="s">
        <v>5073</v>
      </c>
      <c r="D2875" s="3331" t="s">
        <v>5071</v>
      </c>
      <c r="E2875" s="3332">
        <v>373.2</v>
      </c>
      <c r="F2875" s="3332">
        <v>196</v>
      </c>
      <c r="G2875" s="3333">
        <v>42856</v>
      </c>
      <c r="H2875" s="3333">
        <v>43130</v>
      </c>
      <c r="I2875" s="3333">
        <v>43190</v>
      </c>
      <c r="J2875" s="3324"/>
      <c r="K2875" s="3334">
        <f t="shared" si="537"/>
        <v>373.2</v>
      </c>
      <c r="L2875" s="3334">
        <f t="shared" si="538"/>
        <v>6.5333333333333332</v>
      </c>
    </row>
    <row r="2876" spans="1:12" s="3327" customFormat="1" ht="13.5" customHeight="1">
      <c r="A2876" s="3355"/>
      <c r="B2876" s="3336" t="s">
        <v>4992</v>
      </c>
      <c r="C2876" s="3336" t="s">
        <v>5074</v>
      </c>
      <c r="D2876" s="3336" t="s">
        <v>5075</v>
      </c>
      <c r="E2876" s="3339">
        <v>458.4</v>
      </c>
      <c r="F2876" s="3339">
        <v>205</v>
      </c>
      <c r="G2876" s="3340">
        <v>41000</v>
      </c>
      <c r="H2876" s="3340">
        <v>41363</v>
      </c>
      <c r="I2876" s="3340">
        <v>41364</v>
      </c>
      <c r="J2876" s="3336"/>
    </row>
    <row r="2877" spans="1:12" s="3327" customFormat="1" ht="12.75" customHeight="1">
      <c r="A2877" s="3323"/>
      <c r="B2877" s="3324" t="s">
        <v>4992</v>
      </c>
      <c r="C2877" s="3324" t="s">
        <v>5074</v>
      </c>
      <c r="D2877" s="3324" t="s">
        <v>5076</v>
      </c>
      <c r="E2877" s="3325">
        <v>458.4</v>
      </c>
      <c r="F2877" s="3325">
        <v>220</v>
      </c>
      <c r="G2877" s="3326">
        <v>41730</v>
      </c>
      <c r="H2877" s="3326">
        <v>42093</v>
      </c>
      <c r="I2877" s="3326">
        <v>42094</v>
      </c>
      <c r="J2877" s="3324"/>
    </row>
    <row r="2878" spans="1:12" s="3327" customFormat="1" ht="12.75" customHeight="1">
      <c r="A2878" s="3323"/>
      <c r="B2878" s="3336" t="s">
        <v>4992</v>
      </c>
      <c r="C2878" s="3336" t="s">
        <v>5074</v>
      </c>
      <c r="D2878" s="3336" t="s">
        <v>5076</v>
      </c>
      <c r="E2878" s="3339">
        <v>458.4</v>
      </c>
      <c r="F2878" s="3339">
        <v>226</v>
      </c>
      <c r="G2878" s="3340">
        <v>42095</v>
      </c>
      <c r="H2878" s="3340">
        <v>42154</v>
      </c>
      <c r="I2878" s="3340">
        <v>42155</v>
      </c>
      <c r="J2878" s="3324"/>
    </row>
    <row r="2879" spans="1:12" s="3327" customFormat="1" ht="12.75" customHeight="1">
      <c r="A2879" s="3323"/>
      <c r="B2879" s="3336" t="s">
        <v>4992</v>
      </c>
      <c r="C2879" s="3336" t="s">
        <v>5074</v>
      </c>
      <c r="D2879" s="3336" t="s">
        <v>5076</v>
      </c>
      <c r="E2879" s="3339">
        <v>458.4</v>
      </c>
      <c r="F2879" s="3339">
        <v>246</v>
      </c>
      <c r="G2879" s="3340">
        <v>42156</v>
      </c>
      <c r="H2879" s="3340">
        <v>42459</v>
      </c>
      <c r="I2879" s="3340">
        <v>42460</v>
      </c>
      <c r="J2879" s="3324"/>
    </row>
    <row r="2880" spans="1:12" s="3327" customFormat="1" ht="12.75" customHeight="1">
      <c r="A2880" s="3323"/>
      <c r="B2880" s="3336" t="s">
        <v>4992</v>
      </c>
      <c r="C2880" s="3336" t="s">
        <v>5074</v>
      </c>
      <c r="D2880" s="3336" t="s">
        <v>5076</v>
      </c>
      <c r="E2880" s="3339">
        <v>458.4</v>
      </c>
      <c r="F2880" s="3339">
        <v>251</v>
      </c>
      <c r="G2880" s="3340">
        <v>42461</v>
      </c>
      <c r="H2880" s="3340">
        <v>42824</v>
      </c>
      <c r="I2880" s="3340">
        <v>42825</v>
      </c>
      <c r="J2880" s="3324"/>
    </row>
    <row r="2881" spans="1:12" s="3327" customFormat="1" ht="12.75" customHeight="1">
      <c r="A2881" s="3323"/>
      <c r="B2881" s="3331" t="s">
        <v>4992</v>
      </c>
      <c r="C2881" s="3331" t="s">
        <v>5074</v>
      </c>
      <c r="D2881" s="3331" t="s">
        <v>5076</v>
      </c>
      <c r="E2881" s="3332">
        <v>458.4</v>
      </c>
      <c r="F2881" s="3332">
        <v>251</v>
      </c>
      <c r="G2881" s="3333">
        <v>42826</v>
      </c>
      <c r="H2881" s="3333">
        <v>42885</v>
      </c>
      <c r="I2881" s="3333">
        <v>43190</v>
      </c>
      <c r="J2881" s="3324"/>
      <c r="K2881" s="3334">
        <f t="shared" ref="K2881:K2882" si="539">E2881</f>
        <v>458.4</v>
      </c>
      <c r="L2881" s="3334">
        <f t="shared" ref="L2881:L2882" si="540">F2881/30</f>
        <v>8.3666666666666671</v>
      </c>
    </row>
    <row r="2882" spans="1:12" s="3327" customFormat="1" ht="12.75" customHeight="1">
      <c r="A2882" s="3323" t="s">
        <v>4997</v>
      </c>
      <c r="B2882" s="3331" t="s">
        <v>4992</v>
      </c>
      <c r="C2882" s="3331" t="s">
        <v>5077</v>
      </c>
      <c r="D2882" s="3331" t="s">
        <v>5076</v>
      </c>
      <c r="E2882" s="3332">
        <v>458.4</v>
      </c>
      <c r="F2882" s="3332">
        <v>251</v>
      </c>
      <c r="G2882" s="3333">
        <v>42887</v>
      </c>
      <c r="H2882" s="3333">
        <v>43130</v>
      </c>
      <c r="I2882" s="3333">
        <v>43190</v>
      </c>
      <c r="J2882" s="3324"/>
      <c r="K2882" s="3334">
        <f t="shared" si="539"/>
        <v>458.4</v>
      </c>
      <c r="L2882" s="3334">
        <f t="shared" si="540"/>
        <v>8.3666666666666671</v>
      </c>
    </row>
    <row r="2883" spans="1:12" s="3327" customFormat="1" ht="13.5" customHeight="1">
      <c r="A2883" s="3354"/>
      <c r="B2883" s="3324" t="s">
        <v>4992</v>
      </c>
      <c r="C2883" s="3324" t="s">
        <v>5078</v>
      </c>
      <c r="D2883" s="3324" t="s">
        <v>5079</v>
      </c>
      <c r="E2883" s="3325">
        <v>605.4</v>
      </c>
      <c r="F2883" s="3325">
        <v>200</v>
      </c>
      <c r="G2883" s="3326">
        <v>40264</v>
      </c>
      <c r="H2883" s="3326">
        <v>40643</v>
      </c>
      <c r="I2883" s="3326">
        <v>40632</v>
      </c>
      <c r="J2883" s="3324"/>
    </row>
    <row r="2884" spans="1:12" s="3327" customFormat="1" ht="13.5" customHeight="1">
      <c r="A2884" s="3335"/>
      <c r="B2884" s="3336" t="s">
        <v>4992</v>
      </c>
      <c r="C2884" s="3336" t="s">
        <v>5065</v>
      </c>
      <c r="D2884" s="3336" t="s">
        <v>5080</v>
      </c>
      <c r="E2884" s="3339">
        <v>350</v>
      </c>
      <c r="F2884" s="3339">
        <v>230</v>
      </c>
      <c r="G2884" s="3340">
        <v>41000</v>
      </c>
      <c r="H2884" s="3340">
        <v>41363</v>
      </c>
      <c r="I2884" s="3340">
        <v>41364</v>
      </c>
      <c r="J2884" s="3336"/>
    </row>
    <row r="2885" spans="1:12" s="3327" customFormat="1" ht="13.5" customHeight="1">
      <c r="A2885" s="3323"/>
      <c r="B2885" s="3324" t="s">
        <v>4992</v>
      </c>
      <c r="C2885" s="3324" t="s">
        <v>5065</v>
      </c>
      <c r="D2885" s="3324" t="s">
        <v>5081</v>
      </c>
      <c r="E2885" s="3325">
        <v>350</v>
      </c>
      <c r="F2885" s="3325">
        <v>245</v>
      </c>
      <c r="G2885" s="3326">
        <v>41730</v>
      </c>
      <c r="H2885" s="3326">
        <v>42093</v>
      </c>
      <c r="I2885" s="3326">
        <v>42094</v>
      </c>
      <c r="J2885" s="3324"/>
    </row>
    <row r="2886" spans="1:12" s="3327" customFormat="1" ht="13.5" customHeight="1">
      <c r="A2886" s="3323"/>
      <c r="B2886" s="3336" t="s">
        <v>4992</v>
      </c>
      <c r="C2886" s="3336" t="s">
        <v>5065</v>
      </c>
      <c r="D2886" s="3336" t="s">
        <v>5081</v>
      </c>
      <c r="E2886" s="3339">
        <v>350</v>
      </c>
      <c r="F2886" s="3339">
        <v>251</v>
      </c>
      <c r="G2886" s="3340">
        <v>42095</v>
      </c>
      <c r="H2886" s="3340">
        <v>42154</v>
      </c>
      <c r="I2886" s="3340">
        <v>42155</v>
      </c>
      <c r="J2886" s="3324"/>
    </row>
    <row r="2887" spans="1:12" s="3327" customFormat="1" ht="13.5" customHeight="1">
      <c r="A2887" s="3323"/>
      <c r="B2887" s="3336" t="s">
        <v>4992</v>
      </c>
      <c r="C2887" s="3336" t="s">
        <v>5065</v>
      </c>
      <c r="D2887" s="3336" t="s">
        <v>5081</v>
      </c>
      <c r="E2887" s="3339">
        <v>350</v>
      </c>
      <c r="F2887" s="3339">
        <v>251</v>
      </c>
      <c r="G2887" s="3340">
        <v>42156</v>
      </c>
      <c r="H2887" s="3340">
        <v>42185</v>
      </c>
      <c r="I2887" s="3340">
        <v>42460</v>
      </c>
      <c r="J2887" s="3324"/>
    </row>
    <row r="2888" spans="1:12" s="3327" customFormat="1" ht="13.5" customHeight="1">
      <c r="A2888" s="3323"/>
      <c r="B2888" s="3336" t="s">
        <v>4992</v>
      </c>
      <c r="C2888" s="3336" t="s">
        <v>5082</v>
      </c>
      <c r="D2888" s="3336" t="s">
        <v>5081</v>
      </c>
      <c r="E2888" s="3339">
        <v>350</v>
      </c>
      <c r="F2888" s="3339">
        <v>245</v>
      </c>
      <c r="G2888" s="3340">
        <v>42186</v>
      </c>
      <c r="H2888" s="3340">
        <v>42459</v>
      </c>
      <c r="I2888" s="3340">
        <v>42460</v>
      </c>
      <c r="J2888" s="3324"/>
    </row>
    <row r="2889" spans="1:12" s="3327" customFormat="1" ht="13.5" customHeight="1">
      <c r="A2889" s="3354"/>
      <c r="B2889" s="3336" t="s">
        <v>4992</v>
      </c>
      <c r="C2889" s="3336" t="s">
        <v>5082</v>
      </c>
      <c r="D2889" s="3336" t="s">
        <v>5081</v>
      </c>
      <c r="E2889" s="3339">
        <v>350</v>
      </c>
      <c r="F2889" s="3339">
        <v>245</v>
      </c>
      <c r="G2889" s="3340">
        <v>42461</v>
      </c>
      <c r="H2889" s="3340">
        <v>42520</v>
      </c>
      <c r="I2889" s="3340">
        <v>42825</v>
      </c>
      <c r="J2889" s="3324"/>
    </row>
    <row r="2890" spans="1:12" s="3327" customFormat="1" ht="13.5" customHeight="1">
      <c r="A2890" s="3354"/>
      <c r="B2890" s="3336" t="s">
        <v>4992</v>
      </c>
      <c r="C2890" s="3336" t="s">
        <v>5082</v>
      </c>
      <c r="D2890" s="3336" t="s">
        <v>5081</v>
      </c>
      <c r="E2890" s="3339">
        <v>350</v>
      </c>
      <c r="F2890" s="3339">
        <v>245</v>
      </c>
      <c r="G2890" s="3340">
        <v>42522</v>
      </c>
      <c r="H2890" s="3340">
        <v>42824</v>
      </c>
      <c r="I2890" s="3340">
        <v>42825</v>
      </c>
      <c r="J2890" s="3324"/>
    </row>
    <row r="2891" spans="1:12" s="3327" customFormat="1" ht="13.5" customHeight="1">
      <c r="A2891" s="3354" t="s">
        <v>4997</v>
      </c>
      <c r="B2891" s="3331" t="s">
        <v>4992</v>
      </c>
      <c r="C2891" s="3331" t="s">
        <v>5082</v>
      </c>
      <c r="D2891" s="3331" t="s">
        <v>5081</v>
      </c>
      <c r="E2891" s="3332">
        <v>350</v>
      </c>
      <c r="F2891" s="3332">
        <v>245</v>
      </c>
      <c r="G2891" s="3333">
        <v>42826</v>
      </c>
      <c r="H2891" s="3333">
        <v>43130</v>
      </c>
      <c r="I2891" s="3333">
        <v>43190</v>
      </c>
      <c r="J2891" s="3324"/>
      <c r="K2891" s="3334">
        <f t="shared" ref="K2891" si="541">E2891</f>
        <v>350</v>
      </c>
      <c r="L2891" s="3334">
        <f t="shared" ref="L2891" si="542">F2891/30</f>
        <v>8.1666666666666661</v>
      </c>
    </row>
    <row r="2892" spans="1:12" s="3327" customFormat="1" ht="13.5" customHeight="1">
      <c r="A2892" s="3355"/>
      <c r="B2892" s="3336" t="s">
        <v>4992</v>
      </c>
      <c r="C2892" s="3336" t="s">
        <v>5065</v>
      </c>
      <c r="D2892" s="3336" t="s">
        <v>5083</v>
      </c>
      <c r="E2892" s="3339">
        <v>255.4</v>
      </c>
      <c r="F2892" s="3339">
        <v>160</v>
      </c>
      <c r="G2892" s="3340">
        <v>41000</v>
      </c>
      <c r="H2892" s="3340">
        <v>41363</v>
      </c>
      <c r="I2892" s="3340">
        <v>41364</v>
      </c>
      <c r="J2892" s="3336"/>
    </row>
    <row r="2893" spans="1:12" s="3327" customFormat="1" ht="13.5" customHeight="1">
      <c r="A2893" s="3323"/>
      <c r="B2893" s="3324" t="s">
        <v>4992</v>
      </c>
      <c r="C2893" s="3324" t="s">
        <v>5065</v>
      </c>
      <c r="D2893" s="3324" t="s">
        <v>5084</v>
      </c>
      <c r="E2893" s="3325">
        <v>255.4</v>
      </c>
      <c r="F2893" s="3325">
        <v>170</v>
      </c>
      <c r="G2893" s="3326">
        <v>41730</v>
      </c>
      <c r="H2893" s="3326">
        <v>42093</v>
      </c>
      <c r="I2893" s="3326">
        <v>42094</v>
      </c>
      <c r="J2893" s="3324"/>
    </row>
    <row r="2894" spans="1:12" s="3327" customFormat="1" ht="13.5" customHeight="1">
      <c r="A2894" s="3354"/>
      <c r="B2894" s="3336" t="s">
        <v>4992</v>
      </c>
      <c r="C2894" s="3336" t="s">
        <v>5065</v>
      </c>
      <c r="D2894" s="3336" t="s">
        <v>5084</v>
      </c>
      <c r="E2894" s="3339">
        <v>255.4</v>
      </c>
      <c r="F2894" s="3339">
        <v>176</v>
      </c>
      <c r="G2894" s="3340">
        <v>42095</v>
      </c>
      <c r="H2894" s="3340">
        <v>42154</v>
      </c>
      <c r="I2894" s="3340">
        <v>42155</v>
      </c>
      <c r="J2894" s="3324"/>
    </row>
    <row r="2895" spans="1:12" s="3327" customFormat="1" ht="13.5" customHeight="1">
      <c r="A2895" s="3354"/>
      <c r="B2895" s="3336" t="s">
        <v>4992</v>
      </c>
      <c r="C2895" s="3336" t="s">
        <v>5065</v>
      </c>
      <c r="D2895" s="3336" t="s">
        <v>5084</v>
      </c>
      <c r="E2895" s="3339">
        <v>255.4</v>
      </c>
      <c r="F2895" s="3339">
        <v>176</v>
      </c>
      <c r="G2895" s="3340">
        <v>42156</v>
      </c>
      <c r="H2895" s="3340">
        <v>42185</v>
      </c>
      <c r="I2895" s="3340">
        <v>42460</v>
      </c>
      <c r="J2895" s="3324"/>
    </row>
    <row r="2896" spans="1:12" s="3327" customFormat="1" ht="13.5" customHeight="1">
      <c r="A2896" s="3354"/>
      <c r="B2896" s="3336" t="s">
        <v>4992</v>
      </c>
      <c r="C2896" s="3336" t="s">
        <v>5085</v>
      </c>
      <c r="D2896" s="3336" t="s">
        <v>5084</v>
      </c>
      <c r="E2896" s="3339">
        <v>255.4</v>
      </c>
      <c r="F2896" s="3339">
        <v>176</v>
      </c>
      <c r="G2896" s="3340">
        <v>42186</v>
      </c>
      <c r="H2896" s="3340">
        <v>42459</v>
      </c>
      <c r="I2896" s="3340">
        <v>42460</v>
      </c>
      <c r="J2896" s="3324"/>
    </row>
    <row r="2897" spans="1:12" s="3327" customFormat="1" ht="13.5" customHeight="1">
      <c r="A2897" s="3354"/>
      <c r="B2897" s="3336" t="s">
        <v>4992</v>
      </c>
      <c r="C2897" s="3336" t="s">
        <v>5085</v>
      </c>
      <c r="D2897" s="3336" t="s">
        <v>5084</v>
      </c>
      <c r="E2897" s="3339">
        <v>255.4</v>
      </c>
      <c r="F2897" s="3339">
        <v>245</v>
      </c>
      <c r="G2897" s="3340">
        <v>42461</v>
      </c>
      <c r="H2897" s="3340">
        <v>42520</v>
      </c>
      <c r="I2897" s="3340">
        <v>42825</v>
      </c>
      <c r="J2897" s="3324"/>
    </row>
    <row r="2898" spans="1:12" s="3327" customFormat="1" ht="13.5" customHeight="1">
      <c r="A2898" s="3354"/>
      <c r="B2898" s="3336" t="s">
        <v>4992</v>
      </c>
      <c r="C2898" s="3336" t="s">
        <v>5085</v>
      </c>
      <c r="D2898" s="3336" t="s">
        <v>5084</v>
      </c>
      <c r="E2898" s="3339">
        <v>255.4</v>
      </c>
      <c r="F2898" s="3339">
        <v>245</v>
      </c>
      <c r="G2898" s="3340">
        <v>42522</v>
      </c>
      <c r="H2898" s="3340">
        <v>42824</v>
      </c>
      <c r="I2898" s="3340">
        <v>42825</v>
      </c>
      <c r="J2898" s="3324"/>
    </row>
    <row r="2899" spans="1:12" s="3327" customFormat="1" ht="13.5" customHeight="1">
      <c r="A2899" s="3354" t="s">
        <v>4997</v>
      </c>
      <c r="B2899" s="3331" t="s">
        <v>4992</v>
      </c>
      <c r="C2899" s="3331" t="s">
        <v>5085</v>
      </c>
      <c r="D2899" s="3331" t="s">
        <v>5084</v>
      </c>
      <c r="E2899" s="3332">
        <v>255.4</v>
      </c>
      <c r="F2899" s="3332">
        <v>175</v>
      </c>
      <c r="G2899" s="3333">
        <v>42826</v>
      </c>
      <c r="H2899" s="3333">
        <v>43130</v>
      </c>
      <c r="I2899" s="3333">
        <v>43190</v>
      </c>
      <c r="J2899" s="3324"/>
      <c r="K2899" s="3334">
        <f t="shared" ref="K2899" si="543">E2899</f>
        <v>255.4</v>
      </c>
      <c r="L2899" s="3334">
        <f t="shared" ref="L2899" si="544">F2899/30</f>
        <v>5.833333333333333</v>
      </c>
    </row>
    <row r="2900" spans="1:12" s="3327" customFormat="1" ht="13.5" customHeight="1">
      <c r="A2900" s="3355"/>
      <c r="B2900" s="3336" t="s">
        <v>4992</v>
      </c>
      <c r="C2900" s="3336" t="s">
        <v>5086</v>
      </c>
      <c r="D2900" s="3336" t="s">
        <v>5087</v>
      </c>
      <c r="E2900" s="3339">
        <v>297.7</v>
      </c>
      <c r="F2900" s="3339">
        <v>235</v>
      </c>
      <c r="G2900" s="3340">
        <v>41000</v>
      </c>
      <c r="H2900" s="3340">
        <v>41000</v>
      </c>
      <c r="I2900" s="3340">
        <v>41364</v>
      </c>
      <c r="J2900" s="3336"/>
    </row>
    <row r="2901" spans="1:12" s="3327" customFormat="1" ht="13.5" customHeight="1">
      <c r="A2901" s="3323"/>
      <c r="B2901" s="3324" t="s">
        <v>4992</v>
      </c>
      <c r="C2901" s="3324" t="s">
        <v>5088</v>
      </c>
      <c r="D2901" s="3324" t="s">
        <v>5089</v>
      </c>
      <c r="E2901" s="3325">
        <v>297.7</v>
      </c>
      <c r="F2901" s="3325">
        <v>255</v>
      </c>
      <c r="G2901" s="3326">
        <v>41730</v>
      </c>
      <c r="H2901" s="3326">
        <v>42093</v>
      </c>
      <c r="I2901" s="3326">
        <v>42094</v>
      </c>
      <c r="J2901" s="3324"/>
    </row>
    <row r="2902" spans="1:12" s="3327" customFormat="1" ht="13.5" customHeight="1">
      <c r="A2902" s="3354"/>
      <c r="B2902" s="3336" t="s">
        <v>4992</v>
      </c>
      <c r="C2902" s="3336" t="s">
        <v>5088</v>
      </c>
      <c r="D2902" s="3336" t="s">
        <v>5089</v>
      </c>
      <c r="E2902" s="3339">
        <v>297.7</v>
      </c>
      <c r="F2902" s="3339">
        <v>261</v>
      </c>
      <c r="G2902" s="3340">
        <v>42095</v>
      </c>
      <c r="H2902" s="3340">
        <v>42154</v>
      </c>
      <c r="I2902" s="3340">
        <v>42155</v>
      </c>
      <c r="J2902" s="3324"/>
    </row>
    <row r="2903" spans="1:12" s="3327" customFormat="1" ht="13.5" customHeight="1">
      <c r="A2903" s="3354"/>
      <c r="B2903" s="3336" t="s">
        <v>4992</v>
      </c>
      <c r="C2903" s="3336" t="s">
        <v>5088</v>
      </c>
      <c r="D2903" s="3336" t="s">
        <v>5089</v>
      </c>
      <c r="E2903" s="3339">
        <v>313.5</v>
      </c>
      <c r="F2903" s="3339">
        <v>261</v>
      </c>
      <c r="G2903" s="3340">
        <v>42156</v>
      </c>
      <c r="H2903" s="3340">
        <v>42459</v>
      </c>
      <c r="I2903" s="3340">
        <v>42460</v>
      </c>
      <c r="J2903" s="3324"/>
    </row>
    <row r="2904" spans="1:12" s="3327" customFormat="1" ht="13.5" customHeight="1">
      <c r="A2904" s="3354"/>
      <c r="B2904" s="3336" t="s">
        <v>4992</v>
      </c>
      <c r="C2904" s="3336" t="s">
        <v>5090</v>
      </c>
      <c r="D2904" s="3336" t="s">
        <v>5089</v>
      </c>
      <c r="E2904" s="3338">
        <v>333.5</v>
      </c>
      <c r="F2904" s="3339">
        <v>270</v>
      </c>
      <c r="G2904" s="3340">
        <v>42461</v>
      </c>
      <c r="H2904" s="3340">
        <v>42824</v>
      </c>
      <c r="I2904" s="3340">
        <v>42825</v>
      </c>
      <c r="J2904" s="3324"/>
    </row>
    <row r="2905" spans="1:12" s="3327" customFormat="1" ht="13.5" customHeight="1">
      <c r="A2905" s="3354"/>
      <c r="B2905" s="3331" t="s">
        <v>4992</v>
      </c>
      <c r="C2905" s="3331" t="s">
        <v>5090</v>
      </c>
      <c r="D2905" s="3331" t="s">
        <v>5089</v>
      </c>
      <c r="E2905" s="3332">
        <v>333.5</v>
      </c>
      <c r="F2905" s="3332">
        <v>270</v>
      </c>
      <c r="G2905" s="3333">
        <v>42826</v>
      </c>
      <c r="H2905" s="3333">
        <v>42983</v>
      </c>
      <c r="I2905" s="3333">
        <v>43190</v>
      </c>
      <c r="J2905" s="3324"/>
      <c r="K2905" s="3334">
        <f t="shared" ref="K2905:K2906" si="545">E2905</f>
        <v>333.5</v>
      </c>
      <c r="L2905" s="3334">
        <f t="shared" ref="L2905:L2906" si="546">F2905/30</f>
        <v>9</v>
      </c>
    </row>
    <row r="2906" spans="1:12" s="3327" customFormat="1" ht="13.5" customHeight="1">
      <c r="A2906" s="3354" t="s">
        <v>4997</v>
      </c>
      <c r="B2906" s="3331" t="s">
        <v>4992</v>
      </c>
      <c r="C2906" s="3331" t="s">
        <v>5090</v>
      </c>
      <c r="D2906" s="3331" t="s">
        <v>5089</v>
      </c>
      <c r="E2906" s="3332">
        <v>333.5</v>
      </c>
      <c r="F2906" s="3332">
        <v>270</v>
      </c>
      <c r="G2906" s="3333">
        <v>42984</v>
      </c>
      <c r="H2906" s="3333">
        <v>43130</v>
      </c>
      <c r="I2906" s="3333">
        <v>43190</v>
      </c>
      <c r="J2906" s="3324"/>
      <c r="K2906" s="3334">
        <f t="shared" si="545"/>
        <v>333.5</v>
      </c>
      <c r="L2906" s="3334">
        <f t="shared" si="546"/>
        <v>9</v>
      </c>
    </row>
    <row r="2907" spans="1:12" s="3327" customFormat="1" ht="13.5" customHeight="1">
      <c r="A2907" s="3355"/>
      <c r="B2907" s="3336" t="s">
        <v>4992</v>
      </c>
      <c r="C2907" s="3336" t="s">
        <v>5091</v>
      </c>
      <c r="D2907" s="3336" t="s">
        <v>5092</v>
      </c>
      <c r="E2907" s="3339">
        <v>618.6</v>
      </c>
      <c r="F2907" s="3339">
        <v>230</v>
      </c>
      <c r="G2907" s="3340">
        <v>41000</v>
      </c>
      <c r="H2907" s="3340">
        <v>41363</v>
      </c>
      <c r="I2907" s="3340">
        <v>41364</v>
      </c>
      <c r="J2907" s="3336"/>
    </row>
    <row r="2908" spans="1:12" s="3327" customFormat="1" ht="13.5" customHeight="1">
      <c r="A2908" s="3323"/>
      <c r="B2908" s="3324" t="s">
        <v>4992</v>
      </c>
      <c r="C2908" s="3324" t="s">
        <v>5093</v>
      </c>
      <c r="D2908" s="3324" t="s">
        <v>5094</v>
      </c>
      <c r="E2908" s="3325">
        <v>618.6</v>
      </c>
      <c r="F2908" s="3325">
        <v>240</v>
      </c>
      <c r="G2908" s="3326">
        <v>41730</v>
      </c>
      <c r="H2908" s="3326">
        <v>42093</v>
      </c>
      <c r="I2908" s="3326">
        <v>42094</v>
      </c>
      <c r="J2908" s="3324"/>
    </row>
    <row r="2909" spans="1:12" s="3327" customFormat="1" ht="13.5" customHeight="1">
      <c r="A2909" s="3354"/>
      <c r="B2909" s="3336" t="s">
        <v>4992</v>
      </c>
      <c r="C2909" s="3336" t="s">
        <v>5093</v>
      </c>
      <c r="D2909" s="3336" t="s">
        <v>5094</v>
      </c>
      <c r="E2909" s="3339">
        <v>618.6</v>
      </c>
      <c r="F2909" s="3339">
        <v>246</v>
      </c>
      <c r="G2909" s="3340">
        <v>42095</v>
      </c>
      <c r="H2909" s="3340">
        <v>42154</v>
      </c>
      <c r="I2909" s="3340">
        <v>42155</v>
      </c>
      <c r="J2909" s="3324"/>
    </row>
    <row r="2910" spans="1:12" s="3327" customFormat="1" ht="13.5" customHeight="1">
      <c r="A2910" s="3354"/>
      <c r="B2910" s="3336" t="s">
        <v>4992</v>
      </c>
      <c r="C2910" s="3336" t="s">
        <v>5093</v>
      </c>
      <c r="D2910" s="3336" t="s">
        <v>5094</v>
      </c>
      <c r="E2910" s="3339">
        <v>798.3</v>
      </c>
      <c r="F2910" s="3339">
        <v>246</v>
      </c>
      <c r="G2910" s="3340">
        <v>42156</v>
      </c>
      <c r="H2910" s="3340">
        <v>42459</v>
      </c>
      <c r="I2910" s="3340">
        <v>42460</v>
      </c>
      <c r="J2910" s="3324"/>
    </row>
    <row r="2911" spans="1:12" s="3327" customFormat="1" ht="13.5" customHeight="1">
      <c r="A2911" s="3354"/>
      <c r="B2911" s="3336" t="s">
        <v>4992</v>
      </c>
      <c r="C2911" s="3336" t="s">
        <v>5093</v>
      </c>
      <c r="D2911" s="3336" t="s">
        <v>5094</v>
      </c>
      <c r="E2911" s="3338">
        <v>806.8</v>
      </c>
      <c r="F2911" s="3339">
        <v>260</v>
      </c>
      <c r="G2911" s="3340">
        <v>42461</v>
      </c>
      <c r="H2911" s="3340">
        <v>42824</v>
      </c>
      <c r="I2911" s="3340">
        <v>42825</v>
      </c>
      <c r="J2911" s="3324"/>
    </row>
    <row r="2912" spans="1:12" s="3327" customFormat="1" ht="13.5" customHeight="1">
      <c r="A2912" s="3354" t="s">
        <v>4997</v>
      </c>
      <c r="B2912" s="3331" t="s">
        <v>4992</v>
      </c>
      <c r="C2912" s="3331" t="s">
        <v>5093</v>
      </c>
      <c r="D2912" s="3331" t="s">
        <v>5031</v>
      </c>
      <c r="E2912" s="3332">
        <v>806.8</v>
      </c>
      <c r="F2912" s="3332">
        <v>266</v>
      </c>
      <c r="G2912" s="3333">
        <v>42826</v>
      </c>
      <c r="H2912" s="3333">
        <v>43130</v>
      </c>
      <c r="I2912" s="3333">
        <v>43190</v>
      </c>
      <c r="J2912" s="3324"/>
      <c r="K2912" s="3334">
        <f t="shared" ref="K2912" si="547">E2912</f>
        <v>806.8</v>
      </c>
      <c r="L2912" s="3334">
        <f t="shared" ref="L2912" si="548">F2912/30</f>
        <v>8.8666666666666671</v>
      </c>
    </row>
    <row r="2913" spans="1:12" s="3327" customFormat="1" ht="13.5" customHeight="1">
      <c r="A2913" s="3355"/>
      <c r="B2913" s="3336" t="s">
        <v>4992</v>
      </c>
      <c r="C2913" s="3336" t="s">
        <v>5095</v>
      </c>
      <c r="D2913" s="3336" t="s">
        <v>5096</v>
      </c>
      <c r="E2913" s="3339">
        <v>385.2</v>
      </c>
      <c r="F2913" s="3339">
        <v>205</v>
      </c>
      <c r="G2913" s="3340">
        <v>41000</v>
      </c>
      <c r="H2913" s="3340">
        <v>41363</v>
      </c>
      <c r="I2913" s="3340">
        <v>41364</v>
      </c>
      <c r="J2913" s="3336"/>
    </row>
    <row r="2914" spans="1:12" s="3327" customFormat="1" ht="13.5" customHeight="1">
      <c r="A2914" s="3323"/>
      <c r="B2914" s="3324" t="s">
        <v>4992</v>
      </c>
      <c r="C2914" s="3324" t="s">
        <v>5095</v>
      </c>
      <c r="D2914" s="3324" t="s">
        <v>5097</v>
      </c>
      <c r="E2914" s="3325">
        <v>385.2</v>
      </c>
      <c r="F2914" s="3325">
        <v>220</v>
      </c>
      <c r="G2914" s="3326">
        <v>41730</v>
      </c>
      <c r="H2914" s="3326">
        <v>42093</v>
      </c>
      <c r="I2914" s="3326">
        <v>42094</v>
      </c>
      <c r="J2914" s="3324"/>
    </row>
    <row r="2915" spans="1:12" s="3327" customFormat="1" ht="13.5" customHeight="1">
      <c r="A2915" s="3323"/>
      <c r="B2915" s="3336" t="s">
        <v>4992</v>
      </c>
      <c r="C2915" s="3336" t="s">
        <v>5095</v>
      </c>
      <c r="D2915" s="3336" t="s">
        <v>5097</v>
      </c>
      <c r="E2915" s="3339">
        <v>385.2</v>
      </c>
      <c r="F2915" s="3339">
        <v>226</v>
      </c>
      <c r="G2915" s="3340">
        <v>42095</v>
      </c>
      <c r="H2915" s="3340">
        <v>42154</v>
      </c>
      <c r="I2915" s="3340">
        <v>42155</v>
      </c>
      <c r="J2915" s="3324"/>
    </row>
    <row r="2916" spans="1:12" s="3327" customFormat="1" ht="13.5" customHeight="1">
      <c r="A2916" s="3323"/>
      <c r="B2916" s="3336" t="s">
        <v>4992</v>
      </c>
      <c r="C2916" s="3336" t="s">
        <v>5095</v>
      </c>
      <c r="D2916" s="3336" t="s">
        <v>5097</v>
      </c>
      <c r="E2916" s="3339">
        <v>385.2</v>
      </c>
      <c r="F2916" s="3339">
        <v>240</v>
      </c>
      <c r="G2916" s="3340">
        <v>42156</v>
      </c>
      <c r="H2916" s="3340">
        <v>42157</v>
      </c>
      <c r="I2916" s="3340">
        <v>42460</v>
      </c>
      <c r="J2916" s="3324"/>
    </row>
    <row r="2917" spans="1:12" s="3327" customFormat="1" ht="13.5" customHeight="1">
      <c r="A2917" s="3323"/>
      <c r="B2917" s="3336" t="s">
        <v>4992</v>
      </c>
      <c r="C2917" s="3336" t="s">
        <v>5095</v>
      </c>
      <c r="D2917" s="3336" t="s">
        <v>5097</v>
      </c>
      <c r="E2917" s="3339">
        <v>385.2</v>
      </c>
      <c r="F2917" s="3339">
        <v>226</v>
      </c>
      <c r="G2917" s="3340">
        <v>42158</v>
      </c>
      <c r="H2917" s="3340">
        <v>42459</v>
      </c>
      <c r="I2917" s="3340">
        <v>42460</v>
      </c>
      <c r="J2917" s="3324"/>
    </row>
    <row r="2918" spans="1:12" s="3327" customFormat="1" ht="13.5" customHeight="1">
      <c r="A2918" s="3323"/>
      <c r="B2918" s="3336" t="s">
        <v>4992</v>
      </c>
      <c r="C2918" s="3336" t="s">
        <v>5095</v>
      </c>
      <c r="D2918" s="3336" t="s">
        <v>5097</v>
      </c>
      <c r="E2918" s="3339">
        <v>385.2</v>
      </c>
      <c r="F2918" s="3339">
        <v>230</v>
      </c>
      <c r="G2918" s="3340">
        <v>42461</v>
      </c>
      <c r="H2918" s="3340">
        <v>42824</v>
      </c>
      <c r="I2918" s="3340">
        <v>42825</v>
      </c>
      <c r="J2918" s="3324"/>
    </row>
    <row r="2919" spans="1:12" s="3327" customFormat="1" ht="13.5" customHeight="1">
      <c r="A2919" s="3323" t="s">
        <v>4997</v>
      </c>
      <c r="B2919" s="3331" t="s">
        <v>4992</v>
      </c>
      <c r="C2919" s="3331" t="s">
        <v>5095</v>
      </c>
      <c r="D2919" s="3331" t="s">
        <v>5097</v>
      </c>
      <c r="E2919" s="3332">
        <v>385.2</v>
      </c>
      <c r="F2919" s="3332">
        <v>230</v>
      </c>
      <c r="G2919" s="3333">
        <v>42826</v>
      </c>
      <c r="H2919" s="3333">
        <v>43130</v>
      </c>
      <c r="I2919" s="3333">
        <v>43190</v>
      </c>
      <c r="J2919" s="3324"/>
      <c r="K2919" s="3334">
        <f t="shared" ref="K2919" si="549">E2919</f>
        <v>385.2</v>
      </c>
      <c r="L2919" s="3334">
        <f t="shared" ref="L2919" si="550">F2919/30</f>
        <v>7.666666666666667</v>
      </c>
    </row>
    <row r="2920" spans="1:12" s="3327" customFormat="1" ht="13.5" customHeight="1">
      <c r="A2920" s="3355"/>
      <c r="B2920" s="3336" t="s">
        <v>4992</v>
      </c>
      <c r="C2920" s="3336" t="s">
        <v>5098</v>
      </c>
      <c r="D2920" s="3336" t="s">
        <v>5099</v>
      </c>
      <c r="E2920" s="3339">
        <v>223.5</v>
      </c>
      <c r="F2920" s="3339">
        <v>180</v>
      </c>
      <c r="G2920" s="3340">
        <v>41000</v>
      </c>
      <c r="H2920" s="3340">
        <v>41363</v>
      </c>
      <c r="I2920" s="3340">
        <v>41364</v>
      </c>
      <c r="J2920" s="3336"/>
    </row>
    <row r="2921" spans="1:12" s="3327" customFormat="1" ht="13.5" customHeight="1">
      <c r="A2921" s="3409"/>
      <c r="B2921" s="3324" t="s">
        <v>4992</v>
      </c>
      <c r="C2921" s="3324" t="s">
        <v>5098</v>
      </c>
      <c r="D2921" s="3324" t="s">
        <v>5100</v>
      </c>
      <c r="E2921" s="3325">
        <v>223.5</v>
      </c>
      <c r="F2921" s="3325">
        <v>190</v>
      </c>
      <c r="G2921" s="3326">
        <v>41730</v>
      </c>
      <c r="H2921" s="3326">
        <v>41738</v>
      </c>
      <c r="I2921" s="3326">
        <v>42094</v>
      </c>
      <c r="J2921" s="3324"/>
    </row>
    <row r="2922" spans="1:12" s="3327" customFormat="1" ht="13.5" customHeight="1">
      <c r="A2922" s="3323"/>
      <c r="B2922" s="3324" t="s">
        <v>4992</v>
      </c>
      <c r="C2922" s="3324" t="s">
        <v>5101</v>
      </c>
      <c r="D2922" s="3324" t="s">
        <v>5100</v>
      </c>
      <c r="E2922" s="3325">
        <v>223.5</v>
      </c>
      <c r="F2922" s="3325">
        <v>190</v>
      </c>
      <c r="G2922" s="3326">
        <v>41739</v>
      </c>
      <c r="H2922" s="3326">
        <v>41942</v>
      </c>
      <c r="I2922" s="3326">
        <v>42094</v>
      </c>
      <c r="J2922" s="3324"/>
    </row>
    <row r="2923" spans="1:12" s="3327" customFormat="1" ht="13.5" customHeight="1">
      <c r="A2923" s="3323"/>
      <c r="B2923" s="3324" t="s">
        <v>4992</v>
      </c>
      <c r="C2923" s="3324" t="s">
        <v>5102</v>
      </c>
      <c r="D2923" s="3324" t="s">
        <v>5100</v>
      </c>
      <c r="E2923" s="3325">
        <v>223.5</v>
      </c>
      <c r="F2923" s="3325">
        <v>190</v>
      </c>
      <c r="G2923" s="3326">
        <v>41944</v>
      </c>
      <c r="H2923" s="3326">
        <v>42003</v>
      </c>
      <c r="I2923" s="3326">
        <v>42094</v>
      </c>
      <c r="J2923" s="3324"/>
    </row>
    <row r="2924" spans="1:12" s="3327" customFormat="1" ht="13.5" customHeight="1">
      <c r="A2924" s="3354"/>
      <c r="B2924" s="3324" t="s">
        <v>4992</v>
      </c>
      <c r="C2924" s="3324" t="s">
        <v>5006</v>
      </c>
      <c r="D2924" s="3324" t="s">
        <v>5100</v>
      </c>
      <c r="E2924" s="3325">
        <v>223.5</v>
      </c>
      <c r="F2924" s="3325">
        <v>190</v>
      </c>
      <c r="G2924" s="3326">
        <v>42005</v>
      </c>
      <c r="H2924" s="3326">
        <v>42093</v>
      </c>
      <c r="I2924" s="3326">
        <v>42094</v>
      </c>
      <c r="J2924" s="3324"/>
    </row>
    <row r="2925" spans="1:12" s="3327" customFormat="1" ht="13.5" customHeight="1">
      <c r="A2925" s="3354"/>
      <c r="B2925" s="3336" t="s">
        <v>4992</v>
      </c>
      <c r="C2925" s="3336" t="s">
        <v>5006</v>
      </c>
      <c r="D2925" s="3336" t="s">
        <v>5100</v>
      </c>
      <c r="E2925" s="3339">
        <v>223.5</v>
      </c>
      <c r="F2925" s="3339">
        <v>190</v>
      </c>
      <c r="G2925" s="3340">
        <v>42095</v>
      </c>
      <c r="H2925" s="3340">
        <v>42154</v>
      </c>
      <c r="I2925" s="3340">
        <v>42155</v>
      </c>
      <c r="J2925" s="3324"/>
    </row>
    <row r="2926" spans="1:12" s="3327" customFormat="1" ht="13.5" customHeight="1">
      <c r="A2926" s="3354"/>
      <c r="B2926" s="3336" t="s">
        <v>4992</v>
      </c>
      <c r="C2926" s="3336" t="s">
        <v>4867</v>
      </c>
      <c r="D2926" s="3336" t="s">
        <v>5100</v>
      </c>
      <c r="E2926" s="3339">
        <v>223.5</v>
      </c>
      <c r="F2926" s="3339">
        <v>190</v>
      </c>
      <c r="G2926" s="3340">
        <v>42156</v>
      </c>
      <c r="H2926" s="3340">
        <v>42183</v>
      </c>
      <c r="I2926" s="3340">
        <v>42460</v>
      </c>
      <c r="J2926" s="3324"/>
    </row>
    <row r="2927" spans="1:12" s="3327" customFormat="1" ht="13.5" customHeight="1">
      <c r="A2927" s="3354"/>
      <c r="B2927" s="3336" t="s">
        <v>4992</v>
      </c>
      <c r="C2927" s="3336" t="s">
        <v>5095</v>
      </c>
      <c r="D2927" s="3336" t="s">
        <v>5100</v>
      </c>
      <c r="E2927" s="3339">
        <v>223.5</v>
      </c>
      <c r="F2927" s="3339">
        <v>186</v>
      </c>
      <c r="G2927" s="3340">
        <v>42184</v>
      </c>
      <c r="H2927" s="3340">
        <v>42551</v>
      </c>
      <c r="I2927" s="3340">
        <v>42460</v>
      </c>
      <c r="J2927" s="3324"/>
    </row>
    <row r="2928" spans="1:12" s="3327" customFormat="1" ht="13.5" customHeight="1">
      <c r="A2928" s="3354"/>
      <c r="B2928" s="3336" t="s">
        <v>4992</v>
      </c>
      <c r="C2928" s="3336" t="s">
        <v>5095</v>
      </c>
      <c r="D2928" s="3336" t="s">
        <v>5100</v>
      </c>
      <c r="E2928" s="3339">
        <v>223.5</v>
      </c>
      <c r="F2928" s="3339">
        <v>195</v>
      </c>
      <c r="G2928" s="3340">
        <v>42461</v>
      </c>
      <c r="H2928" s="3340">
        <v>42824</v>
      </c>
      <c r="I2928" s="3340">
        <v>42825</v>
      </c>
      <c r="J2928" s="3324"/>
    </row>
    <row r="2929" spans="1:14" s="3327" customFormat="1" ht="13.5" customHeight="1">
      <c r="A2929" s="3354" t="s">
        <v>4997</v>
      </c>
      <c r="B2929" s="3331" t="s">
        <v>4992</v>
      </c>
      <c r="C2929" s="3331" t="s">
        <v>5095</v>
      </c>
      <c r="D2929" s="3331" t="s">
        <v>5100</v>
      </c>
      <c r="E2929" s="3332">
        <v>223.5</v>
      </c>
      <c r="F2929" s="3332">
        <v>200</v>
      </c>
      <c r="G2929" s="3333">
        <v>42826</v>
      </c>
      <c r="H2929" s="3333">
        <v>43130</v>
      </c>
      <c r="I2929" s="3333">
        <v>43190</v>
      </c>
      <c r="J2929" s="3324"/>
      <c r="K2929" s="3334">
        <f t="shared" ref="K2929" si="551">E2929</f>
        <v>223.5</v>
      </c>
      <c r="L2929" s="3334">
        <f t="shared" ref="L2929" si="552">F2929/30</f>
        <v>6.666666666666667</v>
      </c>
    </row>
    <row r="2930" spans="1:14" s="3327" customFormat="1" ht="13.5" customHeight="1">
      <c r="A2930" s="3355"/>
      <c r="B2930" s="3336" t="s">
        <v>4992</v>
      </c>
      <c r="C2930" s="3336" t="s">
        <v>5103</v>
      </c>
      <c r="D2930" s="3336" t="s">
        <v>5104</v>
      </c>
      <c r="E2930" s="3339">
        <v>220.4</v>
      </c>
      <c r="F2930" s="3339">
        <v>160</v>
      </c>
      <c r="G2930" s="3340">
        <v>41000</v>
      </c>
      <c r="H2930" s="3340">
        <v>41363</v>
      </c>
      <c r="I2930" s="3340">
        <v>41364</v>
      </c>
      <c r="J2930" s="3336"/>
    </row>
    <row r="2931" spans="1:14" s="3327" customFormat="1" ht="13.5" customHeight="1">
      <c r="A2931" s="3409"/>
      <c r="B2931" s="3324" t="s">
        <v>4992</v>
      </c>
      <c r="C2931" s="3324" t="s">
        <v>5103</v>
      </c>
      <c r="D2931" s="3324" t="s">
        <v>5105</v>
      </c>
      <c r="E2931" s="3325">
        <v>220.4</v>
      </c>
      <c r="F2931" s="3325">
        <v>180</v>
      </c>
      <c r="G2931" s="3326">
        <v>41730</v>
      </c>
      <c r="H2931" s="3326">
        <v>41737</v>
      </c>
      <c r="I2931" s="3326">
        <v>42094</v>
      </c>
      <c r="J2931" s="3324"/>
    </row>
    <row r="2932" spans="1:14" s="3327" customFormat="1" ht="13.5" customHeight="1">
      <c r="A2932" s="3323"/>
      <c r="B2932" s="3324" t="s">
        <v>4992</v>
      </c>
      <c r="C2932" s="3324" t="s">
        <v>4542</v>
      </c>
      <c r="D2932" s="3324" t="s">
        <v>5105</v>
      </c>
      <c r="E2932" s="3325">
        <v>220.4</v>
      </c>
      <c r="F2932" s="3325">
        <v>180</v>
      </c>
      <c r="G2932" s="3326">
        <v>41738</v>
      </c>
      <c r="H2932" s="3326">
        <v>41820</v>
      </c>
      <c r="I2932" s="3326">
        <v>42094</v>
      </c>
      <c r="J2932" s="3324"/>
    </row>
    <row r="2933" spans="1:14" s="3327" customFormat="1" ht="13.5" customHeight="1">
      <c r="A2933" s="3323"/>
      <c r="B2933" s="3324" t="s">
        <v>4992</v>
      </c>
      <c r="C2933" s="3324" t="s">
        <v>5106</v>
      </c>
      <c r="D2933" s="3324" t="s">
        <v>5105</v>
      </c>
      <c r="E2933" s="3325">
        <v>220.4</v>
      </c>
      <c r="F2933" s="3325">
        <v>180</v>
      </c>
      <c r="G2933" s="3326">
        <v>41821</v>
      </c>
      <c r="H2933" s="3326">
        <v>42093</v>
      </c>
      <c r="I2933" s="3326">
        <v>42094</v>
      </c>
      <c r="J2933" s="3324"/>
    </row>
    <row r="2934" spans="1:14" s="3327" customFormat="1" ht="13.5" customHeight="1">
      <c r="A2934" s="3323"/>
      <c r="B2934" s="3336" t="s">
        <v>4992</v>
      </c>
      <c r="C2934" s="3336" t="s">
        <v>5106</v>
      </c>
      <c r="D2934" s="3336" t="s">
        <v>5105</v>
      </c>
      <c r="E2934" s="3339">
        <v>220.4</v>
      </c>
      <c r="F2934" s="3397">
        <v>191</v>
      </c>
      <c r="G2934" s="3340">
        <v>42095</v>
      </c>
      <c r="H2934" s="3340">
        <v>42154</v>
      </c>
      <c r="I2934" s="3340">
        <v>42155</v>
      </c>
      <c r="J2934" s="3379"/>
    </row>
    <row r="2935" spans="1:14" s="3327" customFormat="1" ht="13.5" customHeight="1">
      <c r="A2935" s="3323"/>
      <c r="B2935" s="3336" t="s">
        <v>4992</v>
      </c>
      <c r="C2935" s="3336" t="s">
        <v>5106</v>
      </c>
      <c r="D2935" s="3336" t="s">
        <v>5105</v>
      </c>
      <c r="E2935" s="3339">
        <v>220.4</v>
      </c>
      <c r="F2935" s="3397">
        <v>191</v>
      </c>
      <c r="G2935" s="3398">
        <v>42156</v>
      </c>
      <c r="H2935" s="3340">
        <v>42459</v>
      </c>
      <c r="I2935" s="3398">
        <v>42460</v>
      </c>
      <c r="J2935" s="3379"/>
    </row>
    <row r="2936" spans="1:14" s="3327" customFormat="1" ht="13.5" customHeight="1">
      <c r="A2936" s="3323"/>
      <c r="B2936" s="3336" t="s">
        <v>4992</v>
      </c>
      <c r="C2936" s="3372" t="s">
        <v>5107</v>
      </c>
      <c r="D2936" s="3336" t="s">
        <v>5105</v>
      </c>
      <c r="E2936" s="3339">
        <v>220.4</v>
      </c>
      <c r="F2936" s="3397">
        <v>180</v>
      </c>
      <c r="G2936" s="3398">
        <v>42481</v>
      </c>
      <c r="H2936" s="3340">
        <v>42490</v>
      </c>
      <c r="I2936" s="3398">
        <v>42825</v>
      </c>
      <c r="J2936" s="3379"/>
    </row>
    <row r="2937" spans="1:14" s="3327" customFormat="1" ht="13.5" customHeight="1">
      <c r="A2937" s="3323"/>
      <c r="B2937" s="3336" t="s">
        <v>4992</v>
      </c>
      <c r="C2937" s="3372" t="s">
        <v>5107</v>
      </c>
      <c r="D2937" s="3336" t="s">
        <v>5105</v>
      </c>
      <c r="E2937" s="3339">
        <v>220.4</v>
      </c>
      <c r="F2937" s="3397">
        <v>180</v>
      </c>
      <c r="G2937" s="3398">
        <v>42491</v>
      </c>
      <c r="H2937" s="3340">
        <v>42520</v>
      </c>
      <c r="I2937" s="3398">
        <v>42825</v>
      </c>
      <c r="J2937" s="3379"/>
    </row>
    <row r="2938" spans="1:14" s="3327" customFormat="1" ht="13.5" customHeight="1">
      <c r="A2938" s="3323"/>
      <c r="B2938" s="3372" t="s">
        <v>4992</v>
      </c>
      <c r="C2938" s="3372" t="s">
        <v>5108</v>
      </c>
      <c r="D2938" s="3336" t="s">
        <v>5105</v>
      </c>
      <c r="E2938" s="3339">
        <v>220.4</v>
      </c>
      <c r="F2938" s="3397">
        <v>180</v>
      </c>
      <c r="G2938" s="3398">
        <v>42522</v>
      </c>
      <c r="H2938" s="3340">
        <v>42824</v>
      </c>
      <c r="I2938" s="3398">
        <v>42825</v>
      </c>
      <c r="J2938" s="3379"/>
    </row>
    <row r="2939" spans="1:14" s="3327" customFormat="1" ht="13.5" customHeight="1">
      <c r="A2939" s="3323"/>
      <c r="B2939" s="3378" t="s">
        <v>4992</v>
      </c>
      <c r="C2939" s="3378" t="s">
        <v>5108</v>
      </c>
      <c r="D2939" s="3331" t="s">
        <v>5105</v>
      </c>
      <c r="E2939" s="3399">
        <v>220.4</v>
      </c>
      <c r="F2939" s="3399">
        <v>178</v>
      </c>
      <c r="G2939" s="3400">
        <v>42826</v>
      </c>
      <c r="H2939" s="3333">
        <v>42885</v>
      </c>
      <c r="I2939" s="3400">
        <v>43190</v>
      </c>
      <c r="J2939" s="3379"/>
      <c r="K2939" s="3334">
        <f t="shared" ref="K2939:K2941" si="553">E2939</f>
        <v>220.4</v>
      </c>
      <c r="L2939" s="3334">
        <f t="shared" ref="L2939:L2941" si="554">F2939/30</f>
        <v>5.9333333333333336</v>
      </c>
    </row>
    <row r="2940" spans="1:14" s="3327" customFormat="1" ht="13.5" customHeight="1">
      <c r="A2940" s="3323"/>
      <c r="B2940" s="3378" t="s">
        <v>4992</v>
      </c>
      <c r="C2940" s="3378" t="s">
        <v>5109</v>
      </c>
      <c r="D2940" s="3331" t="s">
        <v>5105</v>
      </c>
      <c r="E2940" s="3399">
        <v>220.4</v>
      </c>
      <c r="F2940" s="3399">
        <v>178</v>
      </c>
      <c r="G2940" s="3400">
        <v>42887</v>
      </c>
      <c r="H2940" s="3333">
        <v>43027</v>
      </c>
      <c r="I2940" s="3400">
        <v>43190</v>
      </c>
      <c r="J2940" s="3379"/>
      <c r="K2940" s="3334">
        <f t="shared" si="553"/>
        <v>220.4</v>
      </c>
      <c r="L2940" s="3334">
        <f t="shared" si="554"/>
        <v>5.9333333333333336</v>
      </c>
    </row>
    <row r="2941" spans="1:14" s="3327" customFormat="1" ht="13.5" customHeight="1">
      <c r="A2941" s="3323" t="s">
        <v>4997</v>
      </c>
      <c r="B2941" s="3378" t="s">
        <v>4992</v>
      </c>
      <c r="C2941" s="3378" t="s">
        <v>5110</v>
      </c>
      <c r="D2941" s="3331" t="s">
        <v>5105</v>
      </c>
      <c r="E2941" s="3399">
        <v>220.4</v>
      </c>
      <c r="F2941" s="3399">
        <v>240</v>
      </c>
      <c r="G2941" s="3400">
        <v>43028</v>
      </c>
      <c r="H2941" s="3333">
        <v>43130</v>
      </c>
      <c r="I2941" s="3400">
        <v>43190</v>
      </c>
      <c r="J2941" s="3379"/>
      <c r="K2941" s="3334">
        <f t="shared" si="553"/>
        <v>220.4</v>
      </c>
      <c r="L2941" s="3359">
        <f t="shared" si="554"/>
        <v>8</v>
      </c>
      <c r="M2941" s="3360"/>
      <c r="N2941" s="3360">
        <f>SUMPRODUCT(K2749:K2941,L2749:L2941)/SUM(K2749:K2941)</f>
        <v>6.7686074087329695</v>
      </c>
    </row>
    <row r="2942" spans="1:14" ht="13.5" customHeight="1" outlineLevel="1">
      <c r="A2942" s="3361">
        <v>31</v>
      </c>
      <c r="B2942" s="3401" t="s">
        <v>5111</v>
      </c>
      <c r="C2942" s="3401"/>
      <c r="D2942" s="3401"/>
      <c r="E2942" s="3402">
        <v>8756.34</v>
      </c>
      <c r="F2942" s="3402">
        <v>6221</v>
      </c>
      <c r="G2942" s="3402"/>
      <c r="H2942" s="3402"/>
      <c r="I2942" s="3402"/>
      <c r="J2942" s="3402">
        <v>0</v>
      </c>
    </row>
    <row r="2943" spans="1:14" s="3327" customFormat="1" ht="13.5" customHeight="1">
      <c r="A2943" s="3335"/>
      <c r="B2943" s="3336" t="s">
        <v>5112</v>
      </c>
      <c r="C2943" s="3336" t="s">
        <v>5113</v>
      </c>
      <c r="D2943" s="3336" t="s">
        <v>5114</v>
      </c>
      <c r="E2943" s="3339">
        <v>5869.9</v>
      </c>
      <c r="F2943" s="3413">
        <v>43.299999432131159</v>
      </c>
      <c r="G2943" s="3340">
        <v>41000</v>
      </c>
      <c r="H2943" s="3340">
        <v>41363</v>
      </c>
      <c r="I2943" s="3340">
        <v>41364</v>
      </c>
      <c r="J2943" s="3336"/>
    </row>
    <row r="2944" spans="1:14" s="3327" customFormat="1" ht="13.5" customHeight="1">
      <c r="A2944" s="3323"/>
      <c r="B2944" s="3324" t="s">
        <v>5112</v>
      </c>
      <c r="C2944" s="3324" t="s">
        <v>5113</v>
      </c>
      <c r="D2944" s="3324" t="s">
        <v>5115</v>
      </c>
      <c r="E2944" s="3325">
        <v>5869.9</v>
      </c>
      <c r="F2944" s="3414">
        <v>44.72</v>
      </c>
      <c r="G2944" s="3326">
        <v>41730</v>
      </c>
      <c r="H2944" s="3326">
        <v>42093</v>
      </c>
      <c r="I2944" s="3326">
        <v>42094</v>
      </c>
      <c r="J2944" s="3324"/>
    </row>
    <row r="2945" spans="1:10" s="3327" customFormat="1" ht="13.5" customHeight="1">
      <c r="A2945" s="3323"/>
      <c r="B2945" s="3336" t="s">
        <v>5112</v>
      </c>
      <c r="C2945" s="3336" t="s">
        <v>5113</v>
      </c>
      <c r="D2945" s="3336" t="s">
        <v>5116</v>
      </c>
      <c r="E2945" s="3339">
        <v>5869.9</v>
      </c>
      <c r="F2945" s="3413">
        <v>45.43</v>
      </c>
      <c r="G2945" s="3340"/>
      <c r="H2945" s="3340"/>
      <c r="I2945" s="3340"/>
      <c r="J2945" s="3324"/>
    </row>
    <row r="2946" spans="1:10" s="3327" customFormat="1" ht="13.5" customHeight="1">
      <c r="A2946" s="3323"/>
      <c r="B2946" s="3324" t="s">
        <v>5112</v>
      </c>
      <c r="C2946" s="3324" t="s">
        <v>5113</v>
      </c>
      <c r="D2946" s="3324" t="s">
        <v>5117</v>
      </c>
      <c r="E2946" s="3325">
        <v>5869.9</v>
      </c>
      <c r="F2946" s="3413">
        <v>46.139343657188938</v>
      </c>
      <c r="G2946" s="3326">
        <v>42461</v>
      </c>
      <c r="H2946" s="3326"/>
      <c r="I2946" s="3326">
        <v>42825</v>
      </c>
      <c r="J2946" s="3324"/>
    </row>
    <row r="2947" spans="1:10" s="3327" customFormat="1" ht="13.5" customHeight="1">
      <c r="A2947" s="3323"/>
      <c r="B2947" s="3324" t="s">
        <v>5112</v>
      </c>
      <c r="C2947" s="3324" t="s">
        <v>5113</v>
      </c>
      <c r="D2947" s="3324" t="s">
        <v>5118</v>
      </c>
      <c r="E2947" s="3325">
        <v>5869.9</v>
      </c>
      <c r="F2947" s="3413">
        <v>51.108196051040061</v>
      </c>
      <c r="G2947" s="3326"/>
      <c r="H2947" s="3326"/>
      <c r="I2947" s="3326"/>
      <c r="J2947" s="3324"/>
    </row>
    <row r="2948" spans="1:10" ht="13.5" customHeight="1" outlineLevel="1" collapsed="1">
      <c r="A2948" s="3361">
        <v>0</v>
      </c>
      <c r="B2948" s="3415" t="s">
        <v>5112</v>
      </c>
      <c r="C2948" s="3401">
        <v>0</v>
      </c>
      <c r="D2948" s="3401">
        <v>0</v>
      </c>
      <c r="E2948" s="3402">
        <v>0</v>
      </c>
      <c r="F2948" s="3402">
        <v>0</v>
      </c>
      <c r="G2948" s="3402"/>
      <c r="H2948" s="3402"/>
      <c r="I2948" s="3402"/>
      <c r="J2948" s="3402">
        <v>0</v>
      </c>
    </row>
    <row r="2949" spans="1:10" ht="13.5" customHeight="1" outlineLevel="1" collapsed="1">
      <c r="A2949" s="3416">
        <v>404</v>
      </c>
      <c r="B2949" s="3401" t="s">
        <v>5119</v>
      </c>
      <c r="C2949" s="3401">
        <v>0</v>
      </c>
      <c r="D2949" s="3401">
        <v>0</v>
      </c>
      <c r="E2949" s="3402">
        <v>52756.92</v>
      </c>
      <c r="F2949" s="3402">
        <v>133875</v>
      </c>
      <c r="G2949" s="3402"/>
      <c r="H2949" s="3402"/>
      <c r="I2949" s="3402"/>
      <c r="J2949" s="3402">
        <v>0</v>
      </c>
    </row>
    <row r="2950" spans="1:10" s="3327" customFormat="1" ht="13.5" customHeight="1">
      <c r="A2950" s="3417"/>
      <c r="B2950" s="3324" t="s">
        <v>5120</v>
      </c>
      <c r="C2950" s="3324" t="s">
        <v>5121</v>
      </c>
      <c r="D2950" s="3324" t="s">
        <v>3313</v>
      </c>
      <c r="E2950" s="3325">
        <v>1</v>
      </c>
      <c r="F2950" s="3325">
        <v>2000</v>
      </c>
      <c r="G2950" s="3326">
        <v>41730</v>
      </c>
      <c r="H2950" s="3326">
        <v>42093</v>
      </c>
      <c r="I2950" s="3326">
        <v>42094</v>
      </c>
      <c r="J2950" s="3324"/>
    </row>
    <row r="2951" spans="1:10" s="3327" customFormat="1" ht="13.5" customHeight="1">
      <c r="A2951" s="3417"/>
      <c r="B2951" s="3336" t="s">
        <v>5120</v>
      </c>
      <c r="C2951" s="3336" t="s">
        <v>5121</v>
      </c>
      <c r="D2951" s="3336" t="s">
        <v>3313</v>
      </c>
      <c r="E2951" s="3339">
        <v>1</v>
      </c>
      <c r="F2951" s="3339">
        <v>2500</v>
      </c>
      <c r="G2951" s="3340">
        <v>42095</v>
      </c>
      <c r="H2951" s="3340">
        <v>42246</v>
      </c>
      <c r="I2951" s="3340">
        <v>42460</v>
      </c>
      <c r="J2951" s="3324"/>
    </row>
    <row r="2952" spans="1:10" s="3327" customFormat="1" ht="13.5" customHeight="1">
      <c r="A2952" s="3417"/>
      <c r="B2952" s="3336" t="s">
        <v>5120</v>
      </c>
      <c r="C2952" s="3336" t="s">
        <v>5121</v>
      </c>
      <c r="D2952" s="3418" t="s">
        <v>3313</v>
      </c>
      <c r="E2952" s="3339">
        <v>1</v>
      </c>
      <c r="F2952" s="3339">
        <v>2500</v>
      </c>
      <c r="G2952" s="3340">
        <v>42248</v>
      </c>
      <c r="H2952" s="3340">
        <v>42459</v>
      </c>
      <c r="I2952" s="3340">
        <v>42460</v>
      </c>
      <c r="J2952" s="3324"/>
    </row>
    <row r="2953" spans="1:10" s="3327" customFormat="1" ht="13.5" customHeight="1">
      <c r="A2953" s="3417"/>
      <c r="B2953" s="3336" t="s">
        <v>5120</v>
      </c>
      <c r="C2953" s="3336" t="s">
        <v>5121</v>
      </c>
      <c r="D2953" s="3418" t="s">
        <v>3313</v>
      </c>
      <c r="E2953" s="3339">
        <v>1</v>
      </c>
      <c r="F2953" s="3339">
        <v>2500</v>
      </c>
      <c r="G2953" s="3340">
        <v>42461</v>
      </c>
      <c r="H2953" s="3340">
        <v>42551</v>
      </c>
      <c r="I2953" s="3340">
        <v>42825</v>
      </c>
      <c r="J2953" s="3324"/>
    </row>
    <row r="2954" spans="1:10" s="3327" customFormat="1" ht="13.5" customHeight="1">
      <c r="A2954" s="3417"/>
      <c r="B2954" s="3336" t="s">
        <v>5120</v>
      </c>
      <c r="C2954" s="3336" t="s">
        <v>5121</v>
      </c>
      <c r="D2954" s="3418" t="s">
        <v>3313</v>
      </c>
      <c r="E2954" s="3339">
        <v>10.01</v>
      </c>
      <c r="F2954" s="3339">
        <v>250</v>
      </c>
      <c r="G2954" s="3340">
        <v>42552</v>
      </c>
      <c r="H2954" s="3340">
        <v>42824</v>
      </c>
      <c r="I2954" s="3340">
        <v>42825</v>
      </c>
      <c r="J2954" s="3324"/>
    </row>
    <row r="2955" spans="1:10" s="3327" customFormat="1" ht="13.5" customHeight="1">
      <c r="A2955" s="3419"/>
      <c r="B2955" s="3336" t="s">
        <v>5120</v>
      </c>
      <c r="C2955" s="3336" t="s">
        <v>5122</v>
      </c>
      <c r="D2955" s="3336" t="s">
        <v>5123</v>
      </c>
      <c r="E2955" s="3339">
        <v>1</v>
      </c>
      <c r="F2955" s="3339">
        <v>5000</v>
      </c>
      <c r="G2955" s="3340">
        <v>41183</v>
      </c>
      <c r="H2955" s="3340">
        <v>41363</v>
      </c>
      <c r="I2955" s="3340">
        <v>41363</v>
      </c>
      <c r="J2955" s="3336"/>
    </row>
    <row r="2956" spans="1:10" s="3327" customFormat="1" ht="13.5" customHeight="1">
      <c r="A2956" s="3417"/>
      <c r="B2956" s="3324" t="s">
        <v>5120</v>
      </c>
      <c r="C2956" s="3324" t="s">
        <v>5124</v>
      </c>
      <c r="D2956" s="3324" t="s">
        <v>5125</v>
      </c>
      <c r="E2956" s="3325">
        <v>1</v>
      </c>
      <c r="F2956" s="3325">
        <v>2000</v>
      </c>
      <c r="G2956" s="3326">
        <v>41730</v>
      </c>
      <c r="H2956" s="3326">
        <v>42093</v>
      </c>
      <c r="I2956" s="3326">
        <v>42094</v>
      </c>
      <c r="J2956" s="3324"/>
    </row>
    <row r="2957" spans="1:10" s="3327" customFormat="1" ht="13.5" customHeight="1">
      <c r="A2957" s="3417"/>
      <c r="B2957" s="3336" t="s">
        <v>5120</v>
      </c>
      <c r="C2957" s="3336" t="s">
        <v>5124</v>
      </c>
      <c r="D2957" s="3336" t="s">
        <v>5125</v>
      </c>
      <c r="E2957" s="3339">
        <v>1</v>
      </c>
      <c r="F2957" s="3339">
        <v>2500</v>
      </c>
      <c r="G2957" s="3340">
        <v>42095</v>
      </c>
      <c r="H2957" s="3340">
        <v>42459</v>
      </c>
      <c r="I2957" s="3340">
        <v>42460</v>
      </c>
      <c r="J2957" s="3324"/>
    </row>
    <row r="2958" spans="1:10" s="3327" customFormat="1" ht="13.5" customHeight="1">
      <c r="A2958" s="3417"/>
      <c r="B2958" s="3336" t="s">
        <v>5120</v>
      </c>
      <c r="C2958" s="3336" t="s">
        <v>5124</v>
      </c>
      <c r="D2958" s="3336" t="s">
        <v>5125</v>
      </c>
      <c r="E2958" s="3339">
        <v>1</v>
      </c>
      <c r="F2958" s="3339">
        <v>3000</v>
      </c>
      <c r="G2958" s="3340">
        <v>42461</v>
      </c>
      <c r="H2958" s="3340">
        <v>42551</v>
      </c>
      <c r="I2958" s="3340">
        <v>42825</v>
      </c>
      <c r="J2958" s="3324"/>
    </row>
    <row r="2959" spans="1:10" s="3327" customFormat="1" ht="13.5" customHeight="1">
      <c r="A2959" s="3417"/>
      <c r="B2959" s="3336" t="s">
        <v>5120</v>
      </c>
      <c r="C2959" s="3336" t="s">
        <v>5124</v>
      </c>
      <c r="D2959" s="3336" t="s">
        <v>5125</v>
      </c>
      <c r="E2959" s="3339">
        <v>10.01</v>
      </c>
      <c r="F2959" s="3339">
        <v>300</v>
      </c>
      <c r="G2959" s="3340">
        <v>42552</v>
      </c>
      <c r="H2959" s="3340">
        <v>42824</v>
      </c>
      <c r="I2959" s="3340">
        <v>42825</v>
      </c>
      <c r="J2959" s="3324"/>
    </row>
    <row r="2960" spans="1:10" s="3327" customFormat="1" ht="13.5" customHeight="1">
      <c r="A2960" s="3417"/>
      <c r="B2960" s="3324" t="s">
        <v>5120</v>
      </c>
      <c r="C2960" s="3324" t="s">
        <v>5126</v>
      </c>
      <c r="D2960" s="3324" t="s">
        <v>5127</v>
      </c>
      <c r="E2960" s="3325">
        <v>1</v>
      </c>
      <c r="F2960" s="3325">
        <v>2000</v>
      </c>
      <c r="G2960" s="3326">
        <v>41365</v>
      </c>
      <c r="H2960" s="3326">
        <v>41698</v>
      </c>
      <c r="I2960" s="3326">
        <v>41729</v>
      </c>
      <c r="J2960" s="3324"/>
    </row>
    <row r="2961" spans="1:10" s="3327" customFormat="1" ht="13.5" customHeight="1">
      <c r="A2961" s="3417"/>
      <c r="B2961" s="3324" t="s">
        <v>5120</v>
      </c>
      <c r="C2961" s="3324" t="s">
        <v>5128</v>
      </c>
      <c r="D2961" s="3324" t="s">
        <v>5129</v>
      </c>
      <c r="E2961" s="3325">
        <v>1</v>
      </c>
      <c r="F2961" s="3325">
        <v>6000</v>
      </c>
      <c r="G2961" s="3326">
        <v>41365</v>
      </c>
      <c r="H2961" s="3326">
        <v>41698</v>
      </c>
      <c r="I2961" s="3326">
        <v>41729</v>
      </c>
      <c r="J2961" s="3324"/>
    </row>
    <row r="2962" spans="1:10" s="3327" customFormat="1" ht="13.5" customHeight="1">
      <c r="A2962" s="3417"/>
      <c r="B2962" s="3324" t="s">
        <v>5120</v>
      </c>
      <c r="C2962" s="3324" t="s">
        <v>5130</v>
      </c>
      <c r="D2962" s="3324" t="s">
        <v>5131</v>
      </c>
      <c r="E2962" s="3325">
        <v>1</v>
      </c>
      <c r="F2962" s="3325">
        <v>2000</v>
      </c>
      <c r="G2962" s="3326">
        <v>41913</v>
      </c>
      <c r="H2962" s="3326">
        <v>42093</v>
      </c>
      <c r="I2962" s="3326">
        <v>42094</v>
      </c>
      <c r="J2962" s="3324"/>
    </row>
    <row r="2963" spans="1:10" s="3327" customFormat="1" ht="13.5" customHeight="1">
      <c r="A2963" s="3417"/>
      <c r="B2963" s="3336" t="s">
        <v>5120</v>
      </c>
      <c r="C2963" s="3336" t="s">
        <v>5130</v>
      </c>
      <c r="D2963" s="3336" t="s">
        <v>5131</v>
      </c>
      <c r="E2963" s="3339">
        <v>1</v>
      </c>
      <c r="F2963" s="3339">
        <v>4000</v>
      </c>
      <c r="G2963" s="3340">
        <v>42095</v>
      </c>
      <c r="H2963" s="3340">
        <v>42154</v>
      </c>
      <c r="I2963" s="3340">
        <v>42155</v>
      </c>
      <c r="J2963" s="3324"/>
    </row>
    <row r="2964" spans="1:10" s="3327" customFormat="1" ht="13.5" customHeight="1">
      <c r="A2964" s="3417"/>
      <c r="B2964" s="3336" t="s">
        <v>5120</v>
      </c>
      <c r="C2964" s="3336" t="s">
        <v>5130</v>
      </c>
      <c r="D2964" s="3336" t="s">
        <v>5131</v>
      </c>
      <c r="E2964" s="3339">
        <v>1</v>
      </c>
      <c r="F2964" s="3339">
        <v>4000</v>
      </c>
      <c r="G2964" s="3340">
        <v>42156</v>
      </c>
      <c r="H2964" s="3340">
        <v>42185</v>
      </c>
      <c r="I2964" s="3340">
        <v>42185</v>
      </c>
      <c r="J2964" s="3324"/>
    </row>
    <row r="2965" spans="1:10" s="3327" customFormat="1" ht="13.5" customHeight="1">
      <c r="A2965" s="3417"/>
      <c r="B2965" s="3336" t="s">
        <v>5120</v>
      </c>
      <c r="C2965" s="3336" t="s">
        <v>5130</v>
      </c>
      <c r="D2965" s="3336" t="s">
        <v>5131</v>
      </c>
      <c r="E2965" s="3339">
        <v>1</v>
      </c>
      <c r="F2965" s="3339">
        <v>4000</v>
      </c>
      <c r="G2965" s="3340">
        <v>42186</v>
      </c>
      <c r="H2965" s="3340">
        <v>42277</v>
      </c>
      <c r="I2965" s="3340">
        <v>42277</v>
      </c>
      <c r="J2965" s="3324"/>
    </row>
    <row r="2966" spans="1:10" s="3327" customFormat="1" ht="13.5" customHeight="1">
      <c r="A2966" s="3417"/>
      <c r="B2966" s="3336" t="s">
        <v>5120</v>
      </c>
      <c r="C2966" s="3336" t="s">
        <v>5130</v>
      </c>
      <c r="D2966" s="3336" t="s">
        <v>5131</v>
      </c>
      <c r="E2966" s="3339">
        <v>1</v>
      </c>
      <c r="F2966" s="3339">
        <v>4000</v>
      </c>
      <c r="G2966" s="3340">
        <v>42278</v>
      </c>
      <c r="H2966" s="3340">
        <v>42459</v>
      </c>
      <c r="I2966" s="3340">
        <v>42460</v>
      </c>
      <c r="J2966" s="3324"/>
    </row>
    <row r="2967" spans="1:10" s="3327" customFormat="1" ht="13.5" customHeight="1">
      <c r="A2967" s="3417"/>
      <c r="B2967" s="3336" t="s">
        <v>5120</v>
      </c>
      <c r="C2967" s="3336" t="s">
        <v>5132</v>
      </c>
      <c r="D2967" s="3336" t="s">
        <v>5133</v>
      </c>
      <c r="E2967" s="3339">
        <v>1</v>
      </c>
      <c r="F2967" s="3339">
        <v>10000</v>
      </c>
      <c r="G2967" s="3340">
        <v>42186</v>
      </c>
      <c r="H2967" s="3340">
        <v>42459</v>
      </c>
      <c r="I2967" s="3340">
        <v>42460</v>
      </c>
      <c r="J2967" s="3324"/>
    </row>
    <row r="2968" spans="1:10" s="3327" customFormat="1" ht="13.5" customHeight="1">
      <c r="A2968" s="3417"/>
      <c r="B2968" s="3336" t="s">
        <v>5120</v>
      </c>
      <c r="C2968" s="3336" t="s">
        <v>5132</v>
      </c>
      <c r="D2968" s="3336" t="s">
        <v>5133</v>
      </c>
      <c r="E2968" s="3339">
        <v>1</v>
      </c>
      <c r="F2968" s="3339">
        <v>12000</v>
      </c>
      <c r="G2968" s="3340">
        <v>42461</v>
      </c>
      <c r="H2968" s="3340">
        <v>42551</v>
      </c>
      <c r="I2968" s="3340">
        <v>42825</v>
      </c>
      <c r="J2968" s="3324"/>
    </row>
    <row r="2969" spans="1:10" s="3327" customFormat="1" ht="13.5" customHeight="1">
      <c r="A2969" s="3417"/>
      <c r="B2969" s="3336" t="s">
        <v>5120</v>
      </c>
      <c r="C2969" s="3336" t="s">
        <v>5132</v>
      </c>
      <c r="D2969" s="3336" t="s">
        <v>5133</v>
      </c>
      <c r="E2969" s="3339">
        <v>20</v>
      </c>
      <c r="F2969" s="3339">
        <v>600</v>
      </c>
      <c r="G2969" s="3340">
        <v>42552</v>
      </c>
      <c r="H2969" s="3340">
        <v>42629</v>
      </c>
      <c r="I2969" s="3340">
        <v>42825</v>
      </c>
      <c r="J2969" s="3324"/>
    </row>
    <row r="2970" spans="1:10" s="3327" customFormat="1" ht="13.5" customHeight="1">
      <c r="A2970" s="3417"/>
      <c r="B2970" s="3336" t="s">
        <v>5120</v>
      </c>
      <c r="C2970" s="3336" t="s">
        <v>3740</v>
      </c>
      <c r="D2970" s="3336" t="s">
        <v>5133</v>
      </c>
      <c r="E2970" s="3339">
        <v>20</v>
      </c>
      <c r="F2970" s="3339">
        <v>400</v>
      </c>
      <c r="G2970" s="3340">
        <v>42644</v>
      </c>
      <c r="H2970" s="3340">
        <v>42673</v>
      </c>
      <c r="I2970" s="3340">
        <v>42673</v>
      </c>
      <c r="J2970" s="3324"/>
    </row>
    <row r="2971" spans="1:10" s="3327" customFormat="1" ht="13.5" customHeight="1">
      <c r="A2971" s="3417"/>
      <c r="B2971" s="3336" t="s">
        <v>5120</v>
      </c>
      <c r="C2971" s="3336" t="s">
        <v>3740</v>
      </c>
      <c r="D2971" s="3336" t="s">
        <v>5133</v>
      </c>
      <c r="E2971" s="3339">
        <v>20</v>
      </c>
      <c r="F2971" s="3339">
        <v>500</v>
      </c>
      <c r="G2971" s="3340">
        <v>42685</v>
      </c>
      <c r="H2971" s="3340">
        <v>42824</v>
      </c>
      <c r="I2971" s="3340">
        <v>42825</v>
      </c>
      <c r="J2971" s="3324"/>
    </row>
    <row r="2972" spans="1:10" s="3327" customFormat="1" ht="13.5" customHeight="1">
      <c r="A2972" s="3417"/>
      <c r="B2972" s="3324" t="s">
        <v>5120</v>
      </c>
      <c r="C2972" s="3324" t="s">
        <v>5134</v>
      </c>
      <c r="D2972" s="3324" t="s">
        <v>5135</v>
      </c>
      <c r="E2972" s="3325">
        <v>1</v>
      </c>
      <c r="F2972" s="3325">
        <v>2000</v>
      </c>
      <c r="G2972" s="3326">
        <v>41760</v>
      </c>
      <c r="H2972" s="3326">
        <v>41942</v>
      </c>
      <c r="I2972" s="3326">
        <v>42094</v>
      </c>
      <c r="J2972" s="3324"/>
    </row>
    <row r="2973" spans="1:10" s="3327" customFormat="1" ht="13.5" customHeight="1">
      <c r="A2973" s="3417"/>
      <c r="B2973" s="3324" t="s">
        <v>5120</v>
      </c>
      <c r="C2973" s="3324" t="s">
        <v>5134</v>
      </c>
      <c r="D2973" s="3324" t="s">
        <v>5135</v>
      </c>
      <c r="E2973" s="3325">
        <v>1</v>
      </c>
      <c r="F2973" s="3325">
        <v>4000</v>
      </c>
      <c r="G2973" s="3326">
        <v>41944</v>
      </c>
      <c r="H2973" s="3326">
        <v>42093</v>
      </c>
      <c r="I2973" s="3326">
        <v>42094</v>
      </c>
      <c r="J2973" s="3324"/>
    </row>
    <row r="2974" spans="1:10" s="3327" customFormat="1" ht="13.5" customHeight="1">
      <c r="A2974" s="3417"/>
      <c r="B2974" s="3336" t="s">
        <v>5120</v>
      </c>
      <c r="C2974" s="3336" t="s">
        <v>5134</v>
      </c>
      <c r="D2974" s="3336" t="s">
        <v>5135</v>
      </c>
      <c r="E2974" s="3339">
        <v>1</v>
      </c>
      <c r="F2974" s="3339">
        <v>4000</v>
      </c>
      <c r="G2974" s="3340">
        <v>42095</v>
      </c>
      <c r="H2974" s="3340">
        <v>42459</v>
      </c>
      <c r="I2974" s="3340">
        <v>42460</v>
      </c>
      <c r="J2974" s="3324"/>
    </row>
    <row r="2975" spans="1:10" s="3327" customFormat="1" ht="13.5" customHeight="1">
      <c r="A2975" s="3417"/>
      <c r="B2975" s="3336" t="s">
        <v>5120</v>
      </c>
      <c r="C2975" s="3336" t="s">
        <v>5134</v>
      </c>
      <c r="D2975" s="3336" t="s">
        <v>5135</v>
      </c>
      <c r="E2975" s="3339">
        <v>1</v>
      </c>
      <c r="F2975" s="3339">
        <v>4000</v>
      </c>
      <c r="G2975" s="3340">
        <v>42461</v>
      </c>
      <c r="H2975" s="3340">
        <v>42551</v>
      </c>
      <c r="I2975" s="3340">
        <v>42825</v>
      </c>
      <c r="J2975" s="3324"/>
    </row>
    <row r="2976" spans="1:10" s="3327" customFormat="1" ht="13.5" customHeight="1">
      <c r="A2976" s="3417"/>
      <c r="B2976" s="3336" t="s">
        <v>5120</v>
      </c>
      <c r="C2976" s="3336" t="s">
        <v>5134</v>
      </c>
      <c r="D2976" s="3336" t="s">
        <v>5135</v>
      </c>
      <c r="E2976" s="3339">
        <v>16</v>
      </c>
      <c r="F2976" s="3339">
        <v>250</v>
      </c>
      <c r="G2976" s="3340">
        <v>42552</v>
      </c>
      <c r="H2976" s="3340">
        <v>42824</v>
      </c>
      <c r="I2976" s="3340">
        <v>42825</v>
      </c>
      <c r="J2976" s="3324"/>
    </row>
    <row r="2977" spans="1:10" s="3327" customFormat="1" ht="13.5" customHeight="1">
      <c r="A2977" s="3417"/>
      <c r="B2977" s="3331" t="s">
        <v>3128</v>
      </c>
      <c r="C2977" s="3331" t="s">
        <v>5134</v>
      </c>
      <c r="D2977" s="3331" t="s">
        <v>5135</v>
      </c>
      <c r="E2977" s="3332">
        <v>16</v>
      </c>
      <c r="F2977" s="3332">
        <v>300</v>
      </c>
      <c r="G2977" s="3341">
        <v>42826</v>
      </c>
      <c r="H2977" s="3341">
        <v>43099</v>
      </c>
      <c r="I2977" s="3341">
        <v>43190</v>
      </c>
      <c r="J2977" s="3324"/>
    </row>
    <row r="2978" spans="1:10" s="3327" customFormat="1" ht="13.5" customHeight="1">
      <c r="A2978" s="3417" t="s">
        <v>5136</v>
      </c>
      <c r="B2978" s="3331" t="s">
        <v>3128</v>
      </c>
      <c r="C2978" s="3331" t="s">
        <v>5137</v>
      </c>
      <c r="D2978" s="3331" t="s">
        <v>5138</v>
      </c>
      <c r="E2978" s="3332">
        <v>10.01</v>
      </c>
      <c r="F2978" s="3332">
        <v>300</v>
      </c>
      <c r="G2978" s="3333">
        <v>43009</v>
      </c>
      <c r="H2978" s="3333">
        <v>43130</v>
      </c>
      <c r="I2978" s="3333">
        <v>43190</v>
      </c>
      <c r="J2978" s="3324"/>
    </row>
    <row r="2979" spans="1:10" s="3327" customFormat="1" ht="13.5" customHeight="1">
      <c r="A2979" s="3417" t="s">
        <v>5136</v>
      </c>
      <c r="B2979" s="3331" t="s">
        <v>3128</v>
      </c>
      <c r="C2979" s="3331" t="s">
        <v>5121</v>
      </c>
      <c r="D2979" s="3331" t="s">
        <v>5139</v>
      </c>
      <c r="E2979" s="3332">
        <v>10.01</v>
      </c>
      <c r="F2979" s="3332">
        <v>300</v>
      </c>
      <c r="G2979" s="3333">
        <v>43009</v>
      </c>
      <c r="H2979" s="3333">
        <v>43130</v>
      </c>
      <c r="I2979" s="3333">
        <v>43190</v>
      </c>
      <c r="J2979" s="3324"/>
    </row>
    <row r="2980" spans="1:10" s="3327" customFormat="1" ht="13.5" customHeight="1">
      <c r="A2980" s="3417"/>
      <c r="B2980" s="3336" t="s">
        <v>5120</v>
      </c>
      <c r="C2980" s="3336" t="s">
        <v>3594</v>
      </c>
      <c r="D2980" s="3336" t="s">
        <v>3864</v>
      </c>
      <c r="E2980" s="3339">
        <v>23.3</v>
      </c>
      <c r="F2980" s="3339">
        <v>400</v>
      </c>
      <c r="G2980" s="3326">
        <v>41913</v>
      </c>
      <c r="H2980" s="3340">
        <v>42003</v>
      </c>
      <c r="I2980" s="3340">
        <v>42825</v>
      </c>
      <c r="J2980" s="3324"/>
    </row>
    <row r="2981" spans="1:10" s="3327" customFormat="1" ht="13.5" customHeight="1">
      <c r="A2981" s="3417"/>
      <c r="B2981" s="3324" t="s">
        <v>5120</v>
      </c>
      <c r="C2981" s="3324" t="s">
        <v>5140</v>
      </c>
      <c r="D2981" s="3324">
        <v>0</v>
      </c>
      <c r="E2981" s="3325">
        <v>1</v>
      </c>
      <c r="F2981" s="3325">
        <v>3000</v>
      </c>
      <c r="G2981" s="3326">
        <v>41913</v>
      </c>
      <c r="H2981" s="3326">
        <v>0</v>
      </c>
      <c r="I2981" s="3326">
        <v>42094</v>
      </c>
      <c r="J2981" s="3324"/>
    </row>
    <row r="2982" spans="1:10" s="3327" customFormat="1" ht="13.5" customHeight="1">
      <c r="A2982" s="3417"/>
      <c r="B2982" s="3324" t="s">
        <v>5120</v>
      </c>
      <c r="C2982" s="3324" t="s">
        <v>5141</v>
      </c>
      <c r="D2982" s="3324">
        <v>0</v>
      </c>
      <c r="E2982" s="3325">
        <v>1</v>
      </c>
      <c r="F2982" s="3325">
        <v>3000</v>
      </c>
      <c r="G2982" s="3326">
        <v>41913</v>
      </c>
      <c r="H2982" s="3326">
        <v>0</v>
      </c>
      <c r="I2982" s="3326">
        <v>42094</v>
      </c>
      <c r="J2982" s="3324"/>
    </row>
    <row r="2983" spans="1:10" s="3327" customFormat="1" ht="13.5" customHeight="1">
      <c r="A2983" s="3417"/>
      <c r="B2983" s="3336" t="s">
        <v>5120</v>
      </c>
      <c r="C2983" s="3336" t="s">
        <v>5141</v>
      </c>
      <c r="D2983" s="3336" t="s">
        <v>5142</v>
      </c>
      <c r="E2983" s="3339">
        <v>1</v>
      </c>
      <c r="F2983" s="3339">
        <v>6000</v>
      </c>
      <c r="G2983" s="3340">
        <v>42095</v>
      </c>
      <c r="H2983" s="3340">
        <v>42459</v>
      </c>
      <c r="I2983" s="3340">
        <v>42460</v>
      </c>
      <c r="J2983" s="3324"/>
    </row>
    <row r="2984" spans="1:10" s="3327" customFormat="1" ht="13.5" customHeight="1">
      <c r="A2984" s="3417"/>
      <c r="B2984" s="3336" t="s">
        <v>5120</v>
      </c>
      <c r="C2984" s="3336" t="s">
        <v>5141</v>
      </c>
      <c r="D2984" s="3336" t="s">
        <v>5143</v>
      </c>
      <c r="E2984" s="3339">
        <v>20</v>
      </c>
      <c r="F2984" s="3339">
        <v>243</v>
      </c>
      <c r="G2984" s="3340">
        <v>42512</v>
      </c>
      <c r="H2984" s="3340">
        <v>42824</v>
      </c>
      <c r="I2984" s="3340">
        <v>42825</v>
      </c>
      <c r="J2984" s="3324"/>
    </row>
    <row r="2985" spans="1:10" s="3327" customFormat="1" ht="13.5" customHeight="1">
      <c r="A2985" s="3417"/>
      <c r="B2985" s="3336" t="s">
        <v>5120</v>
      </c>
      <c r="C2985" s="3336" t="s">
        <v>5144</v>
      </c>
      <c r="D2985" s="3336" t="s">
        <v>5145</v>
      </c>
      <c r="E2985" s="3339">
        <v>10</v>
      </c>
      <c r="F2985" s="3339">
        <v>200</v>
      </c>
      <c r="G2985" s="3340">
        <v>42512</v>
      </c>
      <c r="H2985" s="3340">
        <v>42824</v>
      </c>
      <c r="I2985" s="3340">
        <v>42825</v>
      </c>
      <c r="J2985" s="3324"/>
    </row>
    <row r="2986" spans="1:10" s="3327" customFormat="1" ht="13.5" customHeight="1">
      <c r="A2986" s="3417"/>
      <c r="B2986" s="3336" t="s">
        <v>5120</v>
      </c>
      <c r="C2986" s="3336" t="s">
        <v>3314</v>
      </c>
      <c r="D2986" s="3336" t="s">
        <v>5146</v>
      </c>
      <c r="E2986" s="3339">
        <v>10</v>
      </c>
      <c r="F2986" s="3339">
        <v>200</v>
      </c>
      <c r="G2986" s="3340">
        <v>42512</v>
      </c>
      <c r="H2986" s="3340">
        <v>42824</v>
      </c>
      <c r="I2986" s="3340">
        <v>42825</v>
      </c>
      <c r="J2986" s="3324"/>
    </row>
    <row r="2987" spans="1:10" s="3327" customFormat="1" ht="13.5" customHeight="1">
      <c r="A2987" s="3417"/>
      <c r="B2987" s="3336" t="s">
        <v>5120</v>
      </c>
      <c r="C2987" s="3336" t="s">
        <v>3367</v>
      </c>
      <c r="D2987" s="3336" t="s">
        <v>3811</v>
      </c>
      <c r="E2987" s="3339">
        <v>1</v>
      </c>
      <c r="F2987" s="3339">
        <v>8000</v>
      </c>
      <c r="G2987" s="3340">
        <v>42217</v>
      </c>
      <c r="H2987" s="3340">
        <v>42459</v>
      </c>
      <c r="I2987" s="3340">
        <v>42460</v>
      </c>
      <c r="J2987" s="3324"/>
    </row>
    <row r="2988" spans="1:10" s="3327" customFormat="1" ht="13.5" customHeight="1">
      <c r="A2988" s="3417"/>
      <c r="B2988" s="3336" t="s">
        <v>5120</v>
      </c>
      <c r="C2988" s="3336" t="s">
        <v>3897</v>
      </c>
      <c r="D2988" s="3336" t="s">
        <v>5147</v>
      </c>
      <c r="E2988" s="3339">
        <v>50</v>
      </c>
      <c r="F2988" s="3339">
        <v>500</v>
      </c>
      <c r="G2988" s="3340">
        <v>42309</v>
      </c>
      <c r="H2988" s="3340">
        <v>42368</v>
      </c>
      <c r="I2988" s="3340">
        <v>42368</v>
      </c>
      <c r="J2988" s="3324"/>
    </row>
    <row r="2989" spans="1:10" s="3327" customFormat="1" ht="13.5" customHeight="1">
      <c r="A2989" s="3417"/>
      <c r="B2989" s="3336" t="s">
        <v>5120</v>
      </c>
      <c r="C2989" s="3336" t="s">
        <v>3443</v>
      </c>
      <c r="D2989" s="3336" t="s">
        <v>5147</v>
      </c>
      <c r="E2989" s="3339">
        <v>50</v>
      </c>
      <c r="F2989" s="3339">
        <v>1000</v>
      </c>
      <c r="G2989" s="3340">
        <v>42510</v>
      </c>
      <c r="H2989" s="3340">
        <v>42570</v>
      </c>
      <c r="I2989" s="3340">
        <v>42570</v>
      </c>
      <c r="J2989" s="3324"/>
    </row>
    <row r="2990" spans="1:10" s="3327" customFormat="1" ht="12.75" customHeight="1">
      <c r="A2990" s="3417"/>
      <c r="B2990" s="3336" t="s">
        <v>5120</v>
      </c>
      <c r="C2990" s="3336" t="s">
        <v>3443</v>
      </c>
      <c r="D2990" s="3336" t="s">
        <v>5147</v>
      </c>
      <c r="E2990" s="3339">
        <v>50</v>
      </c>
      <c r="F2990" s="3339">
        <v>1000</v>
      </c>
      <c r="G2990" s="3340">
        <v>42571</v>
      </c>
      <c r="H2990" s="3340">
        <v>42601</v>
      </c>
      <c r="I2990" s="3340">
        <v>42601</v>
      </c>
      <c r="J2990" s="3324"/>
    </row>
    <row r="2991" spans="1:10" s="3327" customFormat="1" ht="12.75" customHeight="1">
      <c r="A2991" s="3417"/>
      <c r="B2991" s="3336" t="s">
        <v>5120</v>
      </c>
      <c r="C2991" s="3336" t="s">
        <v>3443</v>
      </c>
      <c r="D2991" s="3336" t="s">
        <v>5147</v>
      </c>
      <c r="E2991" s="3339">
        <v>50</v>
      </c>
      <c r="F2991" s="3339">
        <v>1000</v>
      </c>
      <c r="G2991" s="3340">
        <v>42602</v>
      </c>
      <c r="H2991" s="3340">
        <v>42612</v>
      </c>
      <c r="I2991" s="3340">
        <v>42613</v>
      </c>
      <c r="J2991" s="3324"/>
    </row>
    <row r="2992" spans="1:10" s="3327" customFormat="1" ht="13.5" customHeight="1">
      <c r="A2992" s="3417"/>
      <c r="B2992" s="3336" t="s">
        <v>5120</v>
      </c>
      <c r="C2992" s="3336" t="s">
        <v>5148</v>
      </c>
      <c r="D2992" s="3336" t="s">
        <v>5149</v>
      </c>
      <c r="E2992" s="3339">
        <v>1</v>
      </c>
      <c r="F2992" s="3339">
        <v>6000</v>
      </c>
      <c r="G2992" s="3340">
        <v>42095</v>
      </c>
      <c r="H2992" s="3340">
        <v>42459</v>
      </c>
      <c r="I2992" s="3340">
        <v>42460</v>
      </c>
      <c r="J2992" s="3324"/>
    </row>
    <row r="2993" spans="1:10" s="3327" customFormat="1" ht="13.5" customHeight="1">
      <c r="A2993" s="3417"/>
      <c r="B2993" s="3336" t="s">
        <v>5120</v>
      </c>
      <c r="C2993" s="3336" t="s">
        <v>5148</v>
      </c>
      <c r="D2993" s="3336" t="s">
        <v>5149</v>
      </c>
      <c r="E2993" s="3339">
        <v>35</v>
      </c>
      <c r="F2993" s="3339">
        <v>266</v>
      </c>
      <c r="G2993" s="3340">
        <v>42512</v>
      </c>
      <c r="H2993" s="3340">
        <v>42824</v>
      </c>
      <c r="I2993" s="3340">
        <v>42825</v>
      </c>
      <c r="J2993" s="3324"/>
    </row>
    <row r="2994" spans="1:10" s="3327" customFormat="1" ht="13.5" customHeight="1">
      <c r="A2994" s="3417"/>
      <c r="B2994" s="3336" t="s">
        <v>5120</v>
      </c>
      <c r="C2994" s="3336" t="s">
        <v>5150</v>
      </c>
      <c r="D2994" s="3336" t="s">
        <v>5151</v>
      </c>
      <c r="E2994" s="3339">
        <v>1</v>
      </c>
      <c r="F2994" s="3339">
        <v>2000</v>
      </c>
      <c r="G2994" s="3340">
        <v>42221</v>
      </c>
      <c r="H2994" s="3340">
        <v>42459</v>
      </c>
      <c r="I2994" s="3340">
        <v>42460</v>
      </c>
      <c r="J2994" s="3324"/>
    </row>
    <row r="2995" spans="1:10" s="3327" customFormat="1" ht="13.5" customHeight="1">
      <c r="A2995" s="3417"/>
      <c r="B2995" s="3336" t="s">
        <v>5120</v>
      </c>
      <c r="C2995" s="3336" t="s">
        <v>5150</v>
      </c>
      <c r="D2995" s="3336" t="s">
        <v>5152</v>
      </c>
      <c r="E2995" s="3339">
        <v>5</v>
      </c>
      <c r="F2995" s="3339">
        <v>580</v>
      </c>
      <c r="G2995" s="3340">
        <v>42512</v>
      </c>
      <c r="H2995" s="3340">
        <v>42612</v>
      </c>
      <c r="I2995" s="3340">
        <v>42825</v>
      </c>
      <c r="J2995" s="3324"/>
    </row>
    <row r="2996" spans="1:10" s="3327" customFormat="1" ht="13.5" customHeight="1">
      <c r="A2996" s="3417"/>
      <c r="B2996" s="3336" t="s">
        <v>5120</v>
      </c>
      <c r="C2996" s="3336" t="s">
        <v>5153</v>
      </c>
      <c r="D2996" s="3336" t="s">
        <v>5152</v>
      </c>
      <c r="E2996" s="3339">
        <v>5</v>
      </c>
      <c r="F2996" s="3339">
        <v>580</v>
      </c>
      <c r="G2996" s="3340">
        <v>42614</v>
      </c>
      <c r="H2996" s="3340">
        <v>42824</v>
      </c>
      <c r="I2996" s="3340">
        <v>42825</v>
      </c>
      <c r="J2996" s="3324"/>
    </row>
    <row r="2997" spans="1:10" ht="13.5" customHeight="1" outlineLevel="1" collapsed="1">
      <c r="A2997" s="3361">
        <v>2</v>
      </c>
      <c r="B2997" s="3420" t="s">
        <v>3866</v>
      </c>
      <c r="C2997" s="3421"/>
      <c r="D2997" s="3421"/>
      <c r="E2997" s="3402">
        <v>20.02</v>
      </c>
      <c r="F2997" s="3364">
        <v>121169</v>
      </c>
      <c r="G2997" s="3421"/>
      <c r="H2997" s="3421"/>
      <c r="I2997" s="3421"/>
      <c r="J2997" s="3421">
        <v>0</v>
      </c>
    </row>
    <row r="2998" spans="1:10" s="3327" customFormat="1" ht="13.5" customHeight="1">
      <c r="A2998" s="3417"/>
      <c r="B2998" s="3324" t="s">
        <v>3867</v>
      </c>
      <c r="C2998" s="3324" t="s">
        <v>5154</v>
      </c>
      <c r="D2998" s="3324" t="s">
        <v>5155</v>
      </c>
      <c r="E2998" s="3325">
        <v>1</v>
      </c>
      <c r="F2998" s="3325">
        <v>3500</v>
      </c>
      <c r="G2998" s="3326">
        <v>41730</v>
      </c>
      <c r="H2998" s="3326">
        <v>42093</v>
      </c>
      <c r="I2998" s="3326">
        <v>42094</v>
      </c>
      <c r="J2998" s="3324"/>
    </row>
    <row r="2999" spans="1:10" s="3327" customFormat="1" ht="13.5" customHeight="1">
      <c r="A2999" s="3417"/>
      <c r="B2999" s="3336" t="s">
        <v>3867</v>
      </c>
      <c r="C2999" s="3336" t="s">
        <v>5154</v>
      </c>
      <c r="D2999" s="3418" t="s">
        <v>5156</v>
      </c>
      <c r="E2999" s="3339">
        <v>1</v>
      </c>
      <c r="F2999" s="3339">
        <v>3500</v>
      </c>
      <c r="G2999" s="3326">
        <v>42095</v>
      </c>
      <c r="H2999" s="3340">
        <v>42200</v>
      </c>
      <c r="I2999" s="3340">
        <v>42460</v>
      </c>
      <c r="J2999" s="3324"/>
    </row>
    <row r="3000" spans="1:10" s="3327" customFormat="1" ht="13.5" customHeight="1">
      <c r="A3000" s="3417"/>
      <c r="B3000" s="3336" t="s">
        <v>3867</v>
      </c>
      <c r="C3000" s="3336" t="s">
        <v>3314</v>
      </c>
      <c r="D3000" s="3418" t="s">
        <v>5156</v>
      </c>
      <c r="E3000" s="3339">
        <v>1</v>
      </c>
      <c r="F3000" s="3339">
        <v>3500</v>
      </c>
      <c r="G3000" s="3326">
        <v>42201</v>
      </c>
      <c r="H3000" s="3340">
        <v>42459</v>
      </c>
      <c r="I3000" s="3340">
        <v>42460</v>
      </c>
      <c r="J3000" s="3324"/>
    </row>
    <row r="3001" spans="1:10" s="3327" customFormat="1" ht="13.5" customHeight="1">
      <c r="A3001" s="3417"/>
      <c r="B3001" s="3336" t="s">
        <v>3867</v>
      </c>
      <c r="C3001" s="3336" t="s">
        <v>3314</v>
      </c>
      <c r="D3001" s="3336" t="s">
        <v>5157</v>
      </c>
      <c r="E3001" s="3339">
        <v>1</v>
      </c>
      <c r="F3001" s="3339">
        <v>1000</v>
      </c>
      <c r="G3001" s="3326">
        <v>42095</v>
      </c>
      <c r="H3001" s="3340">
        <v>42459</v>
      </c>
      <c r="I3001" s="3340">
        <v>42460</v>
      </c>
      <c r="J3001" s="3324"/>
    </row>
    <row r="3002" spans="1:10" s="3327" customFormat="1" ht="13.5" customHeight="1">
      <c r="A3002" s="3417"/>
      <c r="B3002" s="3336" t="s">
        <v>3867</v>
      </c>
      <c r="C3002" s="3336" t="s">
        <v>3314</v>
      </c>
      <c r="D3002" s="3336" t="s">
        <v>5157</v>
      </c>
      <c r="E3002" s="3339">
        <v>1</v>
      </c>
      <c r="F3002" s="3339">
        <v>1000</v>
      </c>
      <c r="G3002" s="3326">
        <v>42461</v>
      </c>
      <c r="H3002" s="3340">
        <v>42520</v>
      </c>
      <c r="I3002" s="3340">
        <v>42825</v>
      </c>
      <c r="J3002" s="3324"/>
    </row>
    <row r="3003" spans="1:10" s="3327" customFormat="1" ht="13.5" customHeight="1">
      <c r="A3003" s="3417"/>
      <c r="B3003" s="3336" t="s">
        <v>3867</v>
      </c>
      <c r="C3003" s="3336" t="s">
        <v>3740</v>
      </c>
      <c r="D3003" s="3336" t="s">
        <v>5157</v>
      </c>
      <c r="E3003" s="3339">
        <v>8.2899999999999991</v>
      </c>
      <c r="F3003" s="3339">
        <v>129.30000000000001</v>
      </c>
      <c r="G3003" s="3326">
        <v>42542</v>
      </c>
      <c r="H3003" s="3340">
        <v>42626</v>
      </c>
      <c r="I3003" s="3340">
        <v>42825</v>
      </c>
      <c r="J3003" s="3324"/>
    </row>
    <row r="3004" spans="1:10" s="3327" customFormat="1" ht="13.5" customHeight="1">
      <c r="A3004" s="3417"/>
      <c r="B3004" s="3324" t="s">
        <v>3867</v>
      </c>
      <c r="C3004" s="3324" t="s">
        <v>5158</v>
      </c>
      <c r="D3004" s="3324" t="s">
        <v>5159</v>
      </c>
      <c r="E3004" s="3325">
        <v>1</v>
      </c>
      <c r="F3004" s="3325">
        <v>6666.67</v>
      </c>
      <c r="G3004" s="3326">
        <v>41640</v>
      </c>
      <c r="H3004" s="3326">
        <v>42093</v>
      </c>
      <c r="I3004" s="3326">
        <v>42094</v>
      </c>
      <c r="J3004" s="3324"/>
    </row>
    <row r="3005" spans="1:10" s="3327" customFormat="1" ht="13.5" customHeight="1">
      <c r="A3005" s="3417"/>
      <c r="B3005" s="3336" t="s">
        <v>3867</v>
      </c>
      <c r="C3005" s="3336" t="s">
        <v>5158</v>
      </c>
      <c r="D3005" s="3336" t="s">
        <v>5159</v>
      </c>
      <c r="E3005" s="3339">
        <v>1</v>
      </c>
      <c r="F3005" s="3339">
        <v>6666.67</v>
      </c>
      <c r="G3005" s="3326">
        <v>42095</v>
      </c>
      <c r="H3005" s="3340">
        <v>42459</v>
      </c>
      <c r="I3005" s="3340">
        <v>42460</v>
      </c>
      <c r="J3005" s="3324"/>
    </row>
    <row r="3006" spans="1:10" s="3327" customFormat="1" ht="13.5" customHeight="1">
      <c r="A3006" s="3417"/>
      <c r="B3006" s="3336" t="s">
        <v>3867</v>
      </c>
      <c r="C3006" s="3336" t="s">
        <v>5160</v>
      </c>
      <c r="D3006" s="3336" t="s">
        <v>5161</v>
      </c>
      <c r="E3006" s="3339">
        <v>1</v>
      </c>
      <c r="F3006" s="3339">
        <v>7100</v>
      </c>
      <c r="G3006" s="3326">
        <v>41791</v>
      </c>
      <c r="H3006" s="3340">
        <v>42093</v>
      </c>
      <c r="I3006" s="3340">
        <v>41364</v>
      </c>
      <c r="J3006" s="3336"/>
    </row>
    <row r="3007" spans="1:10" s="3327" customFormat="1" ht="13.5" customHeight="1">
      <c r="A3007" s="3417"/>
      <c r="B3007" s="3336" t="s">
        <v>3867</v>
      </c>
      <c r="C3007" s="3336" t="s">
        <v>5160</v>
      </c>
      <c r="D3007" s="3336" t="s">
        <v>5161</v>
      </c>
      <c r="E3007" s="3339">
        <v>1</v>
      </c>
      <c r="F3007" s="3339">
        <v>3500</v>
      </c>
      <c r="G3007" s="3326">
        <v>42095</v>
      </c>
      <c r="H3007" s="3340">
        <v>42459</v>
      </c>
      <c r="I3007" s="3340">
        <v>42460</v>
      </c>
      <c r="J3007" s="3336"/>
    </row>
    <row r="3008" spans="1:10" s="3327" customFormat="1" ht="13.5" customHeight="1">
      <c r="A3008" s="3417"/>
      <c r="B3008" s="3336" t="s">
        <v>3867</v>
      </c>
      <c r="C3008" s="3336" t="s">
        <v>5160</v>
      </c>
      <c r="D3008" s="3336" t="s">
        <v>5161</v>
      </c>
      <c r="E3008" s="3339">
        <v>1</v>
      </c>
      <c r="F3008" s="3339">
        <v>3700</v>
      </c>
      <c r="G3008" s="3326">
        <v>42461</v>
      </c>
      <c r="H3008" s="3340">
        <v>42551</v>
      </c>
      <c r="I3008" s="3340">
        <v>42825</v>
      </c>
      <c r="J3008" s="3336"/>
    </row>
    <row r="3009" spans="1:10" s="3327" customFormat="1" ht="13.5" customHeight="1">
      <c r="A3009" s="3417"/>
      <c r="B3009" s="3336" t="s">
        <v>3867</v>
      </c>
      <c r="C3009" s="3336" t="s">
        <v>5160</v>
      </c>
      <c r="D3009" s="3336" t="s">
        <v>5161</v>
      </c>
      <c r="E3009" s="3339">
        <v>10</v>
      </c>
      <c r="F3009" s="3339">
        <v>370</v>
      </c>
      <c r="G3009" s="3326">
        <v>42552</v>
      </c>
      <c r="H3009" s="3340">
        <v>42824</v>
      </c>
      <c r="I3009" s="3340">
        <v>42825</v>
      </c>
      <c r="J3009" s="3336"/>
    </row>
    <row r="3010" spans="1:10" s="3327" customFormat="1" ht="13.5" customHeight="1">
      <c r="A3010" s="3417"/>
      <c r="B3010" s="3324" t="s">
        <v>3867</v>
      </c>
      <c r="C3010" s="3324" t="s">
        <v>5162</v>
      </c>
      <c r="D3010" s="3324" t="s">
        <v>5163</v>
      </c>
      <c r="E3010" s="3325">
        <v>1</v>
      </c>
      <c r="F3010" s="3325">
        <v>1000</v>
      </c>
      <c r="G3010" s="3326">
        <v>41730</v>
      </c>
      <c r="H3010" s="3326">
        <v>41789</v>
      </c>
      <c r="I3010" s="3326">
        <v>41364</v>
      </c>
      <c r="J3010" s="3324"/>
    </row>
    <row r="3011" spans="1:10" s="3327" customFormat="1" ht="13.5" customHeight="1">
      <c r="A3011" s="3417"/>
      <c r="B3011" s="3324" t="s">
        <v>3867</v>
      </c>
      <c r="C3011" s="3324" t="s">
        <v>3913</v>
      </c>
      <c r="D3011" s="3324" t="s">
        <v>5164</v>
      </c>
      <c r="E3011" s="3325">
        <v>1</v>
      </c>
      <c r="F3011" s="3325">
        <v>4000</v>
      </c>
      <c r="G3011" s="3326">
        <v>41730</v>
      </c>
      <c r="H3011" s="3326">
        <v>42093</v>
      </c>
      <c r="I3011" s="3326">
        <v>42094</v>
      </c>
      <c r="J3011" s="3324"/>
    </row>
    <row r="3012" spans="1:10" s="3327" customFormat="1" ht="13.5" customHeight="1">
      <c r="A3012" s="3417"/>
      <c r="B3012" s="3336" t="s">
        <v>3867</v>
      </c>
      <c r="C3012" s="3336" t="s">
        <v>3913</v>
      </c>
      <c r="D3012" s="3336" t="s">
        <v>5164</v>
      </c>
      <c r="E3012" s="3339">
        <v>1</v>
      </c>
      <c r="F3012" s="3339">
        <v>4000</v>
      </c>
      <c r="G3012" s="3326">
        <v>42095</v>
      </c>
      <c r="H3012" s="3340">
        <v>42459</v>
      </c>
      <c r="I3012" s="3340">
        <v>42460</v>
      </c>
      <c r="J3012" s="3324"/>
    </row>
    <row r="3013" spans="1:10" s="3327" customFormat="1" ht="13.5" customHeight="1">
      <c r="A3013" s="3417"/>
      <c r="B3013" s="3336" t="s">
        <v>3867</v>
      </c>
      <c r="C3013" s="3336" t="s">
        <v>3913</v>
      </c>
      <c r="D3013" s="3336" t="s">
        <v>5164</v>
      </c>
      <c r="E3013" s="3339">
        <v>1</v>
      </c>
      <c r="F3013" s="3339">
        <v>4500</v>
      </c>
      <c r="G3013" s="3326">
        <v>42461</v>
      </c>
      <c r="H3013" s="3340">
        <v>42551</v>
      </c>
      <c r="I3013" s="3340">
        <v>42825</v>
      </c>
      <c r="J3013" s="3324"/>
    </row>
    <row r="3014" spans="1:10" s="3327" customFormat="1" ht="13.5" customHeight="1">
      <c r="A3014" s="3417"/>
      <c r="B3014" s="3336" t="s">
        <v>3867</v>
      </c>
      <c r="C3014" s="3336" t="s">
        <v>3913</v>
      </c>
      <c r="D3014" s="3336" t="s">
        <v>5164</v>
      </c>
      <c r="E3014" s="3339">
        <v>20</v>
      </c>
      <c r="F3014" s="3339">
        <v>225</v>
      </c>
      <c r="G3014" s="3326">
        <v>42552</v>
      </c>
      <c r="H3014" s="3340">
        <v>42765</v>
      </c>
      <c r="I3014" s="3340">
        <v>42825</v>
      </c>
      <c r="J3014" s="3324"/>
    </row>
    <row r="3015" spans="1:10" s="3327" customFormat="1" ht="13.5" customHeight="1">
      <c r="A3015" s="3417"/>
      <c r="B3015" s="3324" t="s">
        <v>3867</v>
      </c>
      <c r="C3015" s="3324" t="s">
        <v>5165</v>
      </c>
      <c r="D3015" s="3324" t="s">
        <v>5156</v>
      </c>
      <c r="E3015" s="3325">
        <v>1</v>
      </c>
      <c r="F3015" s="3325">
        <v>10500</v>
      </c>
      <c r="G3015" s="3326">
        <v>41730</v>
      </c>
      <c r="H3015" s="3326">
        <v>42093</v>
      </c>
      <c r="I3015" s="3326">
        <v>42094</v>
      </c>
      <c r="J3015" s="3324"/>
    </row>
    <row r="3016" spans="1:10" s="3327" customFormat="1" ht="13.5" customHeight="1">
      <c r="A3016" s="3417"/>
      <c r="B3016" s="3336" t="s">
        <v>3867</v>
      </c>
      <c r="C3016" s="3336" t="s">
        <v>5166</v>
      </c>
      <c r="D3016" s="3336" t="s">
        <v>5156</v>
      </c>
      <c r="E3016" s="3339">
        <v>1</v>
      </c>
      <c r="F3016" s="3339">
        <v>10500</v>
      </c>
      <c r="G3016" s="3326">
        <v>42095</v>
      </c>
      <c r="H3016" s="3340">
        <v>42459</v>
      </c>
      <c r="I3016" s="3340">
        <v>42460</v>
      </c>
      <c r="J3016" s="3324"/>
    </row>
    <row r="3017" spans="1:10" s="3327" customFormat="1" ht="13.5" customHeight="1">
      <c r="A3017" s="3417"/>
      <c r="B3017" s="3336" t="s">
        <v>3867</v>
      </c>
      <c r="C3017" s="3336" t="s">
        <v>5166</v>
      </c>
      <c r="D3017" s="3336" t="s">
        <v>5156</v>
      </c>
      <c r="E3017" s="3339">
        <v>1</v>
      </c>
      <c r="F3017" s="3339">
        <v>13000</v>
      </c>
      <c r="G3017" s="3326">
        <v>42461</v>
      </c>
      <c r="H3017" s="3340">
        <v>42520</v>
      </c>
      <c r="I3017" s="3340">
        <v>42825</v>
      </c>
      <c r="J3017" s="3324"/>
    </row>
    <row r="3018" spans="1:10" s="3327" customFormat="1" ht="13.5" customHeight="1">
      <c r="A3018" s="3417"/>
      <c r="B3018" s="3336" t="s">
        <v>3867</v>
      </c>
      <c r="C3018" s="3336" t="s">
        <v>5166</v>
      </c>
      <c r="D3018" s="3336" t="s">
        <v>5167</v>
      </c>
      <c r="E3018" s="3339">
        <v>1</v>
      </c>
      <c r="F3018" s="3339">
        <v>9500</v>
      </c>
      <c r="G3018" s="3326">
        <v>42220</v>
      </c>
      <c r="H3018" s="3340">
        <v>42459</v>
      </c>
      <c r="I3018" s="3340">
        <v>42460</v>
      </c>
      <c r="J3018" s="3324"/>
    </row>
    <row r="3019" spans="1:10" s="3327" customFormat="1" ht="13.5" customHeight="1">
      <c r="A3019" s="3417"/>
      <c r="B3019" s="3336" t="s">
        <v>3867</v>
      </c>
      <c r="C3019" s="3336" t="s">
        <v>3877</v>
      </c>
      <c r="D3019" s="3336" t="s">
        <v>5156</v>
      </c>
      <c r="E3019" s="3339">
        <v>46.01</v>
      </c>
      <c r="F3019" s="3339">
        <v>380</v>
      </c>
      <c r="G3019" s="3326">
        <v>42552</v>
      </c>
      <c r="H3019" s="3340">
        <v>42824</v>
      </c>
      <c r="I3019" s="3340">
        <v>42825</v>
      </c>
      <c r="J3019" s="3324"/>
    </row>
    <row r="3020" spans="1:10" s="3327" customFormat="1" ht="13.5" customHeight="1">
      <c r="A3020" s="3417"/>
      <c r="B3020" s="3331" t="s">
        <v>3867</v>
      </c>
      <c r="C3020" s="3331" t="s">
        <v>3877</v>
      </c>
      <c r="D3020" s="3331" t="s">
        <v>5156</v>
      </c>
      <c r="E3020" s="3332">
        <v>46.01</v>
      </c>
      <c r="F3020" s="3332">
        <v>400</v>
      </c>
      <c r="G3020" s="3333">
        <v>42826</v>
      </c>
      <c r="H3020" s="3333">
        <v>42885</v>
      </c>
      <c r="I3020" s="3333">
        <v>42886</v>
      </c>
      <c r="J3020" s="3324"/>
    </row>
    <row r="3021" spans="1:10" s="3327" customFormat="1" ht="13.5" customHeight="1">
      <c r="A3021" s="3417"/>
      <c r="B3021" s="3331" t="s">
        <v>3867</v>
      </c>
      <c r="C3021" s="3331" t="s">
        <v>3877</v>
      </c>
      <c r="D3021" s="3331" t="s">
        <v>5156</v>
      </c>
      <c r="E3021" s="3332">
        <v>46.01</v>
      </c>
      <c r="F3021" s="3332">
        <v>400</v>
      </c>
      <c r="G3021" s="3333">
        <v>42887</v>
      </c>
      <c r="H3021" s="3333">
        <v>42916</v>
      </c>
      <c r="I3021" s="3333">
        <v>42947</v>
      </c>
      <c r="J3021" s="3324"/>
    </row>
    <row r="3022" spans="1:10" s="3327" customFormat="1" ht="13.5" customHeight="1">
      <c r="A3022" s="3417"/>
      <c r="B3022" s="3336" t="s">
        <v>3867</v>
      </c>
      <c r="C3022" s="3336" t="s">
        <v>5166</v>
      </c>
      <c r="D3022" s="3336" t="s">
        <v>5167</v>
      </c>
      <c r="E3022" s="3339">
        <v>1</v>
      </c>
      <c r="F3022" s="3339">
        <v>13000</v>
      </c>
      <c r="G3022" s="3340">
        <v>42461</v>
      </c>
      <c r="H3022" s="3340">
        <v>42551</v>
      </c>
      <c r="I3022" s="3340">
        <v>42825</v>
      </c>
      <c r="J3022" s="3324"/>
    </row>
    <row r="3023" spans="1:10" s="3327" customFormat="1" ht="13.5" customHeight="1">
      <c r="A3023" s="3417"/>
      <c r="B3023" s="3336" t="s">
        <v>3867</v>
      </c>
      <c r="C3023" s="3336" t="s">
        <v>5166</v>
      </c>
      <c r="D3023" s="3336" t="s">
        <v>5167</v>
      </c>
      <c r="E3023" s="3339">
        <v>34.21</v>
      </c>
      <c r="F3023" s="3339">
        <v>380</v>
      </c>
      <c r="G3023" s="3340">
        <v>42552</v>
      </c>
      <c r="H3023" s="3340">
        <v>42824</v>
      </c>
      <c r="I3023" s="3340">
        <v>42825</v>
      </c>
      <c r="J3023" s="3324"/>
    </row>
    <row r="3024" spans="1:10" s="3327" customFormat="1" ht="13.5" customHeight="1">
      <c r="A3024" s="3417"/>
      <c r="B3024" s="3331" t="s">
        <v>3867</v>
      </c>
      <c r="C3024" s="3331" t="s">
        <v>4144</v>
      </c>
      <c r="D3024" s="3331"/>
      <c r="E3024" s="3332">
        <v>34.21</v>
      </c>
      <c r="F3024" s="3332">
        <v>400</v>
      </c>
      <c r="G3024" s="3333">
        <v>42826</v>
      </c>
      <c r="H3024" s="3333">
        <v>42885</v>
      </c>
      <c r="I3024" s="3333">
        <v>42886</v>
      </c>
      <c r="J3024" s="3324"/>
    </row>
    <row r="3025" spans="1:10" s="3327" customFormat="1" ht="13.5" customHeight="1">
      <c r="A3025" s="3417"/>
      <c r="B3025" s="3331" t="s">
        <v>3867</v>
      </c>
      <c r="C3025" s="3331" t="s">
        <v>4144</v>
      </c>
      <c r="D3025" s="3331"/>
      <c r="E3025" s="3332">
        <v>34.21</v>
      </c>
      <c r="F3025" s="3332">
        <v>400</v>
      </c>
      <c r="G3025" s="3333">
        <v>42887</v>
      </c>
      <c r="H3025" s="3333">
        <v>42916</v>
      </c>
      <c r="I3025" s="3333">
        <v>42947</v>
      </c>
      <c r="J3025" s="3324"/>
    </row>
    <row r="3026" spans="1:10" s="3327" customFormat="1" ht="13.5" customHeight="1">
      <c r="A3026" s="3417"/>
      <c r="B3026" s="3336" t="s">
        <v>3867</v>
      </c>
      <c r="C3026" s="3336" t="s">
        <v>5150</v>
      </c>
      <c r="D3026" s="3336" t="s">
        <v>5168</v>
      </c>
      <c r="E3026" s="3339">
        <v>1</v>
      </c>
      <c r="F3026" s="3339">
        <v>2500</v>
      </c>
      <c r="G3026" s="3340">
        <v>41730</v>
      </c>
      <c r="H3026" s="3340">
        <v>42093</v>
      </c>
      <c r="I3026" s="3340">
        <v>42094</v>
      </c>
      <c r="J3026" s="3324"/>
    </row>
    <row r="3027" spans="1:10" s="3327" customFormat="1" ht="13.5" customHeight="1">
      <c r="A3027" s="3417"/>
      <c r="B3027" s="3336" t="s">
        <v>3867</v>
      </c>
      <c r="C3027" s="3336" t="s">
        <v>5150</v>
      </c>
      <c r="D3027" s="3336" t="s">
        <v>5168</v>
      </c>
      <c r="E3027" s="3339">
        <v>1</v>
      </c>
      <c r="F3027" s="3339">
        <v>3500</v>
      </c>
      <c r="G3027" s="3340">
        <v>42095</v>
      </c>
      <c r="H3027" s="3340">
        <v>42185</v>
      </c>
      <c r="I3027" s="3340">
        <v>42185</v>
      </c>
      <c r="J3027" s="3324"/>
    </row>
    <row r="3028" spans="1:10" s="3327" customFormat="1" ht="13.5" customHeight="1">
      <c r="A3028" s="3417"/>
      <c r="B3028" s="3336" t="s">
        <v>3867</v>
      </c>
      <c r="C3028" s="3336" t="s">
        <v>5150</v>
      </c>
      <c r="D3028" s="3336" t="s">
        <v>5168</v>
      </c>
      <c r="E3028" s="3339">
        <v>1</v>
      </c>
      <c r="F3028" s="3339">
        <v>3500</v>
      </c>
      <c r="G3028" s="3340">
        <v>42186</v>
      </c>
      <c r="H3028" s="3340">
        <v>42215</v>
      </c>
      <c r="I3028" s="3340">
        <v>42215</v>
      </c>
      <c r="J3028" s="3324"/>
    </row>
    <row r="3029" spans="1:10" s="3327" customFormat="1" ht="13.5" customHeight="1">
      <c r="A3029" s="3422"/>
      <c r="B3029" s="3324" t="s">
        <v>3867</v>
      </c>
      <c r="C3029" s="3324" t="s">
        <v>3740</v>
      </c>
      <c r="D3029" s="3324" t="s">
        <v>4250</v>
      </c>
      <c r="E3029" s="3325">
        <v>1</v>
      </c>
      <c r="F3029" s="3325">
        <v>2000</v>
      </c>
      <c r="G3029" s="3340">
        <v>41699</v>
      </c>
      <c r="H3029" s="3326">
        <v>41912</v>
      </c>
      <c r="I3029" s="3326">
        <v>41912</v>
      </c>
      <c r="J3029" s="3324"/>
    </row>
    <row r="3030" spans="1:10" s="3327" customFormat="1" ht="13.5" customHeight="1">
      <c r="A3030" s="3422"/>
      <c r="B3030" s="3324" t="s">
        <v>3867</v>
      </c>
      <c r="C3030" s="3324" t="s">
        <v>3740</v>
      </c>
      <c r="D3030" s="3324" t="s">
        <v>4250</v>
      </c>
      <c r="E3030" s="3325">
        <v>23.8</v>
      </c>
      <c r="F3030" s="3325">
        <v>310</v>
      </c>
      <c r="G3030" s="3340">
        <v>41913</v>
      </c>
      <c r="H3030" s="3326">
        <v>42003</v>
      </c>
      <c r="I3030" s="3326">
        <v>42094</v>
      </c>
      <c r="J3030" s="3324"/>
    </row>
    <row r="3031" spans="1:10" s="3327" customFormat="1" ht="13.5" customHeight="1">
      <c r="A3031" s="3423"/>
      <c r="B3031" s="3336" t="s">
        <v>3867</v>
      </c>
      <c r="C3031" s="3336" t="s">
        <v>5169</v>
      </c>
      <c r="D3031" s="3336" t="s">
        <v>5170</v>
      </c>
      <c r="E3031" s="3339">
        <v>1</v>
      </c>
      <c r="F3031" s="3339">
        <v>2500</v>
      </c>
      <c r="G3031" s="3340">
        <v>41000</v>
      </c>
      <c r="H3031" s="3340">
        <v>41363</v>
      </c>
      <c r="I3031" s="3340">
        <v>41364</v>
      </c>
      <c r="J3031" s="3336"/>
    </row>
    <row r="3032" spans="1:10" s="3327" customFormat="1" ht="13.5" customHeight="1">
      <c r="A3032" s="3422"/>
      <c r="B3032" s="3336" t="s">
        <v>3867</v>
      </c>
      <c r="C3032" s="3324" t="s">
        <v>4252</v>
      </c>
      <c r="D3032" s="3324">
        <v>0</v>
      </c>
      <c r="E3032" s="3325">
        <v>42.2</v>
      </c>
      <c r="F3032" s="3325">
        <v>310</v>
      </c>
      <c r="G3032" s="3340">
        <v>41913</v>
      </c>
      <c r="H3032" s="3326">
        <v>42003</v>
      </c>
      <c r="I3032" s="3326">
        <v>42094</v>
      </c>
      <c r="J3032" s="3324" t="s">
        <v>5171</v>
      </c>
    </row>
    <row r="3033" spans="1:10" s="3327" customFormat="1" ht="13.5" customHeight="1">
      <c r="A3033" s="3422"/>
      <c r="B3033" s="3324" t="s">
        <v>3867</v>
      </c>
      <c r="C3033" s="3324" t="s">
        <v>3966</v>
      </c>
      <c r="D3033" s="3324">
        <v>0</v>
      </c>
      <c r="E3033" s="3325">
        <v>33.9</v>
      </c>
      <c r="F3033" s="3325">
        <v>310</v>
      </c>
      <c r="G3033" s="3340">
        <v>41913</v>
      </c>
      <c r="H3033" s="3326">
        <v>42003</v>
      </c>
      <c r="I3033" s="3326">
        <v>42094</v>
      </c>
      <c r="J3033" s="3324"/>
    </row>
    <row r="3034" spans="1:10" s="3327" customFormat="1" ht="13.5" customHeight="1">
      <c r="A3034" s="3422"/>
      <c r="B3034" s="3324" t="s">
        <v>3867</v>
      </c>
      <c r="C3034" s="3324" t="s">
        <v>5172</v>
      </c>
      <c r="D3034" s="3324">
        <v>0</v>
      </c>
      <c r="E3034" s="3325">
        <v>1</v>
      </c>
      <c r="F3034" s="3325">
        <v>4710</v>
      </c>
      <c r="G3034" s="3340">
        <v>41699</v>
      </c>
      <c r="H3034" s="3326">
        <v>41820</v>
      </c>
      <c r="I3034" s="3326">
        <v>42094</v>
      </c>
      <c r="J3034" s="3324"/>
    </row>
    <row r="3035" spans="1:10" s="3327" customFormat="1" ht="13.5" customHeight="1">
      <c r="A3035" s="3422"/>
      <c r="B3035" s="3324" t="s">
        <v>3867</v>
      </c>
      <c r="C3035" s="3324" t="s">
        <v>5172</v>
      </c>
      <c r="D3035" s="3324">
        <v>0</v>
      </c>
      <c r="E3035" s="3325">
        <v>1</v>
      </c>
      <c r="F3035" s="3325">
        <v>4710</v>
      </c>
      <c r="G3035" s="3340">
        <v>41821</v>
      </c>
      <c r="H3035" s="3326">
        <v>42093</v>
      </c>
      <c r="I3035" s="3326">
        <v>42094</v>
      </c>
      <c r="J3035" s="3324"/>
    </row>
    <row r="3036" spans="1:10" s="3327" customFormat="1" ht="13.5" customHeight="1">
      <c r="A3036" s="3422"/>
      <c r="B3036" s="3336" t="s">
        <v>3867</v>
      </c>
      <c r="C3036" s="3336" t="s">
        <v>5172</v>
      </c>
      <c r="D3036" s="3336" t="s">
        <v>5173</v>
      </c>
      <c r="E3036" s="3339">
        <v>1</v>
      </c>
      <c r="F3036" s="3339">
        <v>5181</v>
      </c>
      <c r="G3036" s="3340">
        <v>42095</v>
      </c>
      <c r="H3036" s="3340">
        <v>42459</v>
      </c>
      <c r="I3036" s="3340">
        <v>42460</v>
      </c>
      <c r="J3036" s="3324"/>
    </row>
    <row r="3037" spans="1:10" s="3327" customFormat="1" ht="13.5" customHeight="1">
      <c r="A3037" s="3422"/>
      <c r="B3037" s="3324" t="s">
        <v>3867</v>
      </c>
      <c r="C3037" s="3324" t="s">
        <v>5174</v>
      </c>
      <c r="D3037" s="3324" t="s">
        <v>5175</v>
      </c>
      <c r="E3037" s="3325">
        <v>1</v>
      </c>
      <c r="F3037" s="3325">
        <v>4710</v>
      </c>
      <c r="G3037" s="3340">
        <v>41913</v>
      </c>
      <c r="H3037" s="3326">
        <v>42093</v>
      </c>
      <c r="I3037" s="3326">
        <v>42094</v>
      </c>
      <c r="J3037" s="3324"/>
    </row>
    <row r="3038" spans="1:10" s="3327" customFormat="1" ht="13.5" customHeight="1">
      <c r="A3038" s="3422"/>
      <c r="B3038" s="3336" t="s">
        <v>3867</v>
      </c>
      <c r="C3038" s="3336" t="s">
        <v>5174</v>
      </c>
      <c r="D3038" s="3336" t="s">
        <v>5175</v>
      </c>
      <c r="E3038" s="3339">
        <v>1</v>
      </c>
      <c r="F3038" s="3339">
        <v>5181</v>
      </c>
      <c r="G3038" s="3340">
        <v>42095</v>
      </c>
      <c r="H3038" s="3340">
        <v>42459</v>
      </c>
      <c r="I3038" s="3340">
        <v>42460</v>
      </c>
      <c r="J3038" s="3324"/>
    </row>
    <row r="3039" spans="1:10" s="3327" customFormat="1" ht="13.5" customHeight="1">
      <c r="A3039" s="3422"/>
      <c r="B3039" s="3324" t="s">
        <v>3867</v>
      </c>
      <c r="C3039" s="3324" t="s">
        <v>5176</v>
      </c>
      <c r="D3039" s="3324" t="s">
        <v>5177</v>
      </c>
      <c r="E3039" s="3325">
        <v>1</v>
      </c>
      <c r="F3039" s="3325">
        <v>2000</v>
      </c>
      <c r="G3039" s="3340">
        <v>41907</v>
      </c>
      <c r="H3039" s="3326">
        <v>42093</v>
      </c>
      <c r="I3039" s="3326">
        <v>42094</v>
      </c>
      <c r="J3039" s="3324"/>
    </row>
    <row r="3040" spans="1:10" s="3327" customFormat="1" ht="13.5" customHeight="1">
      <c r="A3040" s="3422"/>
      <c r="B3040" s="3336" t="s">
        <v>3867</v>
      </c>
      <c r="C3040" s="3336" t="s">
        <v>5154</v>
      </c>
      <c r="D3040" s="3336" t="s">
        <v>5177</v>
      </c>
      <c r="E3040" s="3339">
        <v>1</v>
      </c>
      <c r="F3040" s="3339">
        <v>2000</v>
      </c>
      <c r="G3040" s="3340">
        <v>42095</v>
      </c>
      <c r="H3040" s="3340">
        <v>42381</v>
      </c>
      <c r="I3040" s="3340">
        <v>42460</v>
      </c>
      <c r="J3040" s="3324"/>
    </row>
    <row r="3041" spans="1:10" s="3327" customFormat="1" ht="13.5" customHeight="1">
      <c r="A3041" s="3422"/>
      <c r="B3041" s="3336" t="s">
        <v>3867</v>
      </c>
      <c r="C3041" s="3336" t="s">
        <v>5178</v>
      </c>
      <c r="D3041" s="3336" t="s">
        <v>4200</v>
      </c>
      <c r="E3041" s="3339">
        <v>1</v>
      </c>
      <c r="F3041" s="3339">
        <v>500</v>
      </c>
      <c r="G3041" s="3340">
        <v>42095</v>
      </c>
      <c r="H3041" s="3340">
        <v>42459</v>
      </c>
      <c r="I3041" s="3340">
        <v>42460</v>
      </c>
      <c r="J3041" s="3324"/>
    </row>
    <row r="3042" spans="1:10" s="3327" customFormat="1" ht="13.5" customHeight="1">
      <c r="A3042" s="3422"/>
      <c r="B3042" s="3336" t="s">
        <v>3867</v>
      </c>
      <c r="C3042" s="3336" t="s">
        <v>5178</v>
      </c>
      <c r="D3042" s="3336" t="s">
        <v>4200</v>
      </c>
      <c r="E3042" s="3339">
        <v>1</v>
      </c>
      <c r="F3042" s="3339">
        <v>1200</v>
      </c>
      <c r="G3042" s="3340">
        <v>42461</v>
      </c>
      <c r="H3042" s="3340">
        <v>42551</v>
      </c>
      <c r="I3042" s="3340">
        <v>42825</v>
      </c>
      <c r="J3042" s="3324"/>
    </row>
    <row r="3043" spans="1:10" s="3327" customFormat="1" ht="13.5" customHeight="1">
      <c r="A3043" s="3422"/>
      <c r="B3043" s="3336" t="s">
        <v>3867</v>
      </c>
      <c r="C3043" s="3336" t="s">
        <v>5178</v>
      </c>
      <c r="D3043" s="3336" t="s">
        <v>4200</v>
      </c>
      <c r="E3043" s="3339">
        <v>10</v>
      </c>
      <c r="F3043" s="3339">
        <v>120</v>
      </c>
      <c r="G3043" s="3340">
        <v>42552</v>
      </c>
      <c r="H3043" s="3340">
        <v>42824</v>
      </c>
      <c r="I3043" s="3340">
        <v>42825</v>
      </c>
      <c r="J3043" s="3324"/>
    </row>
    <row r="3044" spans="1:10" s="3327" customFormat="1" ht="13.5" customHeight="1">
      <c r="A3044" s="3422"/>
      <c r="B3044" s="3336" t="s">
        <v>3867</v>
      </c>
      <c r="C3044" s="3336" t="s">
        <v>3312</v>
      </c>
      <c r="D3044" s="3336" t="s">
        <v>5179</v>
      </c>
      <c r="E3044" s="3339">
        <v>1</v>
      </c>
      <c r="F3044" s="3339">
        <v>150</v>
      </c>
      <c r="G3044" s="3340">
        <v>42278</v>
      </c>
      <c r="H3044" s="3340">
        <v>42459</v>
      </c>
      <c r="I3044" s="3340">
        <v>42460</v>
      </c>
      <c r="J3044" s="3324"/>
    </row>
    <row r="3045" spans="1:10" s="3327" customFormat="1" ht="13.5" customHeight="1">
      <c r="A3045" s="3422"/>
      <c r="B3045" s="3336" t="s">
        <v>3867</v>
      </c>
      <c r="C3045" s="3336" t="s">
        <v>5180</v>
      </c>
      <c r="D3045" s="3336" t="s">
        <v>5181</v>
      </c>
      <c r="E3045" s="3339">
        <v>1</v>
      </c>
      <c r="F3045" s="3339">
        <v>100</v>
      </c>
      <c r="G3045" s="3340">
        <v>42278</v>
      </c>
      <c r="H3045" s="3340">
        <v>42459</v>
      </c>
      <c r="I3045" s="3340">
        <v>42460</v>
      </c>
      <c r="J3045" s="3324"/>
    </row>
    <row r="3046" spans="1:10" s="3327" customFormat="1" ht="13.5" customHeight="1">
      <c r="A3046" s="3422"/>
      <c r="B3046" s="3324" t="s">
        <v>3867</v>
      </c>
      <c r="C3046" s="3324" t="s">
        <v>5182</v>
      </c>
      <c r="D3046" s="3324" t="s">
        <v>5183</v>
      </c>
      <c r="E3046" s="3325">
        <v>1</v>
      </c>
      <c r="F3046" s="3325">
        <v>15000</v>
      </c>
      <c r="G3046" s="3340">
        <v>42036</v>
      </c>
      <c r="H3046" s="3326">
        <v>42093</v>
      </c>
      <c r="I3046" s="3326">
        <v>42094</v>
      </c>
      <c r="J3046" s="3324"/>
    </row>
    <row r="3047" spans="1:10" s="3327" customFormat="1" ht="13.5" customHeight="1">
      <c r="A3047" s="3422"/>
      <c r="B3047" s="3336" t="s">
        <v>3867</v>
      </c>
      <c r="C3047" s="3336" t="s">
        <v>5182</v>
      </c>
      <c r="D3047" s="3336" t="s">
        <v>5183</v>
      </c>
      <c r="E3047" s="3339">
        <v>1</v>
      </c>
      <c r="F3047" s="3339">
        <v>15000</v>
      </c>
      <c r="G3047" s="3340">
        <v>42095</v>
      </c>
      <c r="H3047" s="3340">
        <v>42459</v>
      </c>
      <c r="I3047" s="3340">
        <v>42460</v>
      </c>
      <c r="J3047" s="3324"/>
    </row>
    <row r="3048" spans="1:10" s="3327" customFormat="1" ht="13.5" customHeight="1">
      <c r="A3048" s="3422"/>
      <c r="B3048" s="3336" t="s">
        <v>3867</v>
      </c>
      <c r="C3048" s="3336" t="s">
        <v>5182</v>
      </c>
      <c r="D3048" s="3336" t="s">
        <v>5183</v>
      </c>
      <c r="E3048" s="3339">
        <v>1</v>
      </c>
      <c r="F3048" s="3339">
        <v>18000</v>
      </c>
      <c r="G3048" s="3340">
        <v>42461</v>
      </c>
      <c r="H3048" s="3340">
        <v>42704</v>
      </c>
      <c r="I3048" s="3340">
        <v>42825</v>
      </c>
      <c r="J3048" s="3324"/>
    </row>
    <row r="3049" spans="1:10" ht="13.5" customHeight="1" outlineLevel="1" collapsed="1">
      <c r="A3049" s="3361">
        <v>0</v>
      </c>
      <c r="B3049" s="3420" t="s">
        <v>4262</v>
      </c>
      <c r="C3049" s="3420">
        <v>0</v>
      </c>
      <c r="D3049" s="3420">
        <v>0</v>
      </c>
      <c r="E3049" s="3402">
        <v>0</v>
      </c>
      <c r="F3049" s="3364">
        <v>206709.64</v>
      </c>
      <c r="G3049" s="3364"/>
      <c r="H3049" s="3364"/>
      <c r="I3049" s="3364"/>
      <c r="J3049" s="3364">
        <v>0</v>
      </c>
    </row>
    <row r="3050" spans="1:10" s="3327" customFormat="1" ht="13.5" customHeight="1">
      <c r="A3050" s="3422"/>
      <c r="B3050" s="3324" t="s">
        <v>4263</v>
      </c>
      <c r="C3050" s="3324" t="s">
        <v>5169</v>
      </c>
      <c r="D3050" s="3324" t="s">
        <v>5184</v>
      </c>
      <c r="E3050" s="3325">
        <v>1</v>
      </c>
      <c r="F3050" s="3325">
        <v>1000</v>
      </c>
      <c r="G3050" s="3326">
        <v>41913</v>
      </c>
      <c r="H3050" s="3326">
        <v>42093</v>
      </c>
      <c r="I3050" s="3326">
        <v>42094</v>
      </c>
      <c r="J3050" s="3324"/>
    </row>
    <row r="3051" spans="1:10" s="3327" customFormat="1" ht="13.5" customHeight="1">
      <c r="A3051" s="3422"/>
      <c r="B3051" s="3336" t="s">
        <v>4263</v>
      </c>
      <c r="C3051" s="3336" t="s">
        <v>5169</v>
      </c>
      <c r="D3051" s="3336" t="s">
        <v>5184</v>
      </c>
      <c r="E3051" s="3339">
        <v>1</v>
      </c>
      <c r="F3051" s="3339">
        <v>1000</v>
      </c>
      <c r="G3051" s="3326">
        <v>42095</v>
      </c>
      <c r="H3051" s="3340">
        <v>42459</v>
      </c>
      <c r="I3051" s="3340">
        <v>42460</v>
      </c>
      <c r="J3051" s="3324"/>
    </row>
    <row r="3052" spans="1:10" s="3327" customFormat="1" ht="13.5" customHeight="1">
      <c r="A3052" s="3422"/>
      <c r="B3052" s="3336" t="s">
        <v>4263</v>
      </c>
      <c r="C3052" s="3336" t="s">
        <v>5169</v>
      </c>
      <c r="D3052" s="3336" t="s">
        <v>5184</v>
      </c>
      <c r="E3052" s="3339">
        <v>5</v>
      </c>
      <c r="F3052" s="3339">
        <v>400</v>
      </c>
      <c r="G3052" s="3326">
        <v>42461</v>
      </c>
      <c r="H3052" s="3340">
        <v>42673</v>
      </c>
      <c r="I3052" s="3340">
        <v>42825</v>
      </c>
      <c r="J3052" s="3324"/>
    </row>
    <row r="3053" spans="1:10" s="3327" customFormat="1" ht="13.5" customHeight="1">
      <c r="A3053" s="3422"/>
      <c r="B3053" s="3324" t="s">
        <v>4263</v>
      </c>
      <c r="C3053" s="3324" t="s">
        <v>5018</v>
      </c>
      <c r="D3053" s="3324" t="s">
        <v>5185</v>
      </c>
      <c r="E3053" s="3325">
        <v>1</v>
      </c>
      <c r="F3053" s="3325">
        <v>3500</v>
      </c>
      <c r="G3053" s="3326">
        <v>42005</v>
      </c>
      <c r="H3053" s="3326">
        <v>42093</v>
      </c>
      <c r="I3053" s="3326">
        <v>42094</v>
      </c>
      <c r="J3053" s="3324"/>
    </row>
    <row r="3054" spans="1:10" s="3327" customFormat="1" ht="13.5" customHeight="1">
      <c r="A3054" s="3422"/>
      <c r="B3054" s="3324" t="s">
        <v>4263</v>
      </c>
      <c r="C3054" s="3324" t="s">
        <v>5018</v>
      </c>
      <c r="D3054" s="3324" t="s">
        <v>5186</v>
      </c>
      <c r="E3054" s="3325">
        <v>1</v>
      </c>
      <c r="F3054" s="3325">
        <v>3500</v>
      </c>
      <c r="G3054" s="3326">
        <v>42005</v>
      </c>
      <c r="H3054" s="3326">
        <v>42093</v>
      </c>
      <c r="I3054" s="3326">
        <v>42094</v>
      </c>
      <c r="J3054" s="3324"/>
    </row>
    <row r="3055" spans="1:10" s="3327" customFormat="1" ht="13.5" customHeight="1">
      <c r="A3055" s="3422"/>
      <c r="B3055" s="3324" t="s">
        <v>4263</v>
      </c>
      <c r="C3055" s="3324" t="s">
        <v>5187</v>
      </c>
      <c r="D3055" s="3324" t="s">
        <v>5188</v>
      </c>
      <c r="E3055" s="3325">
        <v>1</v>
      </c>
      <c r="F3055" s="3325">
        <v>41806.800000000003</v>
      </c>
      <c r="G3055" s="3326">
        <v>42010</v>
      </c>
      <c r="H3055" s="3326">
        <v>42093</v>
      </c>
      <c r="I3055" s="3326">
        <v>42094</v>
      </c>
      <c r="J3055" s="3324"/>
    </row>
    <row r="3056" spans="1:10" s="3327" customFormat="1" ht="13.5" customHeight="1">
      <c r="A3056" s="3422"/>
      <c r="B3056" s="3336" t="s">
        <v>4263</v>
      </c>
      <c r="C3056" s="3336" t="s">
        <v>5187</v>
      </c>
      <c r="D3056" s="3336" t="s">
        <v>5188</v>
      </c>
      <c r="E3056" s="3339">
        <v>1</v>
      </c>
      <c r="F3056" s="3339">
        <v>41806.800000000003</v>
      </c>
      <c r="G3056" s="3326">
        <v>42095</v>
      </c>
      <c r="H3056" s="3340">
        <v>42459</v>
      </c>
      <c r="I3056" s="3340">
        <v>42460</v>
      </c>
      <c r="J3056" s="3422"/>
    </row>
    <row r="3057" spans="1:10" s="3327" customFormat="1" ht="13.5" customHeight="1">
      <c r="A3057" s="3422"/>
      <c r="B3057" s="3336" t="s">
        <v>4263</v>
      </c>
      <c r="C3057" s="3336" t="s">
        <v>5187</v>
      </c>
      <c r="D3057" s="3336" t="s">
        <v>5188</v>
      </c>
      <c r="E3057" s="3339">
        <v>116.3</v>
      </c>
      <c r="F3057" s="3339">
        <v>370</v>
      </c>
      <c r="G3057" s="3326">
        <v>42461</v>
      </c>
      <c r="H3057" s="3340">
        <v>42581</v>
      </c>
      <c r="I3057" s="3340">
        <v>42825</v>
      </c>
      <c r="J3057" s="3422"/>
    </row>
    <row r="3058" spans="1:10" s="3327" customFormat="1" ht="13.5" customHeight="1">
      <c r="A3058" s="3422"/>
      <c r="B3058" s="3336" t="s">
        <v>4263</v>
      </c>
      <c r="C3058" s="3336" t="s">
        <v>5187</v>
      </c>
      <c r="D3058" s="3336" t="s">
        <v>5188</v>
      </c>
      <c r="E3058" s="3339">
        <v>116.3</v>
      </c>
      <c r="F3058" s="3339">
        <v>370</v>
      </c>
      <c r="G3058" s="3326">
        <v>42583</v>
      </c>
      <c r="H3058" s="3340">
        <v>42824</v>
      </c>
      <c r="I3058" s="3340">
        <v>42825</v>
      </c>
      <c r="J3058" s="3422"/>
    </row>
    <row r="3059" spans="1:10" s="3327" customFormat="1" ht="13.5" customHeight="1">
      <c r="A3059" s="3422"/>
      <c r="B3059" s="3336" t="s">
        <v>4263</v>
      </c>
      <c r="C3059" s="3336" t="s">
        <v>5189</v>
      </c>
      <c r="D3059" s="3336" t="s">
        <v>5190</v>
      </c>
      <c r="E3059" s="3339">
        <v>1</v>
      </c>
      <c r="F3059" s="3339">
        <v>2000</v>
      </c>
      <c r="G3059" s="3326">
        <v>42095</v>
      </c>
      <c r="H3059" s="3340">
        <v>42383</v>
      </c>
      <c r="I3059" s="3340">
        <v>42460</v>
      </c>
      <c r="J3059" s="3324"/>
    </row>
    <row r="3060" spans="1:10" ht="13.5" customHeight="1" outlineLevel="1" collapsed="1">
      <c r="A3060" s="3361">
        <v>0</v>
      </c>
      <c r="B3060" s="3420" t="s">
        <v>4515</v>
      </c>
      <c r="C3060" s="3420">
        <v>0</v>
      </c>
      <c r="D3060" s="3420">
        <v>0</v>
      </c>
      <c r="E3060" s="3402">
        <v>0</v>
      </c>
      <c r="F3060" s="3364">
        <v>1000</v>
      </c>
      <c r="G3060" s="3364"/>
      <c r="H3060" s="3364"/>
      <c r="I3060" s="3364"/>
      <c r="J3060" s="3364">
        <v>0</v>
      </c>
    </row>
    <row r="3061" spans="1:10" s="3327" customFormat="1" ht="13.5" customHeight="1">
      <c r="A3061" s="3417"/>
      <c r="B3061" s="3324" t="s">
        <v>4516</v>
      </c>
      <c r="C3061" s="3324" t="s">
        <v>5191</v>
      </c>
      <c r="D3061" s="3324" t="s">
        <v>5192</v>
      </c>
      <c r="E3061" s="3325">
        <v>1</v>
      </c>
      <c r="F3061" s="3325">
        <v>2500</v>
      </c>
      <c r="G3061" s="3326">
        <v>41730</v>
      </c>
      <c r="H3061" s="3326">
        <v>42093</v>
      </c>
      <c r="I3061" s="3326">
        <v>42094</v>
      </c>
      <c r="J3061" s="3324"/>
    </row>
    <row r="3062" spans="1:10" s="3327" customFormat="1" ht="13.5" customHeight="1">
      <c r="A3062" s="3417"/>
      <c r="B3062" s="3336" t="s">
        <v>4516</v>
      </c>
      <c r="C3062" s="3336" t="s">
        <v>5191</v>
      </c>
      <c r="D3062" s="3336" t="s">
        <v>5192</v>
      </c>
      <c r="E3062" s="3339">
        <v>1</v>
      </c>
      <c r="F3062" s="3339">
        <v>3500</v>
      </c>
      <c r="G3062" s="3326">
        <v>42095</v>
      </c>
      <c r="H3062" s="3340">
        <v>42459</v>
      </c>
      <c r="I3062" s="3340">
        <v>42460</v>
      </c>
      <c r="J3062" s="3324"/>
    </row>
    <row r="3063" spans="1:10" s="3327" customFormat="1" ht="13.5" customHeight="1">
      <c r="A3063" s="3417"/>
      <c r="B3063" s="3336" t="s">
        <v>4516</v>
      </c>
      <c r="C3063" s="3336" t="s">
        <v>5191</v>
      </c>
      <c r="D3063" s="3336" t="s">
        <v>5192</v>
      </c>
      <c r="E3063" s="3339">
        <v>11.5</v>
      </c>
      <c r="F3063" s="3339">
        <v>305</v>
      </c>
      <c r="G3063" s="3326">
        <v>42461</v>
      </c>
      <c r="H3063" s="3340">
        <v>42824</v>
      </c>
      <c r="I3063" s="3340">
        <v>42825</v>
      </c>
      <c r="J3063" s="3324"/>
    </row>
    <row r="3064" spans="1:10" s="3327" customFormat="1" ht="13.5" customHeight="1">
      <c r="A3064" s="3417"/>
      <c r="B3064" s="3324" t="s">
        <v>4516</v>
      </c>
      <c r="C3064" s="3324" t="s">
        <v>5193</v>
      </c>
      <c r="D3064" s="3324" t="s">
        <v>5192</v>
      </c>
      <c r="E3064" s="3325">
        <v>1</v>
      </c>
      <c r="F3064" s="3325">
        <v>2500</v>
      </c>
      <c r="G3064" s="3326">
        <v>41760</v>
      </c>
      <c r="H3064" s="3326">
        <v>41881</v>
      </c>
      <c r="I3064" s="3326">
        <v>41882</v>
      </c>
      <c r="J3064" s="3324"/>
    </row>
    <row r="3065" spans="1:10" s="3327" customFormat="1" ht="13.5" customHeight="1">
      <c r="A3065" s="3417"/>
      <c r="B3065" s="3324" t="s">
        <v>4516</v>
      </c>
      <c r="C3065" s="3324" t="s">
        <v>5194</v>
      </c>
      <c r="D3065" s="3324" t="s">
        <v>5195</v>
      </c>
      <c r="E3065" s="3325">
        <v>5</v>
      </c>
      <c r="F3065" s="3325">
        <v>100</v>
      </c>
      <c r="G3065" s="3326">
        <v>42644</v>
      </c>
      <c r="H3065" s="3326">
        <v>42824</v>
      </c>
      <c r="I3065" s="3326">
        <v>42825</v>
      </c>
      <c r="J3065" s="3324"/>
    </row>
    <row r="3066" spans="1:10" s="3327" customFormat="1" ht="13.5" customHeight="1">
      <c r="A3066" s="3373"/>
      <c r="B3066" s="3324" t="s">
        <v>4516</v>
      </c>
      <c r="C3066" s="3324" t="s">
        <v>4852</v>
      </c>
      <c r="D3066" s="3324" t="s">
        <v>5192</v>
      </c>
      <c r="E3066" s="3325">
        <v>1</v>
      </c>
      <c r="F3066" s="3325">
        <v>2500</v>
      </c>
      <c r="G3066" s="3326">
        <v>41883</v>
      </c>
      <c r="H3066" s="3326">
        <v>42093</v>
      </c>
      <c r="I3066" s="3326">
        <v>42094</v>
      </c>
      <c r="J3066" s="3373"/>
    </row>
    <row r="3067" spans="1:10" s="3327" customFormat="1" ht="13.5" customHeight="1">
      <c r="A3067" s="3373"/>
      <c r="B3067" s="3336" t="s">
        <v>4516</v>
      </c>
      <c r="C3067" s="3336" t="s">
        <v>4852</v>
      </c>
      <c r="D3067" s="3336" t="s">
        <v>5192</v>
      </c>
      <c r="E3067" s="3339">
        <v>1</v>
      </c>
      <c r="F3067" s="3339">
        <v>3500</v>
      </c>
      <c r="G3067" s="3326">
        <v>42095</v>
      </c>
      <c r="H3067" s="3340">
        <v>42262</v>
      </c>
      <c r="I3067" s="3340">
        <v>42460</v>
      </c>
      <c r="J3067" s="3373"/>
    </row>
    <row r="3068" spans="1:10" s="3327" customFormat="1" ht="13.5" customHeight="1">
      <c r="A3068" s="3373"/>
      <c r="B3068" s="3336" t="s">
        <v>4516</v>
      </c>
      <c r="C3068" s="3336" t="s">
        <v>5196</v>
      </c>
      <c r="D3068" s="3336" t="s">
        <v>5192</v>
      </c>
      <c r="E3068" s="3339">
        <v>1</v>
      </c>
      <c r="F3068" s="3339">
        <v>3500</v>
      </c>
      <c r="G3068" s="3326">
        <v>42263</v>
      </c>
      <c r="H3068" s="3340">
        <v>42368</v>
      </c>
      <c r="I3068" s="3340">
        <v>42369</v>
      </c>
      <c r="J3068" s="3373"/>
    </row>
    <row r="3069" spans="1:10" s="3327" customFormat="1" ht="13.5" customHeight="1">
      <c r="A3069" s="3373"/>
      <c r="B3069" s="3336" t="s">
        <v>4516</v>
      </c>
      <c r="C3069" s="3336" t="s">
        <v>5196</v>
      </c>
      <c r="D3069" s="3336" t="s">
        <v>5192</v>
      </c>
      <c r="E3069" s="3339">
        <v>1</v>
      </c>
      <c r="F3069" s="3339">
        <v>3500</v>
      </c>
      <c r="G3069" s="3326">
        <v>42370</v>
      </c>
      <c r="H3069" s="3340">
        <v>42459</v>
      </c>
      <c r="I3069" s="3340">
        <v>42460</v>
      </c>
      <c r="J3069" s="3373"/>
    </row>
    <row r="3070" spans="1:10" s="3327" customFormat="1" ht="13.5" customHeight="1">
      <c r="A3070" s="3373"/>
      <c r="B3070" s="3336" t="s">
        <v>4516</v>
      </c>
      <c r="C3070" s="3336" t="s">
        <v>5196</v>
      </c>
      <c r="D3070" s="3336" t="s">
        <v>5192</v>
      </c>
      <c r="E3070" s="3339">
        <v>11.5</v>
      </c>
      <c r="F3070" s="3339">
        <v>305</v>
      </c>
      <c r="G3070" s="3326">
        <v>42461</v>
      </c>
      <c r="H3070" s="3340">
        <v>42824</v>
      </c>
      <c r="I3070" s="3340">
        <v>42825</v>
      </c>
      <c r="J3070" s="3373"/>
    </row>
    <row r="3071" spans="1:10" s="3327" customFormat="1" ht="13.5" customHeight="1">
      <c r="A3071" s="3417"/>
      <c r="B3071" s="3324" t="s">
        <v>4516</v>
      </c>
      <c r="C3071" s="3324" t="s">
        <v>5197</v>
      </c>
      <c r="D3071" s="3324" t="s">
        <v>5198</v>
      </c>
      <c r="E3071" s="3325">
        <v>1</v>
      </c>
      <c r="F3071" s="3325">
        <v>3000</v>
      </c>
      <c r="G3071" s="3326">
        <v>41730</v>
      </c>
      <c r="H3071" s="3326">
        <v>42093</v>
      </c>
      <c r="I3071" s="3326">
        <v>42094</v>
      </c>
      <c r="J3071" s="3324"/>
    </row>
    <row r="3072" spans="1:10" s="3327" customFormat="1" ht="13.5" customHeight="1">
      <c r="A3072" s="3417"/>
      <c r="B3072" s="3336" t="s">
        <v>4516</v>
      </c>
      <c r="C3072" s="3336" t="s">
        <v>5197</v>
      </c>
      <c r="D3072" s="3336" t="s">
        <v>5198</v>
      </c>
      <c r="E3072" s="3339">
        <v>1</v>
      </c>
      <c r="F3072" s="3339">
        <v>4000</v>
      </c>
      <c r="G3072" s="3326">
        <v>42095</v>
      </c>
      <c r="H3072" s="3340">
        <v>42185</v>
      </c>
      <c r="I3072" s="3340">
        <v>42460</v>
      </c>
      <c r="J3072" s="3379"/>
    </row>
    <row r="3073" spans="1:10" ht="13.5" customHeight="1" outlineLevel="1" collapsed="1">
      <c r="A3073" s="3361">
        <v>0</v>
      </c>
      <c r="B3073" s="3401" t="s">
        <v>5199</v>
      </c>
      <c r="C3073" s="3401">
        <v>0</v>
      </c>
      <c r="D3073" s="3401">
        <v>0</v>
      </c>
      <c r="E3073" s="3402">
        <v>0</v>
      </c>
      <c r="F3073" s="3402">
        <v>29210</v>
      </c>
      <c r="G3073" s="3402"/>
      <c r="H3073" s="3402"/>
      <c r="I3073" s="3402"/>
      <c r="J3073" s="3402">
        <v>0</v>
      </c>
    </row>
    <row r="3074" spans="1:10" s="3425" customFormat="1" ht="15" customHeight="1" outlineLevel="2">
      <c r="A3074" s="3417"/>
      <c r="B3074" s="3324" t="s">
        <v>4779</v>
      </c>
      <c r="C3074" s="3324" t="s">
        <v>5018</v>
      </c>
      <c r="D3074" s="3324" t="s">
        <v>5200</v>
      </c>
      <c r="E3074" s="3325">
        <v>1</v>
      </c>
      <c r="F3074" s="3325">
        <v>3500</v>
      </c>
      <c r="G3074" s="3326">
        <v>42005</v>
      </c>
      <c r="H3074" s="3326">
        <v>42093</v>
      </c>
      <c r="I3074" s="3326">
        <v>42094</v>
      </c>
      <c r="J3074" s="3424"/>
    </row>
    <row r="3075" spans="1:10" s="3425" customFormat="1" ht="15" customHeight="1" outlineLevel="2">
      <c r="A3075" s="3417"/>
      <c r="B3075" s="3324" t="s">
        <v>4779</v>
      </c>
      <c r="C3075" s="3324" t="s">
        <v>5018</v>
      </c>
      <c r="D3075" s="3324" t="s">
        <v>5201</v>
      </c>
      <c r="E3075" s="3325">
        <v>1</v>
      </c>
      <c r="F3075" s="3325">
        <v>3500</v>
      </c>
      <c r="G3075" s="3326">
        <v>42005</v>
      </c>
      <c r="H3075" s="3326">
        <v>42093</v>
      </c>
      <c r="I3075" s="3326">
        <v>42094</v>
      </c>
      <c r="J3075" s="3424"/>
    </row>
    <row r="3076" spans="1:10" ht="13.5" customHeight="1" outlineLevel="1">
      <c r="A3076" s="3361">
        <v>0</v>
      </c>
      <c r="B3076" s="3426" t="s">
        <v>5202</v>
      </c>
      <c r="C3076" s="3426">
        <v>0</v>
      </c>
      <c r="D3076" s="3426">
        <v>0</v>
      </c>
      <c r="E3076" s="3402">
        <v>0</v>
      </c>
      <c r="F3076" s="3426">
        <v>0</v>
      </c>
      <c r="G3076" s="3426">
        <v>0</v>
      </c>
      <c r="H3076" s="3426">
        <v>0</v>
      </c>
      <c r="I3076" s="3426">
        <v>0</v>
      </c>
      <c r="J3076" s="3421">
        <v>0</v>
      </c>
    </row>
    <row r="3077" spans="1:10" s="3327" customFormat="1" ht="13.5" customHeight="1">
      <c r="A3077" s="3339">
        <v>0</v>
      </c>
      <c r="B3077" s="3324" t="s">
        <v>4992</v>
      </c>
      <c r="C3077" s="3324" t="s">
        <v>5018</v>
      </c>
      <c r="D3077" s="3324" t="s">
        <v>5203</v>
      </c>
      <c r="E3077" s="3325">
        <v>1</v>
      </c>
      <c r="F3077" s="3325">
        <v>3500</v>
      </c>
      <c r="G3077" s="3326">
        <v>42005</v>
      </c>
      <c r="H3077" s="3326">
        <v>42093</v>
      </c>
      <c r="I3077" s="3326">
        <v>42094</v>
      </c>
      <c r="J3077" s="3324"/>
    </row>
    <row r="3078" spans="1:10" s="3327" customFormat="1" ht="13.5" customHeight="1">
      <c r="A3078" s="3339"/>
      <c r="B3078" s="3336" t="s">
        <v>4992</v>
      </c>
      <c r="C3078" s="3336" t="s">
        <v>5018</v>
      </c>
      <c r="D3078" s="3336" t="s">
        <v>5203</v>
      </c>
      <c r="E3078" s="3339">
        <v>1</v>
      </c>
      <c r="F3078" s="3339">
        <v>5833.34</v>
      </c>
      <c r="G3078" s="3340">
        <v>42095</v>
      </c>
      <c r="H3078" s="3340">
        <v>42459</v>
      </c>
      <c r="I3078" s="3340">
        <v>42460</v>
      </c>
      <c r="J3078" s="3324"/>
    </row>
    <row r="3079" spans="1:10" s="3327" customFormat="1" ht="13.5" customHeight="1">
      <c r="A3079" s="3339">
        <v>0</v>
      </c>
      <c r="B3079" s="3336" t="s">
        <v>4992</v>
      </c>
      <c r="C3079" s="3336" t="s">
        <v>5065</v>
      </c>
      <c r="D3079" s="3336" t="s">
        <v>5204</v>
      </c>
      <c r="E3079" s="3339">
        <v>176</v>
      </c>
      <c r="F3079" s="3339">
        <v>219</v>
      </c>
      <c r="G3079" s="3340">
        <v>42156</v>
      </c>
      <c r="H3079" s="3340">
        <v>42166</v>
      </c>
      <c r="I3079" s="3340">
        <v>42460</v>
      </c>
      <c r="J3079" s="3324"/>
    </row>
    <row r="3080" spans="1:10" s="3327" customFormat="1" ht="13.5" customHeight="1">
      <c r="A3080" s="3339"/>
      <c r="B3080" s="3336" t="s">
        <v>4992</v>
      </c>
      <c r="C3080" s="3336" t="s">
        <v>5205</v>
      </c>
      <c r="D3080" s="3336" t="s">
        <v>5206</v>
      </c>
      <c r="E3080" s="3339">
        <v>40</v>
      </c>
      <c r="F3080" s="3339">
        <v>125</v>
      </c>
      <c r="G3080" s="3340">
        <v>42309</v>
      </c>
      <c r="H3080" s="3340">
        <v>42459</v>
      </c>
      <c r="I3080" s="3340">
        <v>42460</v>
      </c>
      <c r="J3080" s="3324"/>
    </row>
    <row r="3081" spans="1:10" s="3327" customFormat="1" ht="13.5" customHeight="1">
      <c r="A3081" s="3339">
        <v>0</v>
      </c>
      <c r="B3081" s="3336" t="s">
        <v>4992</v>
      </c>
      <c r="C3081" s="3336" t="s">
        <v>5065</v>
      </c>
      <c r="D3081" s="3336" t="s">
        <v>5204</v>
      </c>
      <c r="E3081" s="3339">
        <v>176</v>
      </c>
      <c r="F3081" s="3339">
        <v>105</v>
      </c>
      <c r="G3081" s="3340">
        <v>42167</v>
      </c>
      <c r="H3081" s="3340">
        <v>42459</v>
      </c>
      <c r="I3081" s="3340">
        <v>42460</v>
      </c>
      <c r="J3081" s="3324"/>
    </row>
    <row r="3082" spans="1:10" s="3327" customFormat="1" ht="13.5" customHeight="1">
      <c r="A3082" s="3339">
        <v>0</v>
      </c>
      <c r="B3082" s="3336" t="s">
        <v>4992</v>
      </c>
      <c r="C3082" s="3336" t="s">
        <v>5065</v>
      </c>
      <c r="D3082" s="3336" t="s">
        <v>5204</v>
      </c>
      <c r="E3082" s="3339">
        <v>176</v>
      </c>
      <c r="F3082" s="3339">
        <v>200</v>
      </c>
      <c r="G3082" s="3340">
        <v>42461</v>
      </c>
      <c r="H3082" s="3340">
        <v>42520</v>
      </c>
      <c r="I3082" s="3340">
        <v>42825</v>
      </c>
      <c r="J3082" s="3324"/>
    </row>
    <row r="3083" spans="1:10" s="3327" customFormat="1" ht="13.5" customHeight="1">
      <c r="A3083" s="3339">
        <v>0</v>
      </c>
      <c r="B3083" s="3336" t="s">
        <v>4992</v>
      </c>
      <c r="C3083" s="3336" t="s">
        <v>5065</v>
      </c>
      <c r="D3083" s="3336" t="s">
        <v>5204</v>
      </c>
      <c r="E3083" s="3339">
        <v>176</v>
      </c>
      <c r="F3083" s="3339">
        <v>200</v>
      </c>
      <c r="G3083" s="3340">
        <v>42522</v>
      </c>
      <c r="H3083" s="3340">
        <v>42824</v>
      </c>
      <c r="I3083" s="3340">
        <v>42825</v>
      </c>
      <c r="J3083" s="3324"/>
    </row>
    <row r="3084" spans="1:10" s="3327" customFormat="1" ht="13.5" customHeight="1">
      <c r="A3084" s="3417" t="s">
        <v>5207</v>
      </c>
      <c r="B3084" s="3331" t="s">
        <v>4992</v>
      </c>
      <c r="C3084" s="3331" t="s">
        <v>5065</v>
      </c>
      <c r="D3084" s="3331" t="s">
        <v>5208</v>
      </c>
      <c r="E3084" s="3332">
        <v>176</v>
      </c>
      <c r="F3084" s="3332">
        <v>190</v>
      </c>
      <c r="G3084" s="3333">
        <v>42826</v>
      </c>
      <c r="H3084" s="3333">
        <v>43130</v>
      </c>
      <c r="I3084" s="3333">
        <v>43190</v>
      </c>
      <c r="J3084" s="3324"/>
    </row>
    <row r="3085" spans="1:10" s="3327" customFormat="1" ht="13.5" customHeight="1">
      <c r="A3085" s="3339">
        <v>0</v>
      </c>
      <c r="B3085" s="3324" t="s">
        <v>4992</v>
      </c>
      <c r="C3085" s="3324" t="s">
        <v>5209</v>
      </c>
      <c r="D3085" s="3324">
        <v>0</v>
      </c>
      <c r="E3085" s="3325">
        <v>1</v>
      </c>
      <c r="F3085" s="3325">
        <v>3000</v>
      </c>
      <c r="G3085" s="3326">
        <v>41730</v>
      </c>
      <c r="H3085" s="3326">
        <v>42093</v>
      </c>
      <c r="I3085" s="3326">
        <v>42094</v>
      </c>
      <c r="J3085" s="3324"/>
    </row>
    <row r="3086" spans="1:10" ht="13.5" customHeight="1" outlineLevel="1" collapsed="1">
      <c r="A3086" s="3361">
        <v>1</v>
      </c>
      <c r="B3086" s="3391" t="s">
        <v>5111</v>
      </c>
      <c r="C3086" s="3427">
        <v>0</v>
      </c>
      <c r="D3086" s="3421">
        <v>0</v>
      </c>
      <c r="E3086" s="3402">
        <v>176</v>
      </c>
      <c r="F3086" s="3363">
        <v>3000</v>
      </c>
      <c r="G3086" s="3421"/>
      <c r="H3086" s="3421"/>
      <c r="I3086" s="3421"/>
      <c r="J3086" s="3421">
        <v>0</v>
      </c>
    </row>
    <row r="3087" spans="1:10" ht="13.5" customHeight="1" outlineLevel="1">
      <c r="A3087" s="3361"/>
      <c r="B3087" s="3391"/>
      <c r="C3087" s="3427"/>
      <c r="D3087" s="3421"/>
      <c r="E3087" s="3402"/>
      <c r="F3087" s="3421"/>
      <c r="G3087" s="3421"/>
      <c r="H3087" s="3421"/>
      <c r="I3087" s="3421"/>
      <c r="J3087" s="3421"/>
    </row>
    <row r="3088" spans="1:10" s="3327" customFormat="1" ht="13.5" customHeight="1">
      <c r="A3088" s="3417"/>
      <c r="B3088" s="3336" t="s">
        <v>5210</v>
      </c>
      <c r="C3088" s="3336" t="s">
        <v>5211</v>
      </c>
      <c r="D3088" s="3336">
        <v>0</v>
      </c>
      <c r="E3088" s="3339">
        <v>1</v>
      </c>
      <c r="F3088" s="3339">
        <v>1000</v>
      </c>
      <c r="G3088" s="3340">
        <v>41883</v>
      </c>
      <c r="H3088" s="3340">
        <v>42246</v>
      </c>
      <c r="I3088" s="3340">
        <v>42247</v>
      </c>
      <c r="J3088" s="3324"/>
    </row>
    <row r="3089" spans="1:10" s="3327" customFormat="1" ht="15" customHeight="1">
      <c r="A3089" s="3417"/>
      <c r="B3089" s="3336" t="s">
        <v>5210</v>
      </c>
      <c r="C3089" s="3336" t="s">
        <v>5212</v>
      </c>
      <c r="D3089" s="3336">
        <v>0</v>
      </c>
      <c r="E3089" s="3339">
        <v>1</v>
      </c>
      <c r="F3089" s="3339">
        <v>4200</v>
      </c>
      <c r="G3089" s="3340">
        <v>41969</v>
      </c>
      <c r="H3089" s="3340">
        <v>42093</v>
      </c>
      <c r="I3089" s="3340">
        <v>42094</v>
      </c>
      <c r="J3089" s="3324"/>
    </row>
    <row r="3090" spans="1:10" s="3327" customFormat="1" ht="13.5" customHeight="1">
      <c r="A3090" s="3417"/>
      <c r="B3090" s="3336">
        <v>3</v>
      </c>
      <c r="C3090" s="3336" t="s">
        <v>5213</v>
      </c>
      <c r="D3090" s="3336">
        <v>0</v>
      </c>
      <c r="E3090" s="3339">
        <v>1</v>
      </c>
      <c r="F3090" s="3339">
        <v>500</v>
      </c>
      <c r="G3090" s="3340">
        <v>42461</v>
      </c>
      <c r="H3090" s="3340">
        <v>42824</v>
      </c>
      <c r="I3090" s="3340">
        <v>42825</v>
      </c>
      <c r="J3090" s="3324"/>
    </row>
    <row r="3091" spans="1:10" s="3327" customFormat="1" ht="13.5" customHeight="1">
      <c r="A3091" s="3417" t="s">
        <v>5210</v>
      </c>
      <c r="B3091" s="3331">
        <v>3</v>
      </c>
      <c r="C3091" s="3331" t="s">
        <v>5214</v>
      </c>
      <c r="D3091" s="3331">
        <v>0</v>
      </c>
      <c r="E3091" s="3332">
        <v>1</v>
      </c>
      <c r="F3091" s="3332">
        <v>2500</v>
      </c>
      <c r="G3091" s="3333">
        <v>42826</v>
      </c>
      <c r="H3091" s="3333">
        <v>43130</v>
      </c>
      <c r="I3091" s="3333">
        <v>43190</v>
      </c>
      <c r="J3091" s="3324" t="s">
        <v>5215</v>
      </c>
    </row>
    <row r="3092" spans="1:10" s="3327" customFormat="1" ht="13.5" customHeight="1">
      <c r="A3092" s="3417"/>
      <c r="B3092" s="3336">
        <v>3</v>
      </c>
      <c r="C3092" s="3336" t="s">
        <v>5213</v>
      </c>
      <c r="D3092" s="3336">
        <v>0</v>
      </c>
      <c r="E3092" s="3339">
        <v>1</v>
      </c>
      <c r="F3092" s="3339">
        <v>500</v>
      </c>
      <c r="G3092" s="3340">
        <v>42461</v>
      </c>
      <c r="H3092" s="3340">
        <v>42824</v>
      </c>
      <c r="I3092" s="3340">
        <v>42825</v>
      </c>
      <c r="J3092" s="3324"/>
    </row>
    <row r="3093" spans="1:10" s="3327" customFormat="1" ht="13.5" customHeight="1">
      <c r="A3093" s="3417" t="s">
        <v>5210</v>
      </c>
      <c r="B3093" s="3331">
        <v>3</v>
      </c>
      <c r="C3093" s="3331" t="s">
        <v>5214</v>
      </c>
      <c r="D3093" s="3331">
        <v>0</v>
      </c>
      <c r="E3093" s="3332">
        <v>1</v>
      </c>
      <c r="F3093" s="3332">
        <v>2500</v>
      </c>
      <c r="G3093" s="3333">
        <v>42826</v>
      </c>
      <c r="H3093" s="3333">
        <v>43130</v>
      </c>
      <c r="I3093" s="3333">
        <v>43190</v>
      </c>
      <c r="J3093" s="3324" t="s">
        <v>5215</v>
      </c>
    </row>
    <row r="3094" spans="1:10" s="3327" customFormat="1" ht="13.5" customHeight="1">
      <c r="A3094" s="3417"/>
      <c r="B3094" s="3336">
        <v>5</v>
      </c>
      <c r="C3094" s="3336" t="s">
        <v>5216</v>
      </c>
      <c r="D3094" s="3336">
        <v>0</v>
      </c>
      <c r="E3094" s="3339">
        <v>1</v>
      </c>
      <c r="F3094" s="3339">
        <v>500</v>
      </c>
      <c r="G3094" s="3340">
        <v>42461</v>
      </c>
      <c r="H3094" s="3340">
        <v>42687</v>
      </c>
      <c r="I3094" s="3340">
        <v>42825</v>
      </c>
      <c r="J3094" s="3324"/>
    </row>
    <row r="3095" spans="1:10" s="3327" customFormat="1" ht="13.5" customHeight="1">
      <c r="A3095" s="3417"/>
      <c r="B3095" s="3336">
        <v>5</v>
      </c>
      <c r="C3095" s="3336" t="s">
        <v>5216</v>
      </c>
      <c r="D3095" s="3336">
        <v>0</v>
      </c>
      <c r="E3095" s="3339">
        <v>1</v>
      </c>
      <c r="F3095" s="3339">
        <v>500</v>
      </c>
      <c r="G3095" s="3340">
        <v>42461</v>
      </c>
      <c r="H3095" s="3340">
        <v>42687</v>
      </c>
      <c r="I3095" s="3340">
        <v>42825</v>
      </c>
      <c r="J3095" s="3324"/>
    </row>
    <row r="3096" spans="1:10" s="3327" customFormat="1" ht="13.5" customHeight="1">
      <c r="A3096" s="3417"/>
      <c r="B3096" s="3336">
        <v>2</v>
      </c>
      <c r="C3096" s="3336" t="s">
        <v>4389</v>
      </c>
      <c r="D3096" s="3336">
        <v>0</v>
      </c>
      <c r="E3096" s="3339">
        <v>1</v>
      </c>
      <c r="F3096" s="3339">
        <v>500</v>
      </c>
      <c r="G3096" s="3340">
        <v>42461</v>
      </c>
      <c r="H3096" s="3340">
        <v>42824</v>
      </c>
      <c r="I3096" s="3340">
        <v>42825</v>
      </c>
      <c r="J3096" s="3324"/>
    </row>
    <row r="3097" spans="1:10" s="3327" customFormat="1" ht="13.5" customHeight="1">
      <c r="A3097" s="3417"/>
      <c r="B3097" s="3336">
        <v>2</v>
      </c>
      <c r="C3097" s="3336" t="s">
        <v>4389</v>
      </c>
      <c r="D3097" s="3336">
        <v>0</v>
      </c>
      <c r="E3097" s="3339">
        <v>1</v>
      </c>
      <c r="F3097" s="3339">
        <v>500</v>
      </c>
      <c r="G3097" s="3340">
        <v>42461</v>
      </c>
      <c r="H3097" s="3340">
        <v>42824</v>
      </c>
      <c r="I3097" s="3340">
        <v>42825</v>
      </c>
      <c r="J3097" s="3324"/>
    </row>
    <row r="3098" spans="1:10" s="3327" customFormat="1" ht="13.5" customHeight="1">
      <c r="A3098" s="3417"/>
      <c r="B3098" s="3336">
        <v>2</v>
      </c>
      <c r="C3098" s="3336" t="s">
        <v>4370</v>
      </c>
      <c r="D3098" s="3336">
        <v>0</v>
      </c>
      <c r="E3098" s="3339">
        <v>1</v>
      </c>
      <c r="F3098" s="3339">
        <v>500</v>
      </c>
      <c r="G3098" s="3340">
        <v>42461</v>
      </c>
      <c r="H3098" s="3340">
        <v>42824</v>
      </c>
      <c r="I3098" s="3340">
        <v>42825</v>
      </c>
      <c r="J3098" s="3324"/>
    </row>
    <row r="3099" spans="1:10" s="3327" customFormat="1" ht="13.5" customHeight="1">
      <c r="A3099" s="3417"/>
      <c r="B3099" s="3336">
        <v>2</v>
      </c>
      <c r="C3099" s="3336" t="s">
        <v>4322</v>
      </c>
      <c r="D3099" s="3336">
        <v>0</v>
      </c>
      <c r="E3099" s="3339">
        <v>1</v>
      </c>
      <c r="F3099" s="3339">
        <v>500</v>
      </c>
      <c r="G3099" s="3340">
        <v>42461</v>
      </c>
      <c r="H3099" s="3340">
        <v>42824</v>
      </c>
      <c r="I3099" s="3340">
        <v>42825</v>
      </c>
      <c r="J3099" s="3324"/>
    </row>
    <row r="3100" spans="1:10" s="3327" customFormat="1" ht="13.5" customHeight="1">
      <c r="A3100" s="3417" t="s">
        <v>5210</v>
      </c>
      <c r="B3100" s="3331">
        <v>2</v>
      </c>
      <c r="C3100" s="3331" t="s">
        <v>4324</v>
      </c>
      <c r="D3100" s="3331">
        <v>0</v>
      </c>
      <c r="E3100" s="3332">
        <v>1</v>
      </c>
      <c r="F3100" s="3332">
        <v>2500</v>
      </c>
      <c r="G3100" s="3333">
        <v>42826</v>
      </c>
      <c r="H3100" s="3333">
        <v>43130</v>
      </c>
      <c r="I3100" s="3333">
        <v>43190</v>
      </c>
      <c r="J3100" s="3324" t="s">
        <v>5215</v>
      </c>
    </row>
    <row r="3101" spans="1:10" s="3327" customFormat="1" ht="14.25" customHeight="1">
      <c r="A3101" s="3417"/>
      <c r="B3101" s="3336">
        <v>2</v>
      </c>
      <c r="C3101" s="3336" t="s">
        <v>4317</v>
      </c>
      <c r="D3101" s="3336">
        <v>0</v>
      </c>
      <c r="E3101" s="3339">
        <v>1</v>
      </c>
      <c r="F3101" s="3339">
        <v>500</v>
      </c>
      <c r="G3101" s="3340">
        <v>42461</v>
      </c>
      <c r="H3101" s="3340">
        <v>42824</v>
      </c>
      <c r="I3101" s="3340">
        <v>42825</v>
      </c>
      <c r="J3101" s="3324"/>
    </row>
    <row r="3102" spans="1:10" s="3327" customFormat="1" ht="13.5" customHeight="1">
      <c r="A3102" s="3417"/>
      <c r="B3102" s="3336">
        <v>5</v>
      </c>
      <c r="C3102" s="3336" t="s">
        <v>5216</v>
      </c>
      <c r="D3102" s="3336">
        <v>0</v>
      </c>
      <c r="E3102" s="3339">
        <v>1</v>
      </c>
      <c r="F3102" s="3339">
        <v>2439.4</v>
      </c>
      <c r="G3102" s="3340">
        <v>42461</v>
      </c>
      <c r="H3102" s="3340">
        <v>42612</v>
      </c>
      <c r="I3102" s="3340">
        <v>42643</v>
      </c>
      <c r="J3102" s="3324"/>
    </row>
    <row r="3103" spans="1:10" s="3327" customFormat="1" ht="13.5" customHeight="1">
      <c r="A3103" s="3417"/>
      <c r="B3103" s="3336">
        <v>5</v>
      </c>
      <c r="C3103" s="3336" t="s">
        <v>5216</v>
      </c>
      <c r="D3103" s="3336">
        <v>0</v>
      </c>
      <c r="E3103" s="3339">
        <v>1</v>
      </c>
      <c r="F3103" s="3339">
        <v>1500</v>
      </c>
      <c r="G3103" s="3340">
        <v>42461</v>
      </c>
      <c r="H3103" s="3340">
        <v>42643</v>
      </c>
      <c r="I3103" s="3340">
        <v>42643</v>
      </c>
      <c r="J3103" s="3324"/>
    </row>
    <row r="3104" spans="1:10" s="3327" customFormat="1" ht="13.5" customHeight="1">
      <c r="A3104" s="3417" t="s">
        <v>5210</v>
      </c>
      <c r="B3104" s="3331">
        <v>5</v>
      </c>
      <c r="C3104" s="3331" t="s">
        <v>5216</v>
      </c>
      <c r="D3104" s="3331">
        <v>0</v>
      </c>
      <c r="E3104" s="3332">
        <v>1</v>
      </c>
      <c r="F3104" s="3332">
        <v>2500</v>
      </c>
      <c r="G3104" s="3333">
        <v>42856</v>
      </c>
      <c r="H3104" s="3333">
        <v>43130</v>
      </c>
      <c r="I3104" s="3333">
        <v>43220</v>
      </c>
      <c r="J3104" s="3324" t="s">
        <v>5217</v>
      </c>
    </row>
    <row r="3105" spans="1:10" s="3327" customFormat="1" ht="13.5" customHeight="1">
      <c r="A3105" s="3417" t="s">
        <v>5210</v>
      </c>
      <c r="B3105" s="3331">
        <v>5</v>
      </c>
      <c r="C3105" s="3331" t="s">
        <v>5216</v>
      </c>
      <c r="D3105" s="3331">
        <v>0</v>
      </c>
      <c r="E3105" s="3332">
        <v>1</v>
      </c>
      <c r="F3105" s="3332">
        <v>2500</v>
      </c>
      <c r="G3105" s="3333">
        <v>42856</v>
      </c>
      <c r="H3105" s="3333">
        <v>43130</v>
      </c>
      <c r="I3105" s="3333">
        <v>43220</v>
      </c>
      <c r="J3105" s="3324" t="s">
        <v>5217</v>
      </c>
    </row>
    <row r="3106" spans="1:10" s="3327" customFormat="1" ht="13.5" customHeight="1">
      <c r="A3106" s="3417" t="s">
        <v>5210</v>
      </c>
      <c r="B3106" s="3331">
        <v>5</v>
      </c>
      <c r="C3106" s="3331" t="s">
        <v>5216</v>
      </c>
      <c r="D3106" s="3331">
        <v>0</v>
      </c>
      <c r="E3106" s="3332">
        <v>1</v>
      </c>
      <c r="F3106" s="3332">
        <v>2500</v>
      </c>
      <c r="G3106" s="3333">
        <v>42856</v>
      </c>
      <c r="H3106" s="3333">
        <v>43130</v>
      </c>
      <c r="I3106" s="3333">
        <v>43220</v>
      </c>
      <c r="J3106" s="3324" t="s">
        <v>5217</v>
      </c>
    </row>
    <row r="3107" spans="1:10" s="3327" customFormat="1" ht="13.5" customHeight="1">
      <c r="A3107" s="3417" t="s">
        <v>5210</v>
      </c>
      <c r="B3107" s="3331">
        <v>5</v>
      </c>
      <c r="C3107" s="3331" t="s">
        <v>5216</v>
      </c>
      <c r="D3107" s="3331">
        <v>0</v>
      </c>
      <c r="E3107" s="3332">
        <v>1</v>
      </c>
      <c r="F3107" s="3332">
        <v>2500</v>
      </c>
      <c r="G3107" s="3333">
        <v>42856</v>
      </c>
      <c r="H3107" s="3333">
        <v>43130</v>
      </c>
      <c r="I3107" s="3333">
        <v>43220</v>
      </c>
      <c r="J3107" s="3324" t="s">
        <v>5217</v>
      </c>
    </row>
    <row r="3108" spans="1:10" s="3327" customFormat="1" ht="13.5" customHeight="1">
      <c r="A3108" s="3417" t="s">
        <v>5210</v>
      </c>
      <c r="B3108" s="3331">
        <v>5</v>
      </c>
      <c r="C3108" s="3331" t="s">
        <v>5216</v>
      </c>
      <c r="D3108" s="3331">
        <v>0</v>
      </c>
      <c r="E3108" s="3332">
        <v>1</v>
      </c>
      <c r="F3108" s="3332">
        <v>2500</v>
      </c>
      <c r="G3108" s="3333">
        <v>42856</v>
      </c>
      <c r="H3108" s="3333">
        <v>43130</v>
      </c>
      <c r="I3108" s="3333">
        <v>43220</v>
      </c>
      <c r="J3108" s="3324" t="s">
        <v>5217</v>
      </c>
    </row>
    <row r="3109" spans="1:10" s="3327" customFormat="1" ht="13.5" customHeight="1">
      <c r="A3109" s="3417"/>
      <c r="B3109" s="3331">
        <v>5</v>
      </c>
      <c r="C3109" s="3331" t="s">
        <v>5218</v>
      </c>
      <c r="D3109" s="3331" t="s">
        <v>5219</v>
      </c>
      <c r="E3109" s="3332">
        <v>1</v>
      </c>
      <c r="F3109" s="3332">
        <v>5000</v>
      </c>
      <c r="G3109" s="3333">
        <v>42644</v>
      </c>
      <c r="H3109" s="3333">
        <v>42948</v>
      </c>
      <c r="I3109" s="3333">
        <v>43008</v>
      </c>
      <c r="J3109" s="3324" t="s">
        <v>5217</v>
      </c>
    </row>
    <row r="3110" spans="1:10" s="3327" customFormat="1" ht="13.5" customHeight="1">
      <c r="A3110" s="3417"/>
      <c r="B3110" s="3336">
        <v>5</v>
      </c>
      <c r="C3110" s="3336" t="s">
        <v>4142</v>
      </c>
      <c r="D3110" s="3336">
        <v>0</v>
      </c>
      <c r="E3110" s="3339">
        <v>1</v>
      </c>
      <c r="F3110" s="3339">
        <v>1000</v>
      </c>
      <c r="G3110" s="3340">
        <v>42552</v>
      </c>
      <c r="H3110" s="3340">
        <v>42824</v>
      </c>
      <c r="I3110" s="3340">
        <v>42825</v>
      </c>
      <c r="J3110" s="3324"/>
    </row>
    <row r="3111" spans="1:10" s="3327" customFormat="1" ht="13.5" customHeight="1">
      <c r="A3111" s="3417" t="s">
        <v>5210</v>
      </c>
      <c r="B3111" s="3331">
        <v>5</v>
      </c>
      <c r="C3111" s="3331" t="s">
        <v>4142</v>
      </c>
      <c r="D3111" s="3331">
        <v>0</v>
      </c>
      <c r="E3111" s="3332">
        <v>1</v>
      </c>
      <c r="F3111" s="3332">
        <v>4167</v>
      </c>
      <c r="G3111" s="3333">
        <v>42826</v>
      </c>
      <c r="H3111" s="3333">
        <v>43130</v>
      </c>
      <c r="I3111" s="3333">
        <v>43190</v>
      </c>
      <c r="J3111" s="3324" t="s">
        <v>5217</v>
      </c>
    </row>
    <row r="3112" spans="1:10" s="3327" customFormat="1" ht="13.5" customHeight="1">
      <c r="A3112" s="3417"/>
      <c r="B3112" s="3336">
        <v>5</v>
      </c>
      <c r="C3112" s="3336" t="s">
        <v>4896</v>
      </c>
      <c r="D3112" s="3336">
        <v>0</v>
      </c>
      <c r="E3112" s="3339">
        <v>1</v>
      </c>
      <c r="F3112" s="3339">
        <v>1500</v>
      </c>
      <c r="G3112" s="3340">
        <v>42461</v>
      </c>
      <c r="H3112" s="3340">
        <v>42551</v>
      </c>
      <c r="I3112" s="3340">
        <v>42551</v>
      </c>
      <c r="J3112" s="3324"/>
    </row>
    <row r="3113" spans="1:10" s="3327" customFormat="1" ht="13.5" customHeight="1">
      <c r="A3113" s="3417"/>
      <c r="B3113" s="3336">
        <v>5</v>
      </c>
      <c r="C3113" s="3336" t="s">
        <v>3152</v>
      </c>
      <c r="D3113" s="3336">
        <v>0</v>
      </c>
      <c r="E3113" s="3339">
        <v>1</v>
      </c>
      <c r="F3113" s="3339">
        <v>5000</v>
      </c>
      <c r="G3113" s="3340">
        <v>42552</v>
      </c>
      <c r="H3113" s="3340">
        <v>42824</v>
      </c>
      <c r="I3113" s="3340">
        <v>42825</v>
      </c>
      <c r="J3113" s="3324"/>
    </row>
    <row r="3114" spans="1:10" s="3327" customFormat="1" ht="13.5" customHeight="1">
      <c r="A3114" s="3417"/>
      <c r="B3114" s="3336">
        <v>5</v>
      </c>
      <c r="C3114" s="3336" t="s">
        <v>4252</v>
      </c>
      <c r="D3114" s="3336" t="s">
        <v>5220</v>
      </c>
      <c r="E3114" s="3339">
        <v>1</v>
      </c>
      <c r="F3114" s="3339">
        <v>3000</v>
      </c>
      <c r="G3114" s="3340">
        <v>42522</v>
      </c>
      <c r="H3114" s="3340">
        <v>42824</v>
      </c>
      <c r="I3114" s="3340">
        <v>42825</v>
      </c>
      <c r="J3114" s="3324"/>
    </row>
    <row r="3115" spans="1:10" s="3327" customFormat="1" ht="13.5" customHeight="1">
      <c r="A3115" s="3417"/>
      <c r="B3115" s="3336">
        <v>5</v>
      </c>
      <c r="C3115" s="3336" t="s">
        <v>4083</v>
      </c>
      <c r="D3115" s="3336" t="s">
        <v>5220</v>
      </c>
      <c r="E3115" s="3339">
        <v>1</v>
      </c>
      <c r="F3115" s="3339">
        <v>5000</v>
      </c>
      <c r="G3115" s="3340">
        <v>42552</v>
      </c>
      <c r="H3115" s="3340">
        <v>42673</v>
      </c>
      <c r="I3115" s="3340">
        <v>42825</v>
      </c>
      <c r="J3115" s="3324"/>
    </row>
    <row r="3116" spans="1:10" s="3327" customFormat="1" ht="13.5" customHeight="1">
      <c r="A3116" s="3417"/>
      <c r="B3116" s="3336">
        <v>5</v>
      </c>
      <c r="C3116" s="3336" t="s">
        <v>4052</v>
      </c>
      <c r="D3116" s="3336" t="s">
        <v>5221</v>
      </c>
      <c r="E3116" s="3339">
        <v>1</v>
      </c>
      <c r="F3116" s="3339">
        <v>4762</v>
      </c>
      <c r="G3116" s="3340">
        <v>42537</v>
      </c>
      <c r="H3116" s="3340">
        <v>42824</v>
      </c>
      <c r="I3116" s="3340">
        <v>42825</v>
      </c>
      <c r="J3116" s="3324"/>
    </row>
    <row r="3117" spans="1:10" s="3327" customFormat="1" ht="13.5" customHeight="1">
      <c r="A3117" s="3417"/>
      <c r="B3117" s="3336">
        <v>1</v>
      </c>
      <c r="C3117" s="3336" t="s">
        <v>5182</v>
      </c>
      <c r="D3117" s="3336" t="s">
        <v>5222</v>
      </c>
      <c r="E3117" s="3339">
        <v>1</v>
      </c>
      <c r="F3117" s="3339">
        <v>18000</v>
      </c>
      <c r="G3117" s="3340">
        <v>42705</v>
      </c>
      <c r="H3117" s="3340">
        <v>42824</v>
      </c>
      <c r="I3117" s="3340">
        <v>42825</v>
      </c>
      <c r="J3117" s="3324"/>
    </row>
    <row r="3118" spans="1:10" s="3327" customFormat="1" ht="12.75" customHeight="1">
      <c r="A3118" s="3417"/>
      <c r="B3118" s="3336"/>
      <c r="C3118" s="3336" t="s">
        <v>5212</v>
      </c>
      <c r="D3118" s="3336">
        <v>0</v>
      </c>
      <c r="E3118" s="3339">
        <v>1</v>
      </c>
      <c r="F3118" s="3339">
        <v>4200</v>
      </c>
      <c r="G3118" s="3340">
        <v>42095</v>
      </c>
      <c r="H3118" s="3340">
        <v>42459</v>
      </c>
      <c r="I3118" s="3340">
        <v>42460</v>
      </c>
      <c r="J3118" s="3324"/>
    </row>
    <row r="3119" spans="1:10" s="3327" customFormat="1" ht="12.75" customHeight="1">
      <c r="A3119" s="3417"/>
      <c r="B3119" s="3336"/>
      <c r="C3119" s="3336" t="s">
        <v>3727</v>
      </c>
      <c r="D3119" s="3336">
        <v>0</v>
      </c>
      <c r="E3119" s="3339">
        <v>1</v>
      </c>
      <c r="F3119" s="3339">
        <v>6000</v>
      </c>
      <c r="G3119" s="3340">
        <v>42217</v>
      </c>
      <c r="H3119" s="3340">
        <v>42368</v>
      </c>
      <c r="I3119" s="3340">
        <v>42369</v>
      </c>
      <c r="J3119" s="3324"/>
    </row>
    <row r="3120" spans="1:10" s="3327" customFormat="1" ht="12.75" customHeight="1">
      <c r="A3120" s="3417"/>
      <c r="B3120" s="3336"/>
      <c r="C3120" s="3336" t="s">
        <v>3897</v>
      </c>
      <c r="D3120" s="3336" t="s">
        <v>5223</v>
      </c>
      <c r="E3120" s="3339">
        <v>1</v>
      </c>
      <c r="F3120" s="3339">
        <v>4166.6000000000004</v>
      </c>
      <c r="G3120" s="3340">
        <v>42309</v>
      </c>
      <c r="H3120" s="3340">
        <v>42459</v>
      </c>
      <c r="I3120" s="3340">
        <v>42460</v>
      </c>
      <c r="J3120" s="3324"/>
    </row>
    <row r="3121" spans="1:10" s="3327" customFormat="1" ht="12.75" customHeight="1">
      <c r="A3121" s="3417"/>
      <c r="B3121" s="3336">
        <v>1</v>
      </c>
      <c r="C3121" s="3336" t="s">
        <v>3897</v>
      </c>
      <c r="D3121" s="3336" t="s">
        <v>5223</v>
      </c>
      <c r="E3121" s="3339">
        <v>1</v>
      </c>
      <c r="F3121" s="3339">
        <v>6481</v>
      </c>
      <c r="G3121" s="3340">
        <v>42537</v>
      </c>
      <c r="H3121" s="3340">
        <v>42673</v>
      </c>
      <c r="I3121" s="3340">
        <v>42674</v>
      </c>
      <c r="J3121" s="3324"/>
    </row>
    <row r="3122" spans="1:10" s="3327" customFormat="1" ht="12.75" customHeight="1">
      <c r="A3122" s="3417"/>
      <c r="B3122" s="3331">
        <v>1</v>
      </c>
      <c r="C3122" s="3331" t="s">
        <v>3897</v>
      </c>
      <c r="D3122" s="3331" t="s">
        <v>5223</v>
      </c>
      <c r="E3122" s="3332">
        <v>1</v>
      </c>
      <c r="F3122" s="3332">
        <v>4545</v>
      </c>
      <c r="G3122" s="3333">
        <v>42705</v>
      </c>
      <c r="H3122" s="3333">
        <v>43038</v>
      </c>
      <c r="I3122" s="3333">
        <v>43039</v>
      </c>
      <c r="J3122" s="3324" t="s">
        <v>5215</v>
      </c>
    </row>
    <row r="3123" spans="1:10" s="3327" customFormat="1" ht="12.75" customHeight="1">
      <c r="A3123" s="3417"/>
      <c r="B3123" s="3336" t="s">
        <v>5210</v>
      </c>
      <c r="C3123" s="3336" t="s">
        <v>4208</v>
      </c>
      <c r="D3123" s="3336" t="s">
        <v>5224</v>
      </c>
      <c r="E3123" s="3339">
        <v>1</v>
      </c>
      <c r="F3123" s="3339">
        <v>12500</v>
      </c>
      <c r="G3123" s="3340">
        <v>42309</v>
      </c>
      <c r="H3123" s="3340">
        <v>42368</v>
      </c>
      <c r="I3123" s="3340">
        <v>42369</v>
      </c>
      <c r="J3123" s="3324"/>
    </row>
    <row r="3124" spans="1:10" s="3327" customFormat="1" ht="12.75" customHeight="1">
      <c r="A3124" s="3417"/>
      <c r="B3124" s="3336" t="s">
        <v>5210</v>
      </c>
      <c r="C3124" s="3336" t="s">
        <v>4208</v>
      </c>
      <c r="D3124" s="3336" t="s">
        <v>5225</v>
      </c>
      <c r="E3124" s="3339">
        <v>1</v>
      </c>
      <c r="F3124" s="3339">
        <v>2500</v>
      </c>
      <c r="G3124" s="3340">
        <v>42566</v>
      </c>
      <c r="H3124" s="3340">
        <v>42627</v>
      </c>
      <c r="I3124" s="3340">
        <v>42627</v>
      </c>
      <c r="J3124" s="3324"/>
    </row>
    <row r="3125" spans="1:10" s="3327" customFormat="1" ht="12.75" customHeight="1">
      <c r="A3125" s="3417"/>
      <c r="B3125" s="3336">
        <v>1</v>
      </c>
      <c r="C3125" s="3336" t="s">
        <v>4208</v>
      </c>
      <c r="D3125" s="3336" t="s">
        <v>5225</v>
      </c>
      <c r="E3125" s="3339">
        <v>1</v>
      </c>
      <c r="F3125" s="3339">
        <v>3125</v>
      </c>
      <c r="G3125" s="3340">
        <v>42801</v>
      </c>
      <c r="H3125" s="3340">
        <v>42824</v>
      </c>
      <c r="I3125" s="3340">
        <v>42824</v>
      </c>
      <c r="J3125" s="3324"/>
    </row>
    <row r="3126" spans="1:10" s="3327" customFormat="1" ht="12.75" customHeight="1">
      <c r="A3126" s="3417"/>
      <c r="B3126" s="3336" t="s">
        <v>5210</v>
      </c>
      <c r="C3126" s="3336" t="s">
        <v>3133</v>
      </c>
      <c r="D3126" s="3336" t="s">
        <v>5226</v>
      </c>
      <c r="E3126" s="3339">
        <v>1</v>
      </c>
      <c r="F3126" s="3339">
        <v>2500</v>
      </c>
      <c r="G3126" s="3340">
        <v>42309</v>
      </c>
      <c r="H3126" s="3340">
        <v>42459</v>
      </c>
      <c r="I3126" s="3340">
        <v>42460</v>
      </c>
      <c r="J3126" s="3324"/>
    </row>
    <row r="3127" spans="1:10" s="3327" customFormat="1" ht="12.75" customHeight="1">
      <c r="A3127" s="3417"/>
      <c r="B3127" s="3336">
        <v>1</v>
      </c>
      <c r="C3127" s="3336" t="s">
        <v>3133</v>
      </c>
      <c r="D3127" s="3336" t="s">
        <v>5226</v>
      </c>
      <c r="E3127" s="3339">
        <v>1</v>
      </c>
      <c r="F3127" s="3339">
        <v>3889</v>
      </c>
      <c r="G3127" s="3340">
        <v>42537</v>
      </c>
      <c r="H3127" s="3340">
        <v>42673</v>
      </c>
      <c r="I3127" s="3340">
        <v>42674</v>
      </c>
      <c r="J3127" s="3324"/>
    </row>
    <row r="3128" spans="1:10" s="3327" customFormat="1" ht="12.75" customHeight="1">
      <c r="A3128" s="3417"/>
      <c r="B3128" s="3331">
        <v>1</v>
      </c>
      <c r="C3128" s="3331" t="s">
        <v>3133</v>
      </c>
      <c r="D3128" s="3331" t="s">
        <v>5226</v>
      </c>
      <c r="E3128" s="3332">
        <v>1</v>
      </c>
      <c r="F3128" s="3332">
        <v>4545</v>
      </c>
      <c r="G3128" s="3333">
        <v>42705</v>
      </c>
      <c r="H3128" s="3333">
        <v>42946</v>
      </c>
      <c r="I3128" s="3333">
        <v>43039</v>
      </c>
      <c r="J3128" s="3324" t="s">
        <v>5215</v>
      </c>
    </row>
    <row r="3129" spans="1:10" s="3327" customFormat="1" ht="12.75" customHeight="1">
      <c r="A3129" s="3417"/>
      <c r="B3129" s="3331">
        <v>1</v>
      </c>
      <c r="C3129" s="3331" t="s">
        <v>4052</v>
      </c>
      <c r="D3129" s="3331" t="s">
        <v>5227</v>
      </c>
      <c r="E3129" s="3332">
        <v>1</v>
      </c>
      <c r="F3129" s="3332">
        <v>17422</v>
      </c>
      <c r="G3129" s="3333">
        <v>42936</v>
      </c>
      <c r="H3129" s="3333">
        <v>42977</v>
      </c>
      <c r="I3129" s="3333">
        <v>42978</v>
      </c>
      <c r="J3129" s="3324"/>
    </row>
    <row r="3130" spans="1:10" s="3327" customFormat="1" ht="12.75" customHeight="1">
      <c r="A3130" s="3417" t="s">
        <v>5210</v>
      </c>
      <c r="B3130" s="3331">
        <v>1</v>
      </c>
      <c r="C3130" s="3331" t="s">
        <v>4052</v>
      </c>
      <c r="D3130" s="3331" t="s">
        <v>5227</v>
      </c>
      <c r="E3130" s="3332">
        <v>1</v>
      </c>
      <c r="F3130" s="3332">
        <v>12583.33</v>
      </c>
      <c r="G3130" s="3333">
        <v>42979</v>
      </c>
      <c r="H3130" s="3333">
        <v>43130</v>
      </c>
      <c r="I3130" s="3333">
        <v>43190</v>
      </c>
      <c r="J3130" s="3324"/>
    </row>
    <row r="3131" spans="1:10" s="3327" customFormat="1" ht="12.75" customHeight="1">
      <c r="A3131" s="3417"/>
      <c r="B3131" s="3331">
        <v>1</v>
      </c>
      <c r="C3131" s="3331" t="s">
        <v>3443</v>
      </c>
      <c r="D3131" s="3331" t="s">
        <v>5228</v>
      </c>
      <c r="E3131" s="3332">
        <v>1</v>
      </c>
      <c r="F3131" s="3332">
        <v>17103</v>
      </c>
      <c r="G3131" s="3333">
        <v>42936</v>
      </c>
      <c r="H3131" s="3333">
        <v>42977</v>
      </c>
      <c r="I3131" s="3333">
        <v>42978</v>
      </c>
      <c r="J3131" s="3324"/>
    </row>
    <row r="3132" spans="1:10" s="3327" customFormat="1" ht="12.75" customHeight="1">
      <c r="A3132" s="3417" t="s">
        <v>5210</v>
      </c>
      <c r="B3132" s="3331">
        <v>1</v>
      </c>
      <c r="C3132" s="3331" t="s">
        <v>3147</v>
      </c>
      <c r="D3132" s="3331" t="s">
        <v>5228</v>
      </c>
      <c r="E3132" s="3332">
        <v>1</v>
      </c>
      <c r="F3132" s="3332">
        <v>12500</v>
      </c>
      <c r="G3132" s="3333">
        <v>42979</v>
      </c>
      <c r="H3132" s="3333">
        <v>43130</v>
      </c>
      <c r="I3132" s="3333">
        <v>43190</v>
      </c>
      <c r="J3132" s="3324"/>
    </row>
    <row r="3133" spans="1:10" s="3327" customFormat="1" ht="12.75" customHeight="1">
      <c r="A3133" s="3417" t="s">
        <v>5210</v>
      </c>
      <c r="B3133" s="3331">
        <v>-1</v>
      </c>
      <c r="C3133" s="3331" t="s">
        <v>3669</v>
      </c>
      <c r="D3133" s="3331" t="s">
        <v>5229</v>
      </c>
      <c r="E3133" s="3332">
        <v>1</v>
      </c>
      <c r="F3133" s="3332">
        <v>12500</v>
      </c>
      <c r="G3133" s="3333">
        <v>42917</v>
      </c>
      <c r="H3133" s="3333">
        <v>43130</v>
      </c>
      <c r="I3133" s="3333">
        <v>43281</v>
      </c>
      <c r="J3133" s="3324"/>
    </row>
    <row r="3134" spans="1:10" s="3327" customFormat="1" ht="12.75" customHeight="1">
      <c r="A3134" s="3417"/>
      <c r="B3134" s="3336" t="s">
        <v>5210</v>
      </c>
      <c r="C3134" s="3336" t="s">
        <v>3443</v>
      </c>
      <c r="D3134" s="3336" t="s">
        <v>5230</v>
      </c>
      <c r="E3134" s="3339">
        <v>1</v>
      </c>
      <c r="F3134" s="3339">
        <v>2727.3</v>
      </c>
      <c r="G3134" s="3340">
        <v>42309</v>
      </c>
      <c r="H3134" s="3340">
        <v>42459</v>
      </c>
      <c r="I3134" s="3340">
        <v>42460</v>
      </c>
      <c r="J3134" s="3324"/>
    </row>
    <row r="3135" spans="1:10" s="3327" customFormat="1" ht="15" customHeight="1">
      <c r="A3135" s="3417"/>
      <c r="B3135" s="3336">
        <v>-1</v>
      </c>
      <c r="C3135" s="3336" t="s">
        <v>3443</v>
      </c>
      <c r="D3135" s="3336" t="s">
        <v>5230</v>
      </c>
      <c r="E3135" s="3339">
        <v>1</v>
      </c>
      <c r="F3135" s="3339">
        <v>4348</v>
      </c>
      <c r="G3135" s="3340">
        <v>42537</v>
      </c>
      <c r="H3135" s="3340">
        <v>42824</v>
      </c>
      <c r="I3135" s="3340">
        <v>42825</v>
      </c>
      <c r="J3135" s="3324"/>
    </row>
    <row r="3136" spans="1:10" s="3327" customFormat="1" ht="15" customHeight="1">
      <c r="A3136" s="3417"/>
      <c r="B3136" s="3336">
        <v>-1</v>
      </c>
      <c r="C3136" s="3336" t="s">
        <v>3443</v>
      </c>
      <c r="D3136" s="3336" t="s">
        <v>5230</v>
      </c>
      <c r="E3136" s="3339">
        <v>1</v>
      </c>
      <c r="F3136" s="3339">
        <v>4675</v>
      </c>
      <c r="G3136" s="3340">
        <v>42537</v>
      </c>
      <c r="H3136" s="3340">
        <v>42643</v>
      </c>
      <c r="I3136" s="3340">
        <v>42643</v>
      </c>
      <c r="J3136" s="3324"/>
    </row>
    <row r="3137" spans="1:10" s="3327" customFormat="1" ht="15" customHeight="1">
      <c r="A3137" s="3417"/>
      <c r="B3137" s="3336" t="s">
        <v>5210</v>
      </c>
      <c r="C3137" s="3336" t="s">
        <v>5231</v>
      </c>
      <c r="D3137" s="3336" t="s">
        <v>5232</v>
      </c>
      <c r="E3137" s="3339">
        <v>1</v>
      </c>
      <c r="F3137" s="3339">
        <v>4545.45</v>
      </c>
      <c r="G3137" s="3340">
        <v>42309</v>
      </c>
      <c r="H3137" s="3340">
        <v>42459</v>
      </c>
      <c r="I3137" s="3340">
        <v>42460</v>
      </c>
      <c r="J3137" s="3324"/>
    </row>
    <row r="3138" spans="1:10" s="3327" customFormat="1" ht="15" customHeight="1">
      <c r="A3138" s="3417"/>
      <c r="B3138" s="3336" t="s">
        <v>5210</v>
      </c>
      <c r="C3138" s="3336" t="s">
        <v>5231</v>
      </c>
      <c r="D3138" s="3336" t="s">
        <v>5233</v>
      </c>
      <c r="E3138" s="3339">
        <v>1</v>
      </c>
      <c r="F3138" s="3339">
        <v>2727.27</v>
      </c>
      <c r="G3138" s="3340">
        <v>42309</v>
      </c>
      <c r="H3138" s="3340">
        <v>42459</v>
      </c>
      <c r="I3138" s="3340">
        <v>42460</v>
      </c>
      <c r="J3138" s="3324"/>
    </row>
    <row r="3139" spans="1:10" s="3327" customFormat="1" ht="15" customHeight="1">
      <c r="A3139" s="3417"/>
      <c r="B3139" s="3331">
        <v>5</v>
      </c>
      <c r="C3139" s="3331" t="s">
        <v>5231</v>
      </c>
      <c r="D3139" s="3331" t="s">
        <v>5233</v>
      </c>
      <c r="E3139" s="3332">
        <v>1</v>
      </c>
      <c r="F3139" s="3332">
        <v>5000</v>
      </c>
      <c r="G3139" s="3333">
        <v>42948</v>
      </c>
      <c r="H3139" s="3333">
        <v>42949</v>
      </c>
      <c r="I3139" s="3333">
        <v>43039</v>
      </c>
      <c r="J3139" s="3324"/>
    </row>
    <row r="3140" spans="1:10" s="3327" customFormat="1" ht="15" customHeight="1">
      <c r="A3140" s="3417" t="s">
        <v>5210</v>
      </c>
      <c r="B3140" s="3331">
        <v>5</v>
      </c>
      <c r="C3140" s="3331" t="s">
        <v>5093</v>
      </c>
      <c r="D3140" s="3331" t="s">
        <v>5233</v>
      </c>
      <c r="E3140" s="3332">
        <v>1</v>
      </c>
      <c r="F3140" s="3332">
        <v>10083.370000000001</v>
      </c>
      <c r="G3140" s="3333">
        <v>43040</v>
      </c>
      <c r="H3140" s="3333">
        <v>43130</v>
      </c>
      <c r="I3140" s="3333">
        <v>43404</v>
      </c>
      <c r="J3140" s="3324"/>
    </row>
    <row r="3141" spans="1:10" s="3327" customFormat="1" ht="15" customHeight="1">
      <c r="A3141" s="3417"/>
      <c r="B3141" s="3336">
        <v>1</v>
      </c>
      <c r="C3141" s="3336" t="s">
        <v>3975</v>
      </c>
      <c r="D3141" s="3336" t="s">
        <v>5234</v>
      </c>
      <c r="E3141" s="3339" t="s">
        <v>3872</v>
      </c>
      <c r="F3141" s="3339" t="s">
        <v>5235</v>
      </c>
      <c r="G3141" s="3340">
        <v>42556</v>
      </c>
      <c r="H3141" s="3340">
        <v>42824</v>
      </c>
      <c r="I3141" s="3340">
        <v>42825</v>
      </c>
      <c r="J3141" s="3324"/>
    </row>
    <row r="3142" spans="1:10" s="3327" customFormat="1" ht="15" customHeight="1">
      <c r="A3142" s="3417"/>
      <c r="B3142" s="3336">
        <v>-1</v>
      </c>
      <c r="C3142" s="3336" t="s">
        <v>3769</v>
      </c>
      <c r="D3142" s="3336" t="s">
        <v>5234</v>
      </c>
      <c r="E3142" s="3339">
        <v>1</v>
      </c>
      <c r="F3142" s="3339">
        <v>564</v>
      </c>
      <c r="G3142" s="3340">
        <v>42556</v>
      </c>
      <c r="H3142" s="3340">
        <v>42824</v>
      </c>
      <c r="I3142" s="3340">
        <v>42825</v>
      </c>
      <c r="J3142" s="3324"/>
    </row>
    <row r="3143" spans="1:10" s="3327" customFormat="1" ht="15" customHeight="1">
      <c r="A3143" s="3417"/>
      <c r="B3143" s="3336">
        <v>-1</v>
      </c>
      <c r="C3143" s="3336" t="s">
        <v>3720</v>
      </c>
      <c r="D3143" s="3336" t="s">
        <v>5234</v>
      </c>
      <c r="E3143" s="3339">
        <v>1</v>
      </c>
      <c r="F3143" s="3339">
        <v>564</v>
      </c>
      <c r="G3143" s="3340">
        <v>42556</v>
      </c>
      <c r="H3143" s="3340">
        <v>42824</v>
      </c>
      <c r="I3143" s="3340">
        <v>42825</v>
      </c>
      <c r="J3143" s="3324"/>
    </row>
    <row r="3144" spans="1:10" s="3327" customFormat="1" ht="15" customHeight="1">
      <c r="A3144" s="3417"/>
      <c r="B3144" s="3336">
        <v>-1</v>
      </c>
      <c r="C3144" s="3336" t="s">
        <v>3772</v>
      </c>
      <c r="D3144" s="3336" t="s">
        <v>5234</v>
      </c>
      <c r="E3144" s="3339">
        <v>1</v>
      </c>
      <c r="F3144" s="3339">
        <v>564</v>
      </c>
      <c r="G3144" s="3340">
        <v>42556</v>
      </c>
      <c r="H3144" s="3340">
        <v>42824</v>
      </c>
      <c r="I3144" s="3340">
        <v>42825</v>
      </c>
      <c r="J3144" s="3324"/>
    </row>
    <row r="3145" spans="1:10" s="3327" customFormat="1" ht="15" customHeight="1">
      <c r="A3145" s="3417"/>
      <c r="B3145" s="3336">
        <v>-1</v>
      </c>
      <c r="C3145" s="3336" t="s">
        <v>3549</v>
      </c>
      <c r="D3145" s="3336" t="s">
        <v>5234</v>
      </c>
      <c r="E3145" s="3339">
        <v>1</v>
      </c>
      <c r="F3145" s="3339">
        <v>564</v>
      </c>
      <c r="G3145" s="3340">
        <v>42556</v>
      </c>
      <c r="H3145" s="3340">
        <v>42824</v>
      </c>
      <c r="I3145" s="3340">
        <v>42825</v>
      </c>
      <c r="J3145" s="3324"/>
    </row>
    <row r="3146" spans="1:10" s="3327" customFormat="1" ht="15" customHeight="1">
      <c r="A3146" s="3417"/>
      <c r="B3146" s="3336">
        <v>-1</v>
      </c>
      <c r="C3146" s="3336" t="s">
        <v>3791</v>
      </c>
      <c r="D3146" s="3336" t="s">
        <v>5234</v>
      </c>
      <c r="E3146" s="3339">
        <v>1</v>
      </c>
      <c r="F3146" s="3339">
        <v>564</v>
      </c>
      <c r="G3146" s="3340">
        <v>42556</v>
      </c>
      <c r="H3146" s="3340">
        <v>42824</v>
      </c>
      <c r="I3146" s="3340">
        <v>42825</v>
      </c>
      <c r="J3146" s="3324"/>
    </row>
    <row r="3147" spans="1:10" s="3327" customFormat="1" ht="15" customHeight="1">
      <c r="A3147" s="3417"/>
      <c r="B3147" s="3336" t="s">
        <v>5210</v>
      </c>
      <c r="C3147" s="3336" t="s">
        <v>3596</v>
      </c>
      <c r="D3147" s="3336">
        <v>0</v>
      </c>
      <c r="E3147" s="3339">
        <v>1</v>
      </c>
      <c r="F3147" s="3339">
        <v>10000</v>
      </c>
      <c r="G3147" s="3340">
        <v>42217</v>
      </c>
      <c r="H3147" s="3340">
        <v>42368</v>
      </c>
      <c r="I3147" s="3340">
        <v>42369</v>
      </c>
      <c r="J3147" s="3324"/>
    </row>
    <row r="3148" spans="1:10" s="3327" customFormat="1" ht="15" customHeight="1">
      <c r="A3148" s="3417"/>
      <c r="B3148" s="3336" t="s">
        <v>5210</v>
      </c>
      <c r="C3148" s="3336" t="s">
        <v>4142</v>
      </c>
      <c r="D3148" s="3336">
        <v>0</v>
      </c>
      <c r="E3148" s="3339">
        <v>1</v>
      </c>
      <c r="F3148" s="3339">
        <v>6000</v>
      </c>
      <c r="G3148" s="3340">
        <v>42217</v>
      </c>
      <c r="H3148" s="3340">
        <v>42368</v>
      </c>
      <c r="I3148" s="3340">
        <v>42369</v>
      </c>
      <c r="J3148" s="3324"/>
    </row>
    <row r="3149" spans="1:10" s="3327" customFormat="1" ht="15" customHeight="1">
      <c r="A3149" s="3417"/>
      <c r="B3149" s="3336" t="s">
        <v>5210</v>
      </c>
      <c r="C3149" s="3336" t="s">
        <v>4218</v>
      </c>
      <c r="D3149" s="3336">
        <v>0</v>
      </c>
      <c r="E3149" s="3339">
        <v>1</v>
      </c>
      <c r="F3149" s="3339">
        <v>2500</v>
      </c>
      <c r="G3149" s="3340">
        <v>42248</v>
      </c>
      <c r="H3149" s="3340">
        <v>42459</v>
      </c>
      <c r="I3149" s="3340">
        <v>42460</v>
      </c>
      <c r="J3149" s="3324"/>
    </row>
    <row r="3150" spans="1:10" s="3327" customFormat="1" ht="17.25" customHeight="1">
      <c r="A3150" s="3417"/>
      <c r="B3150" s="3336" t="s">
        <v>5210</v>
      </c>
      <c r="C3150" s="3336" t="s">
        <v>4218</v>
      </c>
      <c r="D3150" s="3336">
        <v>0</v>
      </c>
      <c r="E3150" s="3339">
        <v>1</v>
      </c>
      <c r="F3150" s="3339">
        <v>5000</v>
      </c>
      <c r="G3150" s="3340">
        <v>42537</v>
      </c>
      <c r="H3150" s="3340">
        <v>42612</v>
      </c>
      <c r="I3150" s="3340">
        <v>42613</v>
      </c>
      <c r="J3150" s="3324"/>
    </row>
    <row r="3151" spans="1:10" s="3327" customFormat="1" ht="17.25" customHeight="1">
      <c r="A3151" s="3417"/>
      <c r="B3151" s="3331">
        <v>2</v>
      </c>
      <c r="C3151" s="3331" t="s">
        <v>4191</v>
      </c>
      <c r="D3151" s="3331" t="s">
        <v>5236</v>
      </c>
      <c r="E3151" s="3332">
        <v>1</v>
      </c>
      <c r="F3151" s="3332">
        <v>0</v>
      </c>
      <c r="G3151" s="3333">
        <v>43047</v>
      </c>
      <c r="H3151" s="3333">
        <v>43130</v>
      </c>
      <c r="I3151" s="3333">
        <v>43411</v>
      </c>
      <c r="J3151" s="3324"/>
    </row>
    <row r="3152" spans="1:10" s="3327" customFormat="1" ht="17.25" customHeight="1">
      <c r="A3152" s="3417" t="s">
        <v>5210</v>
      </c>
      <c r="B3152" s="3331">
        <v>2</v>
      </c>
      <c r="C3152" s="3331" t="s">
        <v>5237</v>
      </c>
      <c r="D3152" s="3331" t="s">
        <v>5238</v>
      </c>
      <c r="E3152" s="3332">
        <v>1</v>
      </c>
      <c r="F3152" s="3332">
        <v>3334</v>
      </c>
      <c r="G3152" s="3333">
        <v>42917</v>
      </c>
      <c r="H3152" s="3333">
        <v>43130</v>
      </c>
      <c r="I3152" s="3333">
        <v>43190</v>
      </c>
      <c r="J3152" s="3324" t="s">
        <v>5217</v>
      </c>
    </row>
    <row r="3153" spans="1:10" s="3327" customFormat="1" ht="17.25" customHeight="1">
      <c r="A3153" s="3417" t="s">
        <v>5210</v>
      </c>
      <c r="B3153" s="3331">
        <v>2</v>
      </c>
      <c r="C3153" s="3331" t="s">
        <v>5237</v>
      </c>
      <c r="D3153" s="3331" t="s">
        <v>5238</v>
      </c>
      <c r="E3153" s="3332">
        <v>1</v>
      </c>
      <c r="F3153" s="3332">
        <v>3334</v>
      </c>
      <c r="G3153" s="3333">
        <v>42917</v>
      </c>
      <c r="H3153" s="3333">
        <v>43130</v>
      </c>
      <c r="I3153" s="3333">
        <v>43190</v>
      </c>
      <c r="J3153" s="3324" t="s">
        <v>5217</v>
      </c>
    </row>
    <row r="3154" spans="1:10" s="3327" customFormat="1" ht="17.25" customHeight="1">
      <c r="A3154" s="3417" t="s">
        <v>5210</v>
      </c>
      <c r="B3154" s="3331">
        <v>4</v>
      </c>
      <c r="C3154" s="3331" t="s">
        <v>4939</v>
      </c>
      <c r="D3154" s="3331">
        <v>0</v>
      </c>
      <c r="E3154" s="3332">
        <v>1</v>
      </c>
      <c r="F3154" s="3332">
        <v>2500</v>
      </c>
      <c r="G3154" s="3333">
        <v>42887</v>
      </c>
      <c r="H3154" s="3333">
        <v>43130</v>
      </c>
      <c r="I3154" s="3333">
        <v>43190</v>
      </c>
      <c r="J3154" s="3324" t="s">
        <v>5217</v>
      </c>
    </row>
    <row r="3155" spans="1:10" s="3327" customFormat="1" ht="17.25" customHeight="1">
      <c r="A3155" s="3417" t="s">
        <v>5210</v>
      </c>
      <c r="B3155" s="3331">
        <v>4</v>
      </c>
      <c r="C3155" s="3331" t="s">
        <v>3154</v>
      </c>
      <c r="D3155" s="3331">
        <v>0</v>
      </c>
      <c r="E3155" s="3332">
        <v>1</v>
      </c>
      <c r="F3155" s="3332">
        <v>2500</v>
      </c>
      <c r="G3155" s="3333">
        <v>42887</v>
      </c>
      <c r="H3155" s="3333">
        <v>43130</v>
      </c>
      <c r="I3155" s="3333">
        <v>43251</v>
      </c>
      <c r="J3155" s="3324" t="s">
        <v>5217</v>
      </c>
    </row>
    <row r="3156" spans="1:10" s="3327" customFormat="1" ht="17.25" customHeight="1">
      <c r="A3156" s="3417"/>
      <c r="B3156" s="3331">
        <v>4</v>
      </c>
      <c r="C3156" s="3331" t="s">
        <v>3892</v>
      </c>
      <c r="D3156" s="3331" t="s">
        <v>5239</v>
      </c>
      <c r="E3156" s="3332">
        <v>1</v>
      </c>
      <c r="F3156" s="3332">
        <v>2500</v>
      </c>
      <c r="G3156" s="3333">
        <v>42675</v>
      </c>
      <c r="H3156" s="3333">
        <v>43038</v>
      </c>
      <c r="I3156" s="3333">
        <v>43039</v>
      </c>
      <c r="J3156" s="3324" t="s">
        <v>5217</v>
      </c>
    </row>
    <row r="3157" spans="1:10" ht="12.75" customHeight="1" outlineLevel="1">
      <c r="A3157" s="3361">
        <v>17</v>
      </c>
      <c r="B3157" s="3391"/>
      <c r="C3157" s="3427"/>
      <c r="D3157" s="3421"/>
      <c r="E3157" s="3402">
        <v>17</v>
      </c>
      <c r="F3157" s="3364">
        <v>282222.71999999997</v>
      </c>
      <c r="G3157" s="3421"/>
      <c r="H3157" s="3421"/>
      <c r="I3157" s="3421"/>
      <c r="J3157" s="3421"/>
    </row>
    <row r="3158" spans="1:10" ht="12.75" customHeight="1" outlineLevel="1" collapsed="1">
      <c r="A3158" s="3428">
        <v>424</v>
      </c>
      <c r="B3158" s="3391" t="s">
        <v>5119</v>
      </c>
      <c r="C3158" s="3427">
        <v>0</v>
      </c>
      <c r="D3158" s="3421">
        <v>0</v>
      </c>
      <c r="E3158" s="3429">
        <v>52969.939999999995</v>
      </c>
      <c r="F3158" s="3364">
        <v>777186.36</v>
      </c>
      <c r="G3158" s="3430"/>
      <c r="H3158" s="3430"/>
      <c r="I3158" s="3430"/>
      <c r="J3158" s="3430">
        <v>0</v>
      </c>
    </row>
  </sheetData>
  <mergeCells count="19">
    <mergeCell ref="R1:R3"/>
    <mergeCell ref="S1:S3"/>
    <mergeCell ref="Q1:Q3"/>
    <mergeCell ref="A4:A6"/>
    <mergeCell ref="B4:B6"/>
    <mergeCell ref="C4:J4"/>
    <mergeCell ref="C5:C6"/>
    <mergeCell ref="D5:D6"/>
    <mergeCell ref="E5:E6"/>
    <mergeCell ref="F5:F6"/>
    <mergeCell ref="G5:I5"/>
    <mergeCell ref="J5:J6"/>
    <mergeCell ref="A1:C1"/>
    <mergeCell ref="D1:F1"/>
    <mergeCell ref="O1:O3"/>
    <mergeCell ref="P1:P3"/>
    <mergeCell ref="A2:B2"/>
    <mergeCell ref="D2:F2"/>
    <mergeCell ref="A3:J3"/>
  </mergeCells>
  <phoneticPr fontId="144" type="noConversion"/>
  <dataValidations count="1">
    <dataValidation type="list" allowBlank="1" showInputMessage="1" showErrorMessage="1" sqref="J5:K6">
      <formula1>#REF!</formula1>
    </dataValidation>
  </dataValidations>
  <printOptions horizontalCentered="1"/>
  <pageMargins left="0.43307086614173229" right="3.937007874015748E-2" top="0.59055118110236227" bottom="0.47244094488188981" header="0.35433070866141736" footer="0.51181102362204722"/>
  <pageSetup paperSize="9" scale="10" firstPageNumber="4294963191" orientation="portrait" useFirstPageNumber="1" horizontalDpi="180" verticalDpi="180"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1149</v>
      </c>
      <c r="C1" s="3264"/>
      <c r="D1" s="3264"/>
      <c r="E1" s="3264"/>
      <c r="F1" s="3264"/>
      <c r="G1" s="3263" t="s">
        <v>1150</v>
      </c>
      <c r="H1" s="3263"/>
      <c r="I1" s="3263"/>
      <c r="J1" s="3263"/>
      <c r="K1" s="3263"/>
      <c r="L1" s="3263"/>
      <c r="N1" s="3263" t="s">
        <v>1151</v>
      </c>
      <c r="O1" s="3263"/>
      <c r="P1" s="3263"/>
      <c r="Q1" s="3263"/>
      <c r="R1" s="1449"/>
      <c r="S1" s="3263" t="s">
        <v>1152</v>
      </c>
      <c r="T1" s="3263"/>
      <c r="U1" s="3263"/>
      <c r="V1" s="3263"/>
      <c r="X1" s="3262" t="s">
        <v>1153</v>
      </c>
      <c r="Y1" s="3263"/>
      <c r="Z1" s="3263"/>
      <c r="AA1" s="3263"/>
      <c r="AB1" s="3263"/>
      <c r="AD1" s="3262" t="s">
        <v>1154</v>
      </c>
      <c r="AE1" s="3263"/>
      <c r="AF1" s="3263"/>
      <c r="AG1" s="3263"/>
      <c r="AH1" s="3263"/>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43" customFormat="1" ht="14.25">
      <c r="A3" s="2952" t="s">
        <v>3041</v>
      </c>
      <c r="B3" s="2944"/>
      <c r="C3" s="2944"/>
      <c r="D3" s="2945"/>
      <c r="E3" s="2945"/>
      <c r="F3" s="2944"/>
      <c r="G3" s="2946"/>
      <c r="H3" s="2947"/>
      <c r="I3" s="2948">
        <f>ROUND(AVERAGE($I6:$I21),2)</f>
        <v>2.4500000000000002</v>
      </c>
      <c r="J3" s="2948">
        <f>ROUND(AVERAGE($J6:$J21),2)</f>
        <v>1.65</v>
      </c>
      <c r="K3" s="2948">
        <f>ROUND(AVERAGE($K6:$K21),2)</f>
        <v>2.71</v>
      </c>
      <c r="L3" s="2948">
        <f>ROUND(AVERAGE($L6:$L21),2)</f>
        <v>1.39</v>
      </c>
      <c r="N3" s="2946"/>
      <c r="O3" s="2949"/>
      <c r="P3" s="2949"/>
      <c r="Q3" s="2949"/>
      <c r="R3" s="2949"/>
      <c r="S3" s="2946"/>
      <c r="T3" s="2949"/>
      <c r="U3" s="2949"/>
      <c r="V3" s="2949"/>
      <c r="W3" s="2941"/>
      <c r="X3" s="2950">
        <f>ROUND(SUMPRODUCT(PRODUCT(1+N3:N$20)),4)</f>
        <v>1.4274</v>
      </c>
      <c r="Y3" s="2950">
        <f>ROUND(SUMPRODUCT(PRODUCT(1+O3:O$20)),4)</f>
        <v>1.2685</v>
      </c>
      <c r="Z3" s="2950">
        <f t="shared" ref="Z3:Z18" si="0">Y3</f>
        <v>1.2685</v>
      </c>
      <c r="AA3" s="2950">
        <f>ROUND(SUMPRODUCT(PRODUCT(1+P3:P$20)),4)</f>
        <v>1.4825999999999999</v>
      </c>
      <c r="AB3" s="2950">
        <f>ROUND(SUMPRODUCT(PRODUCT(1+Q3:Q$20)),4)</f>
        <v>1.2309000000000001</v>
      </c>
      <c r="AD3" s="2951">
        <f>ROUND(AVERAGE(I3:I$21)/100,4)</f>
        <v>2.3099999999999999E-2</v>
      </c>
      <c r="AE3" s="2951">
        <f>ROUND(AVERAGE(J3:J$21)/100,4)</f>
        <v>1.5599999999999999E-2</v>
      </c>
      <c r="AF3" s="2951">
        <f t="shared" ref="AF3:AF19" si="1">AE3</f>
        <v>1.5599999999999999E-2</v>
      </c>
      <c r="AG3" s="2951">
        <f>ROUND(AVERAGE(K3:K$21)/100,4)</f>
        <v>2.5600000000000001E-2</v>
      </c>
      <c r="AH3" s="2951">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42"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5">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266">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7"/>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267"/>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268"/>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5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6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6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6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5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6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6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5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6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6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5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6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6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5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6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6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5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6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6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5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6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6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5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6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6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5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6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6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59">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60">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60">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61">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59">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60">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60">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6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7" t="s">
        <v>1638</v>
      </c>
      <c r="E3" s="1047" t="s">
        <v>1644</v>
      </c>
      <c r="F3" s="1047" t="s">
        <v>1638</v>
      </c>
      <c r="G3" s="1047" t="s">
        <v>1639</v>
      </c>
      <c r="H3" s="1047" t="s">
        <v>1638</v>
      </c>
      <c r="I3" s="1047" t="s">
        <v>1639</v>
      </c>
    </row>
    <row r="4" spans="1:9" ht="30">
      <c r="A4" s="1976" t="str">
        <f>项目基本情况!S2</f>
        <v>北京市丰台区西四环中路113号房地产</v>
      </c>
      <c r="B4" s="1047">
        <f>项目基本情况!C17</f>
        <v>70181.87</v>
      </c>
      <c r="C4" s="1047">
        <f>项目基本情况!C18</f>
        <v>31510.77</v>
      </c>
      <c r="D4" s="1047">
        <f ca="1">结果表!D118</f>
        <v>208088</v>
      </c>
      <c r="E4" s="1047">
        <f ca="1">结果表!E118</f>
        <v>29650</v>
      </c>
      <c r="F4" s="1047">
        <f ca="1">结果表!F118</f>
        <v>40524</v>
      </c>
      <c r="G4" s="1047">
        <f ca="1">结果表!G118</f>
        <v>5774</v>
      </c>
      <c r="H4" s="1047">
        <f ca="1">结果表!H118</f>
        <v>248612</v>
      </c>
      <c r="I4" s="1047">
        <f ca="1">结果表!I118</f>
        <v>35424</v>
      </c>
    </row>
    <row r="5" spans="1:9" ht="30" customHeight="1">
      <c r="A5" s="2968" t="s">
        <v>1640</v>
      </c>
      <c r="B5" s="2968"/>
      <c r="C5" s="2968"/>
      <c r="D5" s="2969" t="str">
        <f ca="1">结果表!D119</f>
        <v>贰拾亿捌仟零捌拾捌万元整</v>
      </c>
      <c r="E5" s="2969"/>
      <c r="F5" s="2969" t="str">
        <f ca="1">结果表!F119</f>
        <v>肆亿零伍佰贰拾肆万元整</v>
      </c>
      <c r="G5" s="2969"/>
      <c r="H5" s="2969" t="str">
        <f ca="1">结果表!H119</f>
        <v>贰拾肆亿捌仟陆佰壹拾贰万元整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1640</v>
      </c>
      <c r="B7" s="2968"/>
      <c r="C7" s="2968"/>
      <c r="D7" s="2970" t="str">
        <f>结果表!D121</f>
        <v>零元整</v>
      </c>
      <c r="E7" s="2971"/>
      <c r="F7" s="2971"/>
      <c r="G7" s="2971"/>
      <c r="H7" s="2971"/>
      <c r="I7" s="2972"/>
    </row>
    <row r="8" spans="1:9" ht="15.75">
      <c r="A8" s="2967" t="str">
        <f>结果表!A122</f>
        <v/>
      </c>
      <c r="B8" s="2967"/>
      <c r="C8" s="2967"/>
      <c r="D8" s="2967" t="str">
        <f>结果表!D122</f>
        <v>——</v>
      </c>
      <c r="E8" s="2967"/>
      <c r="F8" s="2967"/>
      <c r="G8" s="2967"/>
      <c r="H8" s="2967"/>
      <c r="I8" s="2967"/>
    </row>
    <row r="9" spans="1:9" ht="15">
      <c r="A9" s="2968" t="s">
        <v>1640</v>
      </c>
      <c r="B9" s="2968"/>
      <c r="C9" s="2968"/>
      <c r="D9" s="2969" t="e">
        <f>结果表!D123</f>
        <v>#VALUE!</v>
      </c>
      <c r="E9" s="2969"/>
      <c r="F9" s="2969"/>
      <c r="G9" s="2969"/>
      <c r="H9" s="2969"/>
      <c r="I9" s="2969"/>
    </row>
    <row r="10" spans="1:9" ht="15.75">
      <c r="A10" s="2967" t="str">
        <f>结果表!A124</f>
        <v>抵押担保权已注销时的房地产抵押价值</v>
      </c>
      <c r="B10" s="2967"/>
      <c r="C10" s="2967"/>
      <c r="D10" s="2967">
        <f ca="1">结果表!D124</f>
        <v>248612</v>
      </c>
      <c r="E10" s="2967"/>
      <c r="F10" s="2967"/>
      <c r="G10" s="2967"/>
      <c r="H10" s="2967"/>
      <c r="I10" s="2967"/>
    </row>
    <row r="11" spans="1:9" ht="15">
      <c r="A11" s="2968" t="s">
        <v>1640</v>
      </c>
      <c r="B11" s="2968"/>
      <c r="C11" s="2968"/>
      <c r="D11" s="2969" t="str">
        <f ca="1">结果表!D125</f>
        <v>贰拾肆亿捌仟陆佰壹拾贰万元整</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1640</v>
      </c>
      <c r="B13" s="2964"/>
      <c r="C13" s="2964"/>
      <c r="D13" s="2965" t="e">
        <f>结果表!D127</f>
        <v>#VALUE!</v>
      </c>
      <c r="E13" s="2965"/>
      <c r="F13" s="2965"/>
      <c r="G13" s="2965"/>
      <c r="H13" s="2965"/>
      <c r="I13" s="2965"/>
    </row>
    <row r="14" spans="1:9" ht="15" thickTop="1">
      <c r="A14" s="2966" t="s">
        <v>1645</v>
      </c>
      <c r="B14" s="2966"/>
      <c r="C14" s="2966"/>
      <c r="D14" s="2966"/>
      <c r="E14" s="2966"/>
      <c r="F14" s="2966"/>
      <c r="G14" s="2966"/>
      <c r="H14" s="2966"/>
      <c r="I14" s="296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tabSelected="1" workbookViewId="0">
      <selection activeCell="K9" sqref="K9"/>
    </sheetView>
  </sheetViews>
  <sheetFormatPr defaultRowHeight="13.5"/>
  <cols>
    <col min="4" max="4" width="10.25" customWidth="1"/>
  </cols>
  <sheetData>
    <row r="1" spans="2:11" ht="14.25" thickBot="1"/>
    <row r="2" spans="2:11" ht="27" thickTop="1">
      <c r="B2" s="3280" t="s">
        <v>3070</v>
      </c>
      <c r="C2" s="3281" t="s">
        <v>3071</v>
      </c>
      <c r="D2" s="3281" t="s">
        <v>3072</v>
      </c>
      <c r="E2" s="3281" t="s">
        <v>3073</v>
      </c>
    </row>
    <row r="3" spans="2:11">
      <c r="B3" s="3282">
        <v>113</v>
      </c>
      <c r="C3" s="3283">
        <v>-1</v>
      </c>
      <c r="D3" s="3283">
        <v>-101</v>
      </c>
      <c r="E3" s="3283">
        <v>12304.83</v>
      </c>
    </row>
    <row r="4" spans="2:11">
      <c r="B4" s="3282">
        <v>113</v>
      </c>
      <c r="C4" s="3283">
        <v>1</v>
      </c>
      <c r="D4" s="3283">
        <v>101</v>
      </c>
      <c r="E4" s="3283">
        <v>11669.09</v>
      </c>
    </row>
    <row r="5" spans="2:11">
      <c r="B5" s="3282">
        <v>113</v>
      </c>
      <c r="C5" s="3283">
        <v>2</v>
      </c>
      <c r="D5" s="3283">
        <v>201</v>
      </c>
      <c r="E5" s="3283">
        <v>11633.97</v>
      </c>
    </row>
    <row r="6" spans="2:11">
      <c r="B6" s="3282">
        <v>113</v>
      </c>
      <c r="C6" s="3283">
        <v>3</v>
      </c>
      <c r="D6" s="3283">
        <v>301</v>
      </c>
      <c r="E6" s="3283">
        <v>11667.07</v>
      </c>
    </row>
    <row r="7" spans="2:11">
      <c r="B7" s="3282">
        <v>113</v>
      </c>
      <c r="C7" s="3283">
        <v>4</v>
      </c>
      <c r="D7" s="3283">
        <v>401</v>
      </c>
      <c r="E7" s="3283">
        <v>11385.89</v>
      </c>
      <c r="K7">
        <v>23</v>
      </c>
    </row>
    <row r="8" spans="2:11">
      <c r="B8" s="3282">
        <v>113</v>
      </c>
      <c r="C8" s="3283">
        <v>5</v>
      </c>
      <c r="D8" s="3283">
        <v>501</v>
      </c>
      <c r="E8" s="3283">
        <v>11142.53</v>
      </c>
      <c r="K8">
        <v>23</v>
      </c>
    </row>
    <row r="9" spans="2:11">
      <c r="B9" s="3282">
        <v>113</v>
      </c>
      <c r="C9" s="3283">
        <v>5</v>
      </c>
      <c r="D9" s="3283">
        <v>502</v>
      </c>
      <c r="E9" s="3283">
        <v>378.49</v>
      </c>
      <c r="K9">
        <v>14</v>
      </c>
    </row>
    <row r="10" spans="2:11" ht="14.25" thickBot="1">
      <c r="B10" s="3284" t="s">
        <v>37</v>
      </c>
      <c r="C10" s="3285" t="s">
        <v>3074</v>
      </c>
      <c r="D10" s="3285" t="s">
        <v>70</v>
      </c>
      <c r="E10" s="3285">
        <v>70181.87</v>
      </c>
      <c r="K10">
        <f>SUM(K7:K9)</f>
        <v>60</v>
      </c>
    </row>
    <row r="11" spans="2:11" ht="14.25" thickTop="1"/>
    <row r="13" spans="2:11">
      <c r="C13" s="3288" t="s">
        <v>3083</v>
      </c>
      <c r="D13" s="3288" t="s">
        <v>3084</v>
      </c>
    </row>
    <row r="14" spans="2:11">
      <c r="C14" s="3289">
        <f>ROUND(1-(2018-2001)/60,2)</f>
        <v>0.72</v>
      </c>
      <c r="D14" s="3290">
        <v>0.85</v>
      </c>
      <c r="E14" s="3291">
        <f>ROUND(AVERAGE(C14:D14),2)</f>
        <v>0.79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1" t="s">
        <v>1662</v>
      </c>
      <c r="B1" s="2981"/>
      <c r="C1" s="2981"/>
      <c r="D1" s="2981"/>
    </row>
    <row r="2" spans="1:4" ht="18">
      <c r="A2" s="2982" t="s">
        <v>1646</v>
      </c>
      <c r="B2" s="2982"/>
      <c r="C2" s="2982"/>
      <c r="D2" s="2982"/>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82" t="s">
        <v>1652</v>
      </c>
      <c r="B6" s="2982"/>
      <c r="C6" s="2982"/>
      <c r="D6" s="2982"/>
    </row>
    <row r="7" spans="1:4" ht="18.75">
      <c r="A7" s="1980" t="s">
        <v>1647</v>
      </c>
      <c r="B7" s="1982" t="s">
        <v>1653</v>
      </c>
      <c r="C7" s="1980" t="s">
        <v>1649</v>
      </c>
      <c r="D7" s="1980" t="s">
        <v>1650</v>
      </c>
    </row>
    <row r="8" spans="1:4" ht="56.25" customHeight="1">
      <c r="A8" s="1986" t="s">
        <v>868</v>
      </c>
      <c r="B8" s="1986" t="s">
        <v>1</v>
      </c>
      <c r="C8" s="1983"/>
      <c r="D8" s="1984" t="s">
        <v>1651</v>
      </c>
    </row>
    <row r="9" spans="1:4">
      <c r="A9" s="728"/>
      <c r="B9" s="728"/>
      <c r="C9" s="728"/>
      <c r="D9" s="728"/>
    </row>
    <row r="10" spans="1:4" ht="18.75">
      <c r="A10" s="1987" t="s">
        <v>1654</v>
      </c>
      <c r="B10" s="728"/>
      <c r="C10" s="728"/>
      <c r="D10" s="728"/>
    </row>
    <row r="11" spans="1:4" ht="30" customHeight="1">
      <c r="A11" s="2983" t="s">
        <v>1655</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75"/>
      <c r="C15" s="2975"/>
      <c r="D15" s="2975"/>
    </row>
    <row r="16" spans="1:4" ht="30" customHeight="1">
      <c r="A16" s="2977" t="s">
        <v>1656</v>
      </c>
      <c r="B16" s="2977"/>
      <c r="C16" s="2977"/>
      <c r="D16" s="2977"/>
    </row>
    <row r="17" spans="1:4" ht="144" customHeight="1">
      <c r="A17" s="2977" t="s">
        <v>1657</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1658</v>
      </c>
      <c r="B22" s="2979"/>
      <c r="C22" s="2979"/>
      <c r="D22" s="297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9" t="s">
        <v>1669</v>
      </c>
      <c r="B15" s="2984" t="s">
        <v>136</v>
      </c>
      <c r="C15" s="2985"/>
    </row>
    <row r="16" spans="1:7" ht="13.5">
      <c r="A16" s="2990"/>
      <c r="B16" s="2984" t="s">
        <v>69</v>
      </c>
      <c r="C16" s="2985"/>
    </row>
    <row r="17" spans="1:3" ht="13.5">
      <c r="A17" s="2990"/>
      <c r="B17" s="2987" t="s">
        <v>1670</v>
      </c>
      <c r="C17" s="2003" t="s">
        <v>1669</v>
      </c>
    </row>
    <row r="18" spans="1:3" ht="13.5">
      <c r="A18" s="2990"/>
      <c r="B18" s="2987"/>
      <c r="C18" s="2003" t="s">
        <v>1671</v>
      </c>
    </row>
    <row r="19" spans="1:3" ht="13.5">
      <c r="A19" s="2990"/>
      <c r="B19" s="2987"/>
      <c r="C19" s="2003" t="s">
        <v>1672</v>
      </c>
    </row>
    <row r="20" spans="1:3" ht="13.5">
      <c r="A20" s="2991"/>
      <c r="B20" s="2986" t="s">
        <v>1673</v>
      </c>
      <c r="C20" s="2985"/>
    </row>
    <row r="21" spans="1:3" ht="13.5">
      <c r="A21" s="2004" t="s">
        <v>1674</v>
      </c>
      <c r="B21" s="2005"/>
      <c r="C21" s="2006"/>
    </row>
    <row r="22" spans="1:3" ht="13.5">
      <c r="A22" s="2988" t="s">
        <v>1675</v>
      </c>
      <c r="B22" s="2986" t="s">
        <v>1676</v>
      </c>
      <c r="C22" s="2985"/>
    </row>
    <row r="23" spans="1:3" ht="13.5">
      <c r="A23" s="2988"/>
      <c r="B23" s="2986" t="s">
        <v>1677</v>
      </c>
      <c r="C23" s="2985"/>
    </row>
    <row r="24" spans="1:3" ht="13.5">
      <c r="A24" s="2988"/>
      <c r="B24" s="2986" t="s">
        <v>1678</v>
      </c>
      <c r="C24" s="2985"/>
    </row>
    <row r="25" spans="1:3" ht="13.5">
      <c r="A25" s="2988"/>
      <c r="B25" s="2987" t="s">
        <v>1679</v>
      </c>
      <c r="C25" s="2003" t="s">
        <v>1680</v>
      </c>
    </row>
    <row r="26" spans="1:3" ht="13.5">
      <c r="A26" s="2988"/>
      <c r="B26" s="2987"/>
      <c r="C26" s="2003" t="s">
        <v>1681</v>
      </c>
    </row>
    <row r="27" spans="1:3" ht="13.5">
      <c r="A27" s="2988"/>
      <c r="B27" s="2987"/>
      <c r="C27" s="2003" t="s">
        <v>1682</v>
      </c>
    </row>
    <row r="28" spans="1:3" ht="13.5">
      <c r="A28" s="2988"/>
      <c r="B28" s="2987"/>
      <c r="C28" s="2003" t="s">
        <v>1683</v>
      </c>
    </row>
    <row r="29" spans="1:3" ht="13.5">
      <c r="A29" s="2988"/>
      <c r="B29" s="2987"/>
      <c r="C29" s="2003" t="s">
        <v>1684</v>
      </c>
    </row>
    <row r="30" spans="1:3" ht="13.5">
      <c r="A30" s="2988"/>
      <c r="B30" s="2987"/>
      <c r="C30" s="2003" t="s">
        <v>1685</v>
      </c>
    </row>
    <row r="31" spans="1:3" ht="13.5">
      <c r="A31" s="2988"/>
      <c r="B31" s="2987"/>
      <c r="C31" s="2003" t="s">
        <v>1686</v>
      </c>
    </row>
    <row r="32" spans="1:3" ht="13.5">
      <c r="A32" s="2988"/>
      <c r="B32" s="2987"/>
      <c r="C32" s="2003" t="s">
        <v>1687</v>
      </c>
    </row>
    <row r="33" spans="1:3" ht="13.5">
      <c r="A33" s="2988"/>
      <c r="B33" s="298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43158</v>
      </c>
      <c r="C2" s="1022" t="s">
        <v>825</v>
      </c>
      <c r="D2" s="1022"/>
    </row>
    <row r="3" spans="1:6" ht="24" customHeight="1">
      <c r="A3" s="1023" t="s">
        <v>826</v>
      </c>
      <c r="B3" s="1024" t="s">
        <v>827</v>
      </c>
      <c r="C3" s="2349" t="s">
        <v>828</v>
      </c>
      <c r="D3" s="2352" t="s">
        <v>829</v>
      </c>
      <c r="E3" s="1025" t="s">
        <v>830</v>
      </c>
      <c r="F3" s="1024" t="s">
        <v>828</v>
      </c>
    </row>
    <row r="4" spans="1:6" ht="24" customHeight="1">
      <c r="A4" s="1705" t="s">
        <v>831</v>
      </c>
      <c r="B4" s="1025">
        <f ca="1">IF(C4&lt;B2,"已过期",1119970066)</f>
        <v>1119970066</v>
      </c>
      <c r="C4" s="2350">
        <v>43849</v>
      </c>
      <c r="D4" s="2353" t="s">
        <v>831</v>
      </c>
      <c r="E4" s="1025">
        <f ca="1">IF(F4&lt;B2,"已过期",96010014)</f>
        <v>96010014</v>
      </c>
      <c r="F4" s="1033">
        <v>47118</v>
      </c>
    </row>
    <row r="5" spans="1:6" ht="24" customHeight="1">
      <c r="A5" s="1705" t="s">
        <v>832</v>
      </c>
      <c r="B5" s="1025">
        <f ca="1">IF(C5&lt;B2,"已过期",1119970074)</f>
        <v>1119970074</v>
      </c>
      <c r="C5" s="2350">
        <v>43849</v>
      </c>
      <c r="D5" s="2353" t="s">
        <v>832</v>
      </c>
      <c r="E5" s="1025">
        <f ca="1">IF(F5&lt;B2,"已过期",2002110027)</f>
        <v>2002110027</v>
      </c>
      <c r="F5" s="1033">
        <v>46752</v>
      </c>
    </row>
    <row r="6" spans="1:6" ht="24" customHeight="1">
      <c r="A6" s="1705" t="s">
        <v>833</v>
      </c>
      <c r="B6" s="1025">
        <f ca="1">IF(C6&lt;B2,"已过期",1119970111)</f>
        <v>1119970111</v>
      </c>
      <c r="C6" s="2350">
        <v>43849</v>
      </c>
      <c r="D6" s="2353" t="s">
        <v>833</v>
      </c>
      <c r="E6" s="1025">
        <f ca="1">IF(F6&lt;B2,"已过期",94010078)</f>
        <v>94010078</v>
      </c>
      <c r="F6" s="1033">
        <v>46387</v>
      </c>
    </row>
    <row r="7" spans="1:6" ht="24" customHeight="1">
      <c r="A7" s="1705" t="s">
        <v>834</v>
      </c>
      <c r="B7" s="1025">
        <f ca="1">IF(C7&lt;B2,"已过期",1120050019)</f>
        <v>1120050019</v>
      </c>
      <c r="C7" s="2350">
        <v>43359</v>
      </c>
      <c r="D7" s="2353" t="s">
        <v>834</v>
      </c>
      <c r="E7" s="1025">
        <f ca="1">IF(F7&lt;B2,"已过期",2002110030)</f>
        <v>2002110030</v>
      </c>
      <c r="F7" s="1033">
        <v>46387</v>
      </c>
    </row>
    <row r="8" spans="1:6" ht="24" customHeight="1">
      <c r="A8" s="1705" t="s">
        <v>835</v>
      </c>
      <c r="B8" s="1025">
        <f ca="1">IF(C8&lt;B2,"已过期",1120000080)</f>
        <v>1120000080</v>
      </c>
      <c r="C8" s="2350">
        <v>43849</v>
      </c>
      <c r="D8" s="2353" t="s">
        <v>835</v>
      </c>
      <c r="E8" s="1025">
        <f ca="1">IF(F8&lt;B2,"已过期",2000110082)</f>
        <v>2000110082</v>
      </c>
      <c r="F8" s="1033">
        <v>46387</v>
      </c>
    </row>
    <row r="9" spans="1:6" ht="24" customHeight="1">
      <c r="A9" s="1705" t="s">
        <v>836</v>
      </c>
      <c r="B9" s="1025">
        <f ca="1">IF(C9&lt;B2,"已过期",1419970001)</f>
        <v>1419970001</v>
      </c>
      <c r="C9" s="2350">
        <v>43867</v>
      </c>
      <c r="D9" s="2353" t="s">
        <v>836</v>
      </c>
      <c r="E9" s="1025">
        <f ca="1">IF(F9&lt;B2,"已过期",2002110125)</f>
        <v>2002110125</v>
      </c>
      <c r="F9" s="1033">
        <v>47118</v>
      </c>
    </row>
    <row r="10" spans="1:6" ht="24" customHeight="1">
      <c r="A10" s="1705" t="s">
        <v>837</v>
      </c>
      <c r="B10" s="1025">
        <f ca="1">IF(C10&lt;B2,"已过期",1120060040)</f>
        <v>1120060040</v>
      </c>
      <c r="C10" s="2350">
        <v>43483</v>
      </c>
      <c r="D10" s="2353" t="s">
        <v>837</v>
      </c>
      <c r="E10" s="1025">
        <f ca="1">IF(F10&lt;B2,"已过期",2004110096)</f>
        <v>2004110096</v>
      </c>
      <c r="F10" s="1033">
        <v>47118</v>
      </c>
    </row>
    <row r="11" spans="1:6" ht="24" customHeight="1">
      <c r="A11" s="1705" t="s">
        <v>838</v>
      </c>
      <c r="B11" s="1025">
        <f ca="1">IF(C11&lt;B2,"已过期",1120100036)</f>
        <v>1120100036</v>
      </c>
      <c r="C11" s="2350">
        <v>43622</v>
      </c>
      <c r="D11" s="2353" t="s">
        <v>838</v>
      </c>
      <c r="E11" s="1025">
        <f ca="1">IF(F11&lt;B2,"已过期",2010110070)</f>
        <v>2010110070</v>
      </c>
      <c r="F11" s="1033">
        <v>47907</v>
      </c>
    </row>
    <row r="12" spans="1:6" ht="24" customHeight="1">
      <c r="A12" s="1705"/>
      <c r="B12" s="1025"/>
      <c r="C12" s="2350"/>
      <c r="D12" s="2353"/>
      <c r="E12" s="1025"/>
      <c r="F12" s="1025"/>
    </row>
    <row r="13" spans="1:6" ht="24" customHeight="1">
      <c r="A13" s="1705" t="s">
        <v>839</v>
      </c>
      <c r="B13" s="1025">
        <f ca="1">IF(C13&lt;B2,"已过期",1120070131)</f>
        <v>1120070131</v>
      </c>
      <c r="C13" s="2350">
        <v>43814</v>
      </c>
      <c r="D13" s="2353" t="s">
        <v>839</v>
      </c>
      <c r="E13" s="1025">
        <v>2014110011</v>
      </c>
      <c r="F13" s="1033">
        <v>49302</v>
      </c>
    </row>
    <row r="14" spans="1:6" ht="24" customHeight="1">
      <c r="A14" s="1705" t="s">
        <v>840</v>
      </c>
      <c r="B14" s="1025">
        <f ca="1">IF(C14&lt;B2,"已过期",1120130020)</f>
        <v>1120130020</v>
      </c>
      <c r="C14" s="2350">
        <v>43622</v>
      </c>
      <c r="D14" s="2353"/>
      <c r="E14" s="1025"/>
      <c r="F14" s="1025"/>
    </row>
    <row r="15" spans="1:6" ht="24" customHeight="1">
      <c r="A15" s="1706" t="s">
        <v>1148</v>
      </c>
      <c r="B15" s="1025">
        <v>1120070085</v>
      </c>
      <c r="C15" s="2350">
        <v>43814</v>
      </c>
      <c r="D15" s="2354" t="s">
        <v>1148</v>
      </c>
      <c r="E15" s="1025">
        <v>2004110128</v>
      </c>
      <c r="F15" s="1026">
        <v>47118</v>
      </c>
    </row>
    <row r="16" spans="1:6" ht="24" customHeight="1">
      <c r="A16" s="1705" t="s">
        <v>841</v>
      </c>
      <c r="B16" s="1025">
        <f ca="1">IF(C16&lt;B2,"已过期",1120140022)</f>
        <v>1120140022</v>
      </c>
      <c r="C16" s="2350">
        <v>44029</v>
      </c>
      <c r="D16" s="2353" t="s">
        <v>841</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842</v>
      </c>
      <c r="E21" s="1025">
        <f ca="1">IF(F21&lt;B2,"已过期",2011110090)</f>
        <v>2011110090</v>
      </c>
      <c r="F21" s="1033">
        <v>48302</v>
      </c>
    </row>
    <row r="22" spans="1:7" ht="24" customHeight="1">
      <c r="A22" s="1705" t="s">
        <v>843</v>
      </c>
      <c r="B22" s="1025">
        <f ca="1">IF(C22&lt;B2,"已过期",1120020033)</f>
        <v>1120020033</v>
      </c>
      <c r="C22" s="2350">
        <v>43304</v>
      </c>
      <c r="D22" s="2353" t="s">
        <v>843</v>
      </c>
      <c r="E22" s="1025">
        <f ca="1">IF(F22&lt;B2,"已过期",2000110137)</f>
        <v>2000110137</v>
      </c>
      <c r="F22" s="1033">
        <v>46387</v>
      </c>
    </row>
    <row r="23" spans="1:7" ht="24" customHeight="1">
      <c r="A23" s="1705" t="s">
        <v>844</v>
      </c>
      <c r="B23" s="1025">
        <f ca="1">IF(C23&lt;B2,"已过期",1120130048)</f>
        <v>1120130048</v>
      </c>
      <c r="C23" s="2350">
        <v>43686</v>
      </c>
      <c r="D23" s="2353"/>
      <c r="E23" s="1025"/>
      <c r="F23" s="1025"/>
    </row>
    <row r="24" spans="1:7" s="1027" customFormat="1" ht="24" customHeight="1">
      <c r="A24" s="1706" t="s">
        <v>1332</v>
      </c>
      <c r="B24" s="1706" t="s">
        <v>1332</v>
      </c>
      <c r="C24" s="2351" t="s">
        <v>1332</v>
      </c>
      <c r="D24" s="2354" t="s">
        <v>1332</v>
      </c>
      <c r="E24" s="1706" t="s">
        <v>1332</v>
      </c>
      <c r="F24" s="1706" t="s">
        <v>1332</v>
      </c>
    </row>
    <row r="25" spans="1:7" ht="24" customHeight="1">
      <c r="A25" s="2992" t="s">
        <v>845</v>
      </c>
      <c r="B25" s="2992"/>
      <c r="C25" s="2992"/>
      <c r="D25" s="2992"/>
      <c r="E25" s="2992"/>
      <c r="F25" s="2992"/>
      <c r="G25" s="2992"/>
    </row>
    <row r="26" spans="1:7" s="1028" customFormat="1" ht="24" customHeight="1">
      <c r="A26" s="2993" t="s">
        <v>846</v>
      </c>
      <c r="B26" s="2993"/>
      <c r="C26" s="2994"/>
      <c r="D26" s="2995" t="s">
        <v>847</v>
      </c>
      <c r="E26" s="2993"/>
      <c r="F26" s="2993"/>
    </row>
    <row r="27" spans="1:7" s="1030" customFormat="1" ht="24" customHeight="1">
      <c r="A27" s="1029" t="s">
        <v>848</v>
      </c>
      <c r="B27" s="1024" t="s">
        <v>849</v>
      </c>
      <c r="C27" s="2349" t="s">
        <v>850</v>
      </c>
      <c r="D27" s="2357" t="s">
        <v>848</v>
      </c>
      <c r="E27" s="1024" t="s">
        <v>849</v>
      </c>
      <c r="F27" s="1024" t="s">
        <v>850</v>
      </c>
    </row>
    <row r="28" spans="1:7" s="1030" customFormat="1" ht="24" customHeight="1">
      <c r="A28" s="1031" t="s">
        <v>851</v>
      </c>
      <c r="B28" s="1032" t="s">
        <v>852</v>
      </c>
      <c r="C28" s="2355">
        <v>43725</v>
      </c>
      <c r="D28" s="2358" t="s">
        <v>853</v>
      </c>
      <c r="E28" s="1031" t="s">
        <v>854</v>
      </c>
      <c r="F28" s="1061">
        <v>44377</v>
      </c>
    </row>
    <row r="29" spans="1:7" s="1030" customFormat="1" ht="24" customHeight="1">
      <c r="A29" s="1031"/>
      <c r="B29" s="1031"/>
      <c r="C29" s="2356"/>
      <c r="D29" s="2358" t="s">
        <v>855</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基准地价修正2</vt:lpstr>
      <vt:lpstr>基准地价修正3</vt:lpstr>
      <vt:lpstr>基准地价修正4</vt:lpstr>
      <vt:lpstr>基准地价修正5</vt:lpstr>
      <vt:lpstr>典型户型修正</vt:lpstr>
      <vt:lpstr>基准地价（汇总）</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区片价</vt:lpstr>
      <vt:lpstr>因素修正幅度</vt:lpstr>
      <vt:lpstr>存贷款利率</vt:lpstr>
      <vt:lpstr>区片价（范围）</vt:lpstr>
      <vt:lpstr>明细表</vt:lpstr>
      <vt:lpstr>地价</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基准地价修正2!季度</vt:lpstr>
      <vt:lpstr>基准地价修正4!季度</vt:lpstr>
      <vt:lpstr>基准地价修正5!季度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2018-02-27T05:16:36Z</dcterms:modified>
</cp:coreProperties>
</file>