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sheetId="15"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81" i="33" l="1"/>
  <c r="F19" i="33"/>
  <c r="AA19" i="33"/>
  <c r="R48" i="33"/>
  <c r="E81" i="33"/>
  <c r="H19" i="33"/>
  <c r="AB19" i="33"/>
  <c r="T48" i="33"/>
  <c r="J19" i="33"/>
  <c r="AC19" i="33"/>
  <c r="V48" i="33"/>
  <c r="R49" i="33"/>
  <c r="C49" i="33"/>
  <c r="B3" i="33"/>
  <c r="C20" i="9"/>
  <c r="G1" i="15"/>
  <c r="F6" i="15"/>
  <c r="F8" i="15"/>
  <c r="F7" i="15"/>
  <c r="F9" i="15"/>
  <c r="C6" i="15"/>
  <c r="F4" i="73"/>
  <c r="I1" i="73"/>
  <c r="B39" i="1"/>
  <c r="F11" i="15"/>
  <c r="C10" i="15"/>
  <c r="C5" i="15"/>
  <c r="C32" i="15"/>
  <c r="C33" i="15"/>
  <c r="R6" i="1"/>
  <c r="F35" i="15"/>
  <c r="C34" i="15"/>
  <c r="C31" i="15"/>
  <c r="M6" i="1"/>
  <c r="T6" i="1"/>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B26" i="31"/>
  <c r="B25" i="31"/>
  <c r="B24" i="31"/>
  <c r="A26" i="31"/>
  <c r="A25" i="31"/>
  <c r="A24" i="31"/>
  <c r="C33" i="33"/>
  <c r="I7" i="33"/>
  <c r="G7" i="33"/>
  <c r="E7" i="33"/>
  <c r="Y6" i="1"/>
  <c r="N6" i="1"/>
  <c r="F19" i="6"/>
  <c r="I15" i="3"/>
  <c r="I14" i="3"/>
  <c r="I13" i="3"/>
  <c r="K14" i="78"/>
  <c r="N14" i="78"/>
  <c r="M14" i="78"/>
  <c r="L14" i="78"/>
  <c r="L7" i="78"/>
  <c r="L6" i="78"/>
  <c r="L5" i="78"/>
  <c r="L4" i="78"/>
  <c r="L7" i="77"/>
  <c r="L6" i="77"/>
  <c r="L5" i="77"/>
  <c r="L4" i="77"/>
  <c r="E83" i="78"/>
  <c r="F6" i="1"/>
  <c r="A6" i="1"/>
  <c r="G1" i="67"/>
  <c r="L48" i="67"/>
  <c r="J50" i="67"/>
  <c r="J51" i="67"/>
  <c r="M47" i="67"/>
  <c r="J53" i="67"/>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3" i="3"/>
  <c r="G13" i="3"/>
  <c r="H14" i="3"/>
  <c r="G14" i="3"/>
  <c r="H15" i="3"/>
  <c r="G15"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Q26" i="31"/>
  <c r="G26" i="31"/>
  <c r="I26" i="31"/>
  <c r="K26" i="31"/>
  <c r="M26" i="31"/>
  <c r="O26"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Q25" i="31"/>
  <c r="G25" i="31"/>
  <c r="I25" i="31"/>
  <c r="K25" i="31"/>
  <c r="M25" i="31"/>
  <c r="O25" i="31"/>
  <c r="R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19" i="6"/>
  <c r="E20" i="6"/>
  <c r="E21" i="6"/>
  <c r="K8" i="1"/>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M27" i="31"/>
  <c r="M28" i="31"/>
  <c r="S25"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D19" i="9"/>
  <c r="M9" i="67"/>
  <c r="E13" i="76"/>
  <c r="J15" i="67"/>
  <c r="B10" i="76"/>
  <c r="M27" i="67"/>
  <c r="AO8" i="1"/>
  <c r="F41" i="67"/>
  <c r="B8" i="76"/>
  <c r="F3" i="73"/>
  <c r="M29" i="67"/>
  <c r="E7" i="76"/>
  <c r="AO7" i="1"/>
  <c r="D2" i="21"/>
  <c r="B2" i="21"/>
  <c r="B2" i="33"/>
  <c r="C19" i="9"/>
  <c r="F20" i="31"/>
  <c r="D2" i="35"/>
  <c r="M21" i="15"/>
  <c r="L47" i="67"/>
  <c r="F5" i="73"/>
  <c r="M24" i="15"/>
  <c r="M26" i="15"/>
  <c r="D3" i="73"/>
  <c r="J57" i="15"/>
  <c r="J55" i="15"/>
  <c r="J58" i="15"/>
  <c r="J59" i="15"/>
  <c r="C76" i="15"/>
  <c r="L51" i="15"/>
  <c r="L57" i="15"/>
  <c r="L47" i="15"/>
  <c r="L58" i="15"/>
  <c r="L59" i="15"/>
  <c r="L60" i="15"/>
  <c r="F6" i="67"/>
  <c r="F7" i="67"/>
  <c r="F9" i="67"/>
  <c r="C6" i="67"/>
  <c r="F11" i="67"/>
  <c r="C10" i="67"/>
  <c r="C5" i="67"/>
  <c r="C32" i="67"/>
  <c r="C14" i="67"/>
  <c r="C15" i="67"/>
  <c r="F16" i="67"/>
  <c r="C16" i="67"/>
  <c r="C17" i="67"/>
  <c r="C18" i="67"/>
  <c r="C19" i="67"/>
  <c r="C20" i="67"/>
  <c r="F24" i="67"/>
  <c r="C23" i="67"/>
  <c r="C26" i="67"/>
  <c r="C24" i="67"/>
  <c r="C27" i="67"/>
  <c r="C28" i="67"/>
  <c r="C29" i="67"/>
  <c r="C33" i="67"/>
  <c r="F35" i="67"/>
  <c r="C34" i="67"/>
  <c r="C31" i="67"/>
  <c r="F36" i="67"/>
  <c r="C36" i="67"/>
  <c r="F13" i="67"/>
  <c r="C13" i="67"/>
  <c r="F37" i="67"/>
  <c r="C37" i="67"/>
  <c r="F38" i="67"/>
  <c r="C38" i="67"/>
  <c r="C30" i="67"/>
  <c r="C39" i="67"/>
  <c r="F42" i="67"/>
  <c r="F40" i="67"/>
  <c r="C40" i="67"/>
  <c r="M6" i="67"/>
  <c r="M8" i="67"/>
  <c r="M7" i="67"/>
  <c r="J6" i="67"/>
  <c r="M11" i="67"/>
  <c r="J10" i="67"/>
  <c r="J5" i="67"/>
  <c r="J26" i="67"/>
  <c r="J29" i="67"/>
  <c r="J57" i="67"/>
  <c r="J55" i="67"/>
  <c r="J58" i="67"/>
  <c r="J59" i="67"/>
  <c r="J60" i="67"/>
  <c r="C76" i="67"/>
  <c r="L51" i="67"/>
  <c r="L57" i="67"/>
  <c r="L58" i="67"/>
  <c r="L59" i="67"/>
  <c r="L60" i="67"/>
  <c r="L46" i="67"/>
  <c r="D2" i="67"/>
  <c r="B2" i="67"/>
  <c r="AO6" i="1"/>
  <c r="B12" i="76"/>
  <c r="E11" i="76"/>
  <c r="M29" i="15"/>
  <c r="F7" i="73"/>
  <c r="E10" i="76"/>
  <c r="M22" i="67"/>
  <c r="AO10" i="1"/>
  <c r="AO12" i="1"/>
  <c r="F6" i="73"/>
  <c r="M26" i="67"/>
  <c r="D34" i="9"/>
  <c r="M23" i="67"/>
  <c r="D2" i="37"/>
  <c r="E9" i="76"/>
  <c r="B3" i="21"/>
  <c r="E2" i="69"/>
  <c r="M21" i="67"/>
  <c r="E2" i="68"/>
  <c r="M27" i="15"/>
  <c r="E12" i="76"/>
  <c r="J15" i="15"/>
  <c r="M28" i="15"/>
  <c r="AO9" i="1"/>
  <c r="D2" i="36"/>
  <c r="M22" i="15"/>
  <c r="M24" i="67"/>
  <c r="B11" i="76"/>
  <c r="AO13" i="1"/>
  <c r="B13" i="76"/>
  <c r="B9" i="76"/>
  <c r="M28" i="67"/>
  <c r="AO11" i="1"/>
  <c r="B7" i="76"/>
  <c r="D35" i="9"/>
  <c r="E8" i="76"/>
  <c r="C65" i="40"/>
  <c r="D63" i="40"/>
  <c r="G16" i="1"/>
  <c r="J1" i="73"/>
  <c r="AA7" i="33"/>
  <c r="C36" i="11"/>
  <c r="C33" i="11"/>
  <c r="C39" i="11"/>
  <c r="C46" i="11"/>
  <c r="C45" i="11"/>
  <c r="C36" i="68"/>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AC7"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C103" i="9"/>
  <c r="D102" i="9"/>
  <c r="D21" i="9"/>
  <c r="B6" i="70"/>
  <c r="F69" i="15"/>
  <c r="F63" i="15"/>
  <c r="C62" i="15"/>
  <c r="F70" i="67"/>
  <c r="F64" i="67"/>
  <c r="Q50" i="15"/>
  <c r="I54" i="15"/>
  <c r="L56" i="15"/>
  <c r="F71" i="67"/>
  <c r="F66" i="15"/>
  <c r="F50" i="15"/>
  <c r="J18" i="15"/>
  <c r="B10" i="70"/>
  <c r="F68" i="67"/>
  <c r="F66" i="67"/>
  <c r="M59" i="67"/>
  <c r="N59" i="67"/>
  <c r="F68" i="15"/>
  <c r="N59" i="15"/>
  <c r="M59" i="15"/>
  <c r="F65" i="15"/>
  <c r="Q71" i="67"/>
  <c r="B13" i="70"/>
  <c r="B8" i="70"/>
  <c r="F63" i="67"/>
  <c r="C62" i="67"/>
  <c r="C21" i="9"/>
  <c r="D22" i="9"/>
  <c r="C102" i="9"/>
  <c r="G19" i="9"/>
  <c r="J20" i="15"/>
  <c r="D103" i="9"/>
  <c r="B20" i="31"/>
  <c r="B7" i="70"/>
  <c r="F69" i="67"/>
  <c r="J20" i="67"/>
  <c r="F71" i="15"/>
  <c r="F65" i="67"/>
  <c r="Q71" i="15"/>
  <c r="J18" i="67"/>
  <c r="F50" i="67"/>
  <c r="F51" i="67"/>
  <c r="B11" i="70"/>
  <c r="F51" i="15"/>
  <c r="F64" i="15"/>
  <c r="I54" i="67"/>
  <c r="Q50" i="67"/>
  <c r="L56" i="67"/>
  <c r="B12" i="70"/>
  <c r="B9" i="70"/>
  <c r="D7" i="73"/>
  <c r="D6" i="73"/>
  <c r="F31" i="15"/>
  <c r="M17" i="67"/>
  <c r="F59" i="67"/>
  <c r="F59" i="15"/>
  <c r="M17" i="15"/>
  <c r="F31"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32" i="9"/>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33" i="68"/>
  <c r="C39" i="68"/>
  <c r="J24" i="67"/>
  <c r="C35" i="9"/>
  <c r="F118" i="9"/>
  <c r="H118" i="9"/>
  <c r="C53" i="67"/>
  <c r="C48" i="67"/>
  <c r="J24" i="15"/>
  <c r="C53" i="15"/>
  <c r="C48" i="15"/>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I118" i="9"/>
  <c r="D14" i="74"/>
  <c r="H101" i="9"/>
  <c r="H119" i="9"/>
  <c r="H5" i="52"/>
  <c r="H4" i="52"/>
  <c r="C104" i="9"/>
  <c r="F4" i="52"/>
  <c r="B51" i="72"/>
  <c r="F119" i="9"/>
  <c r="F5" i="52"/>
  <c r="B53" i="72"/>
  <c r="G118" i="9"/>
  <c r="G4" i="52"/>
  <c r="B52" i="72"/>
  <c r="C43" i="68"/>
  <c r="C25" i="69"/>
  <c r="C43" i="69"/>
  <c r="C26" i="11"/>
  <c r="D22" i="11"/>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H107" i="9"/>
  <c r="M48" i="9"/>
  <c r="D5" i="53"/>
  <c r="I4" i="52"/>
  <c r="C105" i="9"/>
  <c r="E118" i="9"/>
  <c r="E4" i="52"/>
  <c r="B48" i="72"/>
  <c r="H102" i="9"/>
  <c r="D7" i="53"/>
  <c r="B21" i="72"/>
  <c r="C41" i="68"/>
  <c r="C49" i="68"/>
  <c r="C51" i="68"/>
  <c r="E14" i="74"/>
  <c r="B5" i="74"/>
  <c r="F14" i="74"/>
  <c r="C57" i="67"/>
  <c r="J17" i="67"/>
  <c r="C22" i="68"/>
  <c r="C31" i="68"/>
  <c r="C31" i="69"/>
  <c r="J14" i="67"/>
  <c r="J13" i="67"/>
  <c r="J23" i="67"/>
  <c r="C41" i="11"/>
  <c r="C49" i="11"/>
  <c r="C51" i="11"/>
  <c r="C41" i="69"/>
  <c r="C49" i="69"/>
  <c r="C51" i="69"/>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79" i="9"/>
  <c r="C95" i="9"/>
  <c r="D14" i="53"/>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<sst xmlns="http://schemas.openxmlformats.org/spreadsheetml/2006/main" count="8928" uniqueCount="3502">
  <si>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</si>
  <si>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</si>
  <si>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</si>
  <si>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</si>
  <si>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</si>
  <si>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</si>
  <si>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</si>
  <si>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</si>
  <si>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</si>
  <si>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</si>
  <si>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</si>
  <si>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</si>
  <si>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</si>
  <si>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</si>
  <si>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</si>
  <si>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</si>
  <si>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</si>
  <si>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</si>
  <si>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</si>
  <si>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</si>
  <si>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</si>
  <si>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</si>
  <si>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</si>
  <si>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</si>
  <si>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</si>
  <si>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</si>
  <si>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</si>
  <si>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</si>
  <si>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</si>
  <si>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</si>
  <si>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</si>
  <si>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</si>
  <si>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</si>
  <si>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</si>
  <si>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</si>
  <si>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</si>
  <si>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</si>
  <si>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</si>
  <si>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</si>
  <si>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</si>
  <si>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</si>
  <si>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</si>
  <si>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</si>
  <si>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</si>
  <si>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</si>
  <si>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</si>
  <si>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</si>
  <si>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</si>
  <si>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</si>
  <si>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</si>
  <si>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</si>
  <si>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</si>
  <si>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</si>
  <si>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</si>
  <si>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</si>
  <si>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</si>
  <si>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</si>
  <si>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</si>
  <si>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</si>
  <si>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</si>
  <si>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</si>
  <si>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</si>
  <si>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</si>
  <si>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</si>
  <si>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</si>
  <si>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</si>
  <si>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</si>
  <si>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</si>
  <si>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</si>
  <si>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</si>
  <si>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</si>
  <si>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</si>
  <si>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</si>
  <si>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</si>
  <si>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</si>
  <si>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</si>
  <si>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</si>
  <si>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</si>
  <si>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</si>
  <si>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</si>
  <si>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</si>
  <si>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</si>
  <si>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</si>
  <si>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</si>
  <si>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</si>
  <si>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</si>
  <si>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</si>
  <si>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</si>
  <si>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</si>
  <si>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</si>
  <si>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</si>
  <si>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</si>
  <si>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</si>
  <si>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</si>
  <si>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</si>
  <si>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</si>
  <si>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</si>
  <si>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</si>
  <si>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</si>
  <si>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</si>
  <si>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</si>
  <si>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</si>
  <si>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</si>
  <si>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</si>
  <si>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</si>
  <si>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</si>
  <si>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</si>
  <si>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</si>
  <si>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</si>
  <si>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</si>
  <si>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</si>
  <si>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</si>
  <si>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</si>
  <si>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</si>
  <si>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</si>
  <si>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</si>
  <si>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</si>
  <si>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</si>
  <si>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</si>
  <si>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</si>
  <si>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</si>
  <si>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</si>
  <si>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</si>
  <si>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</si>
  <si>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</si>
  <si>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</si>
  <si>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</si>
  <si>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</si>
  <si>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</si>
  <si>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</si>
  <si>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</si>
  <si>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</si>
  <si>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</si>
  <si>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</si>
  <si>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</si>
  <si>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</si>
  <si>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</si>
  <si>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</si>
  <si>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</si>
  <si>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</si>
  <si>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</si>
  <si>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</si>
  <si>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</si>
  <si>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</si>
  <si>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</si>
  <si>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</si>
  <si>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</si>
  <si>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</si>
  <si>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</si>
  <si>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</si>
  <si>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</si>
  <si>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</si>
  <si>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</si>
  <si>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</si>
  <si>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</si>
  <si>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</si>
  <si>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</si>
  <si>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</si>
  <si>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</si>
  <si>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</si>
  <si>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</si>
  <si>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</si>
  <si>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</si>
  <si>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</si>
  <si>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</si>
  <si>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</si>
  <si>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</si>
  <si>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</si>
  <si>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</si>
  <si>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</si>
  <si>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</si>
  <si>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</si>
  <si>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</si>
  <si>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</si>
  <si>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</si>
  <si>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</si>
  <si>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</si>
  <si>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</si>
  <si>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</si>
  <si>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</si>
  <si>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</si>
  <si>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</si>
  <si>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</si>
  <si>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</si>
  <si>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</si>
  <si>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</si>
  <si>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</si>
  <si>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</si>
  <si>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</si>
  <si>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</si>
  <si>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</si>
  <si>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</si>
  <si>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</si>
  <si>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</si>
  <si>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</si>
  <si>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</si>
  <si>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</si>
  <si>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</si>
  <si>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</si>
  <si>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</si>
  <si>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</si>
  <si>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</si>
  <si>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</si>
  <si>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</si>
  <si>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</si>
  <si>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</si>
  <si>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</si>
  <si>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</si>
  <si>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</si>
  <si>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</si>
  <si>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</si>
  <si>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</si>
  <si>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</si>
  <si>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</si>
  <si>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</si>
  <si>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</si>
  <si>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</si>
  <si>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</si>
  <si>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</si>
  <si>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</si>
  <si>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</si>
  <si>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</si>
  <si>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</si>
  <si>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</si>
  <si>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</si>
  <si>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</si>
  <si>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</si>
  <si>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</si>
  <si>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</si>
  <si>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</si>
  <si>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</si>
  <si>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</si>
  <si>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</si>
  <si>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</si>
  <si>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</si>
  <si>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</si>
  <si>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</si>
  <si>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</si>
  <si>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</si>
  <si>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</si>
  <si>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</si>
  <si>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</si>
  <si>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</si>
  <si>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</si>
  <si>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</si>
  <si>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</si>
  <si>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</si>
  <si>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</si>
  <si>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</si>
  <si>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</si>
  <si>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</si>
  <si>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</si>
  <si>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</si>
  <si>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</si>
  <si>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</si>
  <si>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</si>
  <si>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</si>
  <si>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</si>
  <si>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</si>
  <si>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</si>
  <si>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</si>
  <si>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</si>
  <si>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</si>
  <si>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</si>
  <si>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</si>
  <si>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</si>
  <si>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</si>
  <si>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</si>
  <si>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</si>
  <si>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</si>
  <si>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</si>
  <si>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</si>
  <si>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</si>
  <si>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</si>
  <si>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</si>
  <si>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</si>
  <si>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</si>
  <si>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</si>
  <si>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</si>
  <si>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</si>
  <si>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</si>
  <si>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</si>
  <si>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</si>
  <si>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</si>
  <si>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</si>
  <si>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</si>
  <si>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</si>
  <si>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</si>
  <si>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</si>
  <si>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</si>
  <si>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</si>
  <si>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</si>
  <si>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</si>
  <si>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</si>
  <si>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</si>
  <si>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</si>
  <si>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</si>
  <si>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</si>
  <si>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</si>
  <si>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</si>
  <si>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</si>
  <si>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</si>
  <si>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</si>
  <si>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</si>
  <si>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</si>
  <si>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</si>
  <si>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</si>
  <si>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</si>
  <si>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</si>
  <si>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</si>
  <si>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</si>
  <si>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</si>
  <si>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</si>
  <si>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</si>
  <si>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</si>
  <si>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</si>
  <si>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</si>
  <si>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</si>
  <si>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</si>
  <si>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</si>
  <si>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</si>
  <si>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</si>
  <si>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</si>
  <si>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</si>
  <si>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</si>
  <si>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</si>
  <si>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</si>
  <si>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</si>
  <si>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</si>
  <si>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</si>
  <si>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</si>
  <si>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</si>
  <si>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</si>
  <si>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</si>
  <si>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</si>
  <si>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</si>
  <si>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</si>
  <si>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</si>
  <si>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</si>
  <si>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</si>
  <si>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</si>
  <si>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</si>
  <si>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</si>
  <si>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</si>
  <si>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</si>
  <si>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</si>
  <si>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</si>
  <si>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</si>
  <si>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</si>
  <si>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</si>
  <si>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</si>
  <si>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</si>
  <si>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</si>
  <si>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</si>
  <si>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</si>
  <si>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</si>
  <si>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</si>
  <si>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</si>
  <si>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</si>
  <si>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</si>
  <si>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</si>
  <si>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</si>
  <si>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</si>
  <si>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</si>
  <si>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</si>
  <si>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</si>
  <si>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</si>
  <si>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</si>
  <si>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</si>
  <si>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</si>
  <si>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</si>
  <si>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</si>
  <si>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</si>
  <si>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</si>
  <si>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</si>
  <si>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</si>
  <si>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</si>
  <si>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</si>
  <si>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</si>
  <si>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</si>
  <si>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</si>
  <si>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</si>
  <si>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</si>
  <si>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</si>
  <si>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</si>
  <si>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</si>
  <si>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</si>
  <si>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</si>
  <si>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</si>
  <si>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</si>
  <si>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</si>
  <si>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</si>
  <si>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</si>
  <si>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</si>
  <si>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</si>
  <si>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</si>
  <si>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</si>
  <si>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</si>
  <si>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</si>
  <si>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</si>
  <si>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</si>
  <si>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</si>
  <si>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</si>
  <si>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</si>
  <si>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</si>
  <si>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</si>
  <si>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</si>
  <si>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</si>
  <si>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</si>
  <si>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</si>
  <si>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</si>
  <si>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</si>
  <si>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</si>
  <si>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</si>
  <si>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</si>
  <si>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</si>
  <si>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</si>
  <si>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</si>
  <si>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</si>
  <si>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</si>
  <si>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</si>
  <si>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</si>
  <si>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</si>
  <si>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</si>
  <si>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</si>
  <si>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</si>
  <si>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</si>
  <si>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</si>
  <si>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</si>
  <si>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</si>
  <si>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</si>
  <si>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</si>
  <si>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</si>
  <si>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</si>
  <si>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</si>
  <si>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</si>
  <si>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</si>
  <si>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</si>
  <si>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</si>
  <si>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</si>
  <si>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</si>
  <si>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</si>
  <si>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</si>
  <si>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</si>
  <si>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</si>
  <si>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</si>
  <si>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</si>
  <si>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</si>
  <si>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</si>
  <si>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</si>
  <si>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</si>
  <si>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</si>
  <si>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</si>
  <si>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</si>
  <si>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</si>
  <si>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</si>
  <si>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</si>
  <si>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</si>
  <si>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</si>
  <si>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</si>
  <si>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</si>
  <si>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</si>
  <si>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</si>
  <si>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</si>
  <si>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</si>
  <si>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</si>
  <si>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</si>
  <si>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</si>
  <si>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</si>
  <si>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</si>
  <si>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</si>
  <si>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</si>
  <si>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</si>
  <si>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</si>
  <si>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</si>
  <si>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</si>
  <si>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</si>
  <si>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</si>
  <si>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</si>
  <si>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</si>
  <si>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</si>
  <si>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</si>
  <si>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</si>
  <si>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</si>
  <si>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</si>
  <si>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</si>
  <si>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</si>
  <si>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</si>
  <si>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</si>
  <si>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</si>
  <si>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</si>
  <si>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</si>
  <si>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</si>
  <si>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</si>
  <si>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</si>
  <si>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</si>
  <si>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</si>
  <si>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</si>
  <si>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</si>
  <si>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</si>
  <si>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</si>
  <si>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</si>
  <si>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</si>
  <si>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</si>
  <si>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</si>
  <si>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</si>
  <si>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</si>
  <si>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</si>
  <si>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</si>
  <si>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</si>
  <si>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</si>
  <si>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</si>
  <si>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</si>
  <si>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</si>
  <si>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</si>
  <si>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</si>
  <si>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</si>
  <si>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</si>
  <si>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</si>
  <si>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</si>
  <si>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</si>
  <si>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</si>
  <si>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</si>
  <si>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</si>
  <si>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</si>
  <si>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</si>
  <si>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</si>
  <si>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</si>
  <si>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</si>
  <si>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</si>
  <si>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</si>
  <si>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</si>
  <si>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</si>
  <si>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</si>
  <si>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</si>
  <si>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</si>
  <si>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</si>
  <si>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</si>
  <si>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</si>
  <si>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</si>
  <si>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</si>
  <si>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</si>
  <si>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</si>
  <si>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</si>
  <si>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</si>
  <si>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</si>
  <si>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</si>
  <si>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</si>
  <si>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</si>
  <si>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</si>
  <si>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</si>
  <si>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</si>
  <si>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</si>
  <si>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</si>
  <si>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</si>
  <si>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</si>
  <si>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</si>
  <si>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</si>
  <si>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</si>
  <si>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</si>
  <si>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</si>
  <si>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</si>
  <si>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</si>
  <si>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</si>
  <si>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</si>
  <si>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</si>
  <si>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</si>
  <si>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</si>
  <si>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</si>
  <si>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</si>
  <si>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</si>
  <si>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</si>
  <si>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</si>
  <si>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</si>
  <si>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</si>
  <si>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</si>
  <si>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</si>
  <si>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</si>
  <si>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</si>
  <si>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</si>
  <si>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</si>
  <si>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</si>
  <si>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</si>
  <si>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</si>
  <si>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</si>
  <si>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</si>
  <si>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</si>
  <si>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</si>
  <si>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</si>
  <si>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</si>
  <si>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</si>
  <si>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</si>
  <si>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</si>
  <si>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</si>
  <si>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</si>
  <si>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</si>
  <si>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</si>
  <si>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</si>
  <si>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</si>
  <si>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</si>
  <si>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</si>
  <si>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</si>
  <si>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</si>
  <si>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</si>
  <si>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</si>
  <si>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</si>
  <si>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</si>
  <si>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</si>
  <si>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</si>
  <si>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</si>
  <si>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</si>
  <si>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</si>
  <si>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</si>
  <si>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</si>
  <si>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</si>
  <si>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</si>
  <si>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</si>
  <si>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</si>
  <si>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</si>
  <si>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</si>
  <si>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</si>
  <si>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</si>
  <si>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</si>
  <si>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</si>
  <si>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</si>
  <si>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</si>
  <si>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</si>
  <si>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</si>
  <si>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</si>
  <si>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</si>
  <si>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</si>
  <si>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</si>
  <si>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</si>
  <si>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</si>
  <si>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</si>
  <si>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</si>
  <si>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</si>
  <si>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</si>
  <si>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</si>
  <si>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</si>
  <si>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</si>
  <si>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</si>
  <si>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</si>
  <si>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</si>
  <si>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</si>
  <si>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</si>
  <si>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</si>
  <si>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</si>
  <si>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</si>
  <si>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</si>
  <si>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</si>
  <si>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</si>
  <si>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</si>
  <si>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</si>
  <si>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</si>
  <si>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</si>
  <si>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</si>
  <si>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</si>
  <si>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</si>
  <si>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</si>
  <si>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</si>
  <si>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</si>
  <si>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</si>
  <si>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</si>
  <si>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</si>
  <si>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</si>
  <si>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</si>
  <si>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</si>
  <si>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</si>
  <si>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</si>
  <si>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</si>
  <si>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</si>
  <si>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</si>
  <si>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</si>
  <si>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</si>
  <si>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</si>
  <si>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</si>
  <si>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</si>
  <si>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</si>
  <si>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</si>
  <si>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</si>
  <si>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</si>
  <si>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</si>
  <si>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</si>
  <si>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</si>
  <si>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</si>
  <si>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</si>
  <si>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</si>
  <si>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</si>
  <si>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</si>
  <si>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</si>
  <si>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</si>
  <si>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</si>
  <si>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</si>
  <si>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</si>
  <si>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</si>
  <si>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</si>
  <si>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</si>
  <si>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</si>
  <si>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</si>
  <si>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</si>
  <si>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</si>
  <si>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</si>
  <si>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</si>
  <si>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</si>
  <si>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</si>
  <si>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</si>
  <si>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</si>
  <si>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</si>
  <si>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</si>
  <si>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</si>
  <si>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</si>
  <si>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</si>
  <si>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</si>
  <si>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</si>
  <si>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</si>
  <si>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</si>
  <si>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</si>
  <si>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</si>
  <si>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</si>
  <si>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</si>
  <si>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</si>
  <si>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</si>
  <si>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</si>
  <si>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</si>
  <si>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</si>
  <si>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</si>
  <si>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</si>
  <si>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</si>
  <si>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</si>
  <si>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</si>
  <si>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</si>
  <si>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</si>
  <si>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</si>
  <si>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</si>
  <si>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</si>
  <si>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</si>
  <si>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</si>
  <si>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</si>
  <si>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</si>
  <si>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</si>
  <si>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</si>
  <si>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</si>
  <si>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</si>
  <si>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</si>
  <si>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</si>
  <si>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</si>
  <si>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</si>
  <si>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</si>
  <si>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</si>
  <si>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</si>
  <si>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</si>
  <si>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</si>
  <si>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</si>
  <si>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</si>
  <si>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</si>
  <si>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</si>
  <si>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</si>
  <si>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</si>
  <si>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</si>
  <si>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</si>
  <si>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</si>
  <si>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</si>
  <si>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</si>
  <si>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</si>
  <si>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</si>
  <si>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</si>
  <si>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</si>
  <si>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</si>
  <si>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</si>
  <si>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</si>
  <si>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</si>
  <si>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</si>
  <si>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</si>
  <si>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</si>
  <si>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</si>
  <si>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</si>
  <si>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</si>
  <si>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</si>
  <si>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</si>
  <si>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</si>
  <si>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</si>
  <si>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</si>
  <si>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</si>
  <si>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</si>
  <si>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</si>
  <si>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</si>
  <si>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</si>
  <si>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</si>
  <si>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</si>
  <si>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</si>
  <si>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</si>
  <si>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</si>
  <si>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</si>
  <si>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</si>
  <si>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</si>
  <si>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</si>
  <si>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</si>
  <si>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</si>
  <si>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</si>
  <si>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</si>
  <si>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</si>
  <si>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</si>
  <si>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</si>
  <si>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</si>
  <si>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</si>
  <si>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</si>
  <si>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</si>
  <si>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</si>
  <si>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</si>
  <si>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</si>
  <si>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</si>
  <si>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</si>
  <si>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</si>
  <si>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</si>
  <si>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</si>
  <si>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</si>
  <si>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</si>
  <si>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</si>
  <si>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</si>
  <si>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</si>
  <si>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</si>
  <si>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</si>
  <si>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</si>
  <si>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</si>
  <si>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</si>
  <si>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</si>
  <si>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</si>
  <si>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</si>
  <si>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</si>
  <si>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</si>
  <si>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</si>
  <si>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</si>
  <si>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</si>
  <si>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</si>
  <si>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</si>
  <si>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</si>
  <si>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</si>
  <si>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</si>
  <si>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</si>
  <si>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</si>
  <si>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</si>
  <si>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</si>
  <si>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</si>
  <si>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</si>
  <si>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</si>
  <si>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</si>
  <si>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</si>
  <si>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</si>
  <si>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</si>
  <si>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</si>
  <si>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</si>
  <si>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</si>
  <si>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</si>
  <si>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</si>
  <si>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</si>
  <si>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</si>
  <si>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</si>
  <si>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</si>
  <si>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</si>
  <si>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</si>
  <si>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</si>
  <si>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</si>
  <si>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</si>
  <si>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</si>
  <si>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</si>
  <si>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</si>
  <si>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</si>
  <si>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</si>
  <si>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</si>
  <si>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</si>
  <si>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</si>
  <si>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</si>
  <si>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</si>
  <si>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</si>
  <si>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</si>
  <si>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</si>
  <si>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</si>
  <si>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</si>
  <si>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</si>
  <si>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</si>
  <si>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</si>
  <si>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</si>
  <si>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</si>
  <si>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</si>
  <si>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</si>
  <si>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</si>
  <si>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</si>
  <si>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</si>
  <si>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</si>
  <si>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</si>
  <si>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</si>
  <si>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</si>
  <si>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</si>
  <si>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</si>
  <si>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</si>
  <si>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</si>
  <si>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</si>
  <si>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</si>
  <si>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</si>
  <si>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</si>
  <si>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</si>
  <si>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</si>
  <si>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</si>
  <si>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</si>
  <si>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</si>
  <si>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</si>
  <si>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</si>
  <si>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</si>
  <si>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</si>
  <si>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</si>
  <si>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</si>
  <si>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</si>
  <si>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</si>
  <si>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</si>
  <si>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</si>
  <si>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</si>
  <si>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</si>
  <si>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</si>
  <si>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</si>
  <si>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</si>
  <si>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</si>
  <si>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</si>
  <si>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</si>
  <si>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</si>
  <si>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</si>
  <si>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</si>
  <si>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</si>
  <si>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</si>
  <si>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</si>
  <si>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</si>
  <si>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</si>
  <si>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</si>
  <si>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</si>
  <si>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</si>
  <si>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</si>
  <si>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</si>
  <si>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</si>
  <si>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</si>
  <si>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</si>
  <si>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</si>
  <si>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</si>
  <si>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</si>
  <si>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</si>
  <si>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</si>
  <si>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</si>
  <si>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</si>
  <si>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</si>
  <si>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</si>
  <si>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</si>
  <si>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</si>
  <si>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</si>
  <si>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</si>
  <si>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</si>
  <si>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</si>
  <si>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</si>
  <si>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</si>
  <si>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</si>
  <si>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</si>
  <si>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</si>
  <si>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</si>
  <si>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</si>
  <si>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</si>
  <si>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</si>
  <si>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</si>
  <si>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</si>
  <si>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</si>
  <si>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</si>
  <si>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</si>
  <si>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</si>
  <si>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</si>
  <si>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</si>
  <si>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</si>
  <si>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</si>
  <si>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</si>
  <si>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</si>
  <si>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</si>
  <si>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</si>
  <si>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</si>
  <si>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</si>
  <si>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</si>
  <si>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</si>
  <si>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</si>
  <si>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</si>
  <si>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</si>
  <si>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</si>
  <si>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</si>
  <si>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</si>
  <si>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</si>
  <si>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</si>
  <si>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</si>
  <si>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</si>
  <si>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</si>
  <si>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</si>
  <si>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</si>
  <si>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</si>
  <si>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</si>
  <si>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</si>
  <si>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</si>
  <si>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</si>
  <si>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</si>
  <si>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</si>
  <si>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</si>
  <si>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</si>
  <si>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</si>
  <si>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</si>
  <si>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</si>
  <si>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</si>
  <si>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</si>
  <si>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</si>
  <si>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</si>
  <si>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</si>
  <si>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</si>
  <si>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</si>
  <si>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</si>
  <si>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</si>
  <si>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</si>
  <si>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</si>
  <si>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</si>
  <si>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</si>
  <si>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</si>
  <si>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</si>
  <si>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</si>
  <si>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</si>
  <si>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</si>
  <si>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</si>
  <si>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</si>
  <si>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</si>
  <si>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</si>
  <si>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</si>
  <si>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</si>
  <si>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</si>
  <si>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</si>
  <si>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</si>
  <si>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</si>
  <si>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</si>
  <si>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</si>
  <si>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</si>
  <si>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</si>
  <si>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</si>
  <si>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</si>
  <si>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</si>
  <si>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</si>
  <si>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</si>
  <si>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</si>
  <si>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</si>
  <si>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</si>
  <si>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</si>
  <si>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</si>
  <si>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</si>
  <si>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</si>
  <si>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</si>
  <si>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</si>
  <si>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</si>
  <si>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</si>
  <si>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</si>
  <si>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</si>
  <si>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</si>
  <si>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</si>
  <si>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</si>
  <si>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</si>
  <si>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</si>
  <si>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</si>
  <si>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</si>
  <si>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</si>
  <si>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</si>
  <si>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</si>
  <si>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</si>
  <si>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</si>
  <si>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</si>
  <si>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</si>
  <si>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</si>
  <si>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</si>
  <si>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</si>
  <si>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</si>
  <si>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</si>
  <si>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</si>
  <si>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</si>
  <si>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</si>
  <si>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</si>
  <si>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</si>
  <si>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</si>
  <si>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</si>
  <si>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</si>
  <si>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</si>
  <si>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</si>
  <si>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</si>
  <si>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</si>
  <si>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</si>
  <si>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</si>
  <si>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</si>
  <si>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</si>
  <si>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</si>
  <si>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</si>
  <si>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</si>
  <si>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</si>
  <si>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</si>
  <si>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</si>
  <si>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</si>
  <si>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</si>
  <si>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</si>
  <si>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</si>
  <si>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</si>
  <si>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</si>
  <si>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</si>
  <si>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</si>
  <si>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</si>
  <si>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</si>
  <si>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</si>
  <si>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</si>
  <si>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</si>
  <si>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</si>
  <si>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</si>
  <si>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</si>
  <si>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</si>
  <si>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</si>
  <si>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</si>
  <si>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</si>
  <si>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</si>
  <si>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</si>
  <si>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</si>
  <si>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</si>
  <si>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</si>
  <si>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</si>
  <si>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</si>
  <si>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</si>
  <si>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</si>
  <si>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</si>
  <si>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</si>
  <si>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</si>
  <si>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</si>
  <si>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</si>
  <si>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</si>
  <si>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</si>
  <si>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</si>
  <si>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</si>
  <si>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</si>
  <si>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</si>
  <si>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</si>
  <si>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</si>
  <si>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</si>
  <si>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</si>
  <si>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</si>
  <si>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</si>
  <si>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</si>
  <si>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</si>
  <si>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</si>
  <si>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</si>
  <si>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</si>
  <si>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</si>
  <si>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</si>
  <si>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</si>
  <si>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</si>
  <si>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</si>
  <si>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</si>
  <si>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</si>
  <si>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</si>
  <si>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</si>
  <si>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</si>
  <si>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</si>
  <si>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</si>
  <si>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</si>
  <si>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</si>
  <si>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</si>
  <si>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</si>
  <si>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</si>
  <si>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</si>
  <si>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</si>
  <si>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</si>
  <si>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</si>
  <si>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</si>
  <si>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</si>
  <si>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</si>
  <si>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</si>
  <si>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</si>
  <si>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</si>
  <si>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</si>
  <si>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</si>
  <si>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</si>
  <si>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</si>
  <si>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</si>
  <si>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</si>
  <si>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</si>
  <si>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</si>
  <si>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</si>
  <si>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</si>
  <si>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</si>
  <si>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</si>
  <si>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</si>
  <si>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</si>
  <si>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</si>
  <si>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</si>
  <si>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</si>
  <si>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</si>
  <si>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</si>
  <si>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</si>
  <si>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</si>
  <si>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</si>
  <si>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</si>
  <si>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</si>
  <si>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</si>
  <si>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</si>
  <si>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</si>
  <si>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</si>
  <si>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</si>
  <si>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</si>
  <si>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</si>
  <si>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</si>
  <si>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</si>
  <si>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</si>
  <si>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</si>
  <si>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</si>
  <si>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</si>
  <si>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</si>
  <si>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</si>
  <si>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</si>
  <si>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</si>
  <si>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</si>
  <si>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</si>
  <si>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</si>
  <si>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</si>
  <si>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</si>
  <si>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</si>
  <si>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</si>
  <si>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</si>
  <si>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</si>
  <si>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</si>
  <si>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</si>
  <si>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</si>
  <si>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</si>
  <si>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</si>
  <si>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</si>
  <si>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</si>
  <si>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</si>
  <si>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</si>
  <si>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</si>
  <si>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</si>
  <si>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</si>
  <si>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</si>
  <si>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</si>
  <si>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</si>
  <si>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</si>
  <si>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</si>
  <si>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</si>
  <si>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</si>
  <si>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</si>
  <si>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</si>
  <si>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</si>
  <si>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</si>
  <si>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</si>
  <si>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</si>
  <si>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</si>
  <si>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</si>
  <si>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</si>
  <si>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</si>
  <si>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</si>
  <si>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</si>
  <si>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</si>
  <si>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</si>
  <si>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</si>
  <si>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</si>
  <si>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</si>
  <si>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</si>
  <si>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</si>
  <si>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</si>
  <si>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</si>
  <si>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</si>
  <si>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</si>
  <si>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</si>
  <si>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</si>
  <si>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</si>
  <si>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</si>
  <si>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</si>
  <si>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</si>
  <si>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</si>
  <si>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</si>
  <si>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</si>
  <si>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</si>
  <si>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</si>
  <si>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</si>
  <si>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</si>
  <si>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</si>
  <si>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</si>
  <si>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</si>
  <si>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</si>
  <si>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</si>
  <si>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</si>
  <si>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</si>
  <si>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</si>
  <si>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</si>
  <si>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</si>
  <si>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</si>
  <si>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</si>
  <si>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</si>
  <si>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</si>
  <si>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</si>
  <si>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</si>
  <si>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</si>
  <si>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</si>
  <si>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</si>
  <si>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</si>
  <si>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</si>
  <si>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</si>
  <si>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</si>
  <si>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</si>
  <si>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</si>
  <si>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</si>
  <si>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</si>
  <si>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</si>
  <si>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</si>
  <si>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</si>
  <si>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</si>
  <si>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</si>
  <si>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</si>
  <si>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</si>
  <si>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</si>
  <si>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</si>
  <si>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</si>
  <si>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</si>
  <si>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</si>
  <si>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</si>
  <si>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</si>
  <si>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</si>
  <si>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</si>
  <si>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</si>
  <si>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</si>
  <si>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</si>
  <si>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</si>
  <si>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</si>
  <si>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</si>
  <si>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</si>
  <si>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</si>
  <si>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</si>
  <si>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</si>
  <si>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</si>
  <si>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</si>
  <si>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</si>
  <si>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</si>
  <si>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</si>
  <si>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</si>
  <si>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</si>
  <si>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</si>
  <si>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</si>
  <si>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</si>
  <si>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</si>
  <si>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</si>
  <si>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</si>
  <si>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</si>
  <si>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</si>
  <si>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</si>
  <si>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</si>
  <si>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</si>
  <si>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</si>
  <si>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</si>
  <si>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</si>
  <si>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</si>
  <si>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</si>
  <si>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</si>
  <si>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</si>
  <si>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</si>
  <si>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</si>
  <si>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</si>
  <si>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</si>
  <si>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</si>
  <si>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</si>
  <si>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</si>
  <si>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</si>
  <si>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</si>
  <si>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</si>
  <si>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</si>
  <si>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</si>
  <si>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</si>
  <si>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</si>
  <si>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</si>
  <si>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</si>
  <si>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</si>
  <si>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</si>
  <si>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</si>
  <si>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</si>
  <si>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</si>
  <si>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</si>
  <si>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</si>
  <si>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</si>
  <si>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</si>
  <si>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</si>
  <si>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</si>
  <si>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</si>
  <si>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</si>
  <si>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</si>
  <si>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</si>
  <si>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</si>
  <si>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</si>
  <si>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</si>
  <si>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</si>
  <si>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</si>
  <si>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</si>
  <si>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</si>
  <si>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</si>
  <si>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</si>
  <si>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</si>
  <si>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</si>
  <si>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</si>
  <si>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</si>
  <si>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</si>
  <si>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</si>
  <si>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</si>
  <si>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</si>
  <si>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</si>
  <si>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</si>
  <si>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</si>
  <si>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</si>
  <si>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</si>
  <si>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</si>
  <si>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</si>
  <si>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</si>
  <si>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</si>
  <si>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</si>
  <si>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</si>
  <si>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</si>
  <si>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</si>
  <si>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</si>
  <si>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</si>
  <si>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</si>
  <si>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</si>
  <si>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</si>
  <si>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</si>
  <si>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</si>
  <si>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</si>
  <si>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</si>
  <si>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</si>
  <si>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</si>
  <si>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</si>
  <si>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</si>
  <si>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</si>
  <si>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</si>
  <si>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</si>
  <si>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</si>
  <si>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</si>
  <si>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</si>
  <si>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</si>
  <si>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</si>
  <si>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</si>
  <si>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</si>
  <si>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</si>
  <si>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</si>
  <si>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</si>
  <si>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</si>
  <si>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</si>
  <si>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</si>
  <si>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</si>
  <si>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</si>
  <si>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</si>
  <si>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</si>
  <si>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</si>
  <si>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</si>
  <si>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</si>
  <si>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</si>
  <si>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</si>
  <si>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</si>
  <si>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</si>
  <si>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</si>
  <si>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</si>
  <si>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</si>
  <si>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</si>
  <si>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</si>
  <si>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</si>
  <si>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</si>
  <si>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</si>
  <si>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</si>
  <si>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</si>
  <si>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</si>
  <si>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</si>
  <si>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</si>
  <si>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</si>
  <si>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</si>
  <si>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</si>
  <si>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</si>
  <si>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</si>
  <si>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</si>
  <si>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</si>
  <si>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</si>
  <si>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</si>
  <si>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</si>
  <si>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</si>
  <si>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</si>
  <si>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</si>
  <si>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</si>
  <si>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</si>
  <si>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</si>
  <si>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</si>
  <si>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</si>
  <si>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</si>
  <si>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</si>
  <si>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</si>
  <si>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</si>
  <si>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</si>
  <si>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</si>
  <si>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</si>
  <si>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</si>
  <si>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</si>
  <si>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</si>
  <si>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</si>
  <si>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</si>
  <si>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</si>
  <si>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</si>
  <si>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</si>
  <si>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</si>
  <si>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</si>
  <si>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</si>
  <si>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</si>
  <si>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</si>
  <si>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</si>
  <si>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</si>
  <si>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</si>
  <si>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</si>
  <si>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</si>
  <si>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</si>
  <si>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</si>
  <si>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</si>
  <si>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</si>
  <si>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</si>
  <si>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</si>
  <si>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</si>
  <si>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</si>
  <si>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</si>
  <si>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</si>
  <si>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</si>
  <si>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</si>
  <si>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</si>
  <si>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</si>
  <si>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</si>
  <si>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</si>
  <si>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</si>
  <si>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</si>
  <si>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</si>
  <si>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</si>
  <si>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</si>
  <si>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</si>
  <si>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</si>
  <si>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</si>
  <si>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</si>
  <si>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</si>
  <si>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</si>
  <si>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</si>
  <si>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</si>
  <si>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</si>
  <si>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</si>
  <si>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</si>
  <si>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</si>
  <si>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</si>
  <si>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</si>
  <si>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</si>
  <si>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</si>
  <si>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</si>
  <si>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</si>
  <si>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</si>
  <si>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</si>
  <si>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</si>
  <si>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</si>
  <si>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</si>
  <si>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</si>
  <si>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</si>
  <si>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</si>
  <si>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</si>
  <si>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</si>
  <si>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</si>
  <si>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</si>
  <si>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</si>
  <si>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</si>
  <si>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</si>
  <si>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</si>
  <si>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</si>
  <si>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</si>
  <si>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</si>
  <si>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</si>
  <si>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</si>
  <si>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</si>
  <si>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</si>
  <si>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</si>
  <si>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</si>
  <si>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</si>
  <si>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</si>
  <si>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</si>
  <si>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</si>
  <si>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</si>
  <si>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</si>
  <si>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</si>
  <si>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</si>
  <si>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</si>
  <si>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</si>
  <si>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</si>
  <si>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</si>
  <si>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</si>
  <si>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</si>
  <si>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</si>
  <si>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</si>
  <si>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</si>
  <si>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</si>
  <si>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</si>
  <si>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</si>
  <si>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</si>
  <si>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</si>
  <si>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</si>
  <si>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</si>
  <si>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</si>
  <si>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</si>
  <si>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</si>
  <si>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</si>
  <si>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</si>
  <si>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</si>
  <si>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</si>
  <si>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</si>
  <si>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</si>
  <si>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</si>
  <si>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</si>
  <si>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</si>
  <si>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</si>
  <si>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</si>
  <si>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</si>
  <si>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</si>
  <si>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</si>
  <si>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</si>
  <si>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</si>
  <si>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</si>
  <si>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</si>
  <si>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</si>
  <si>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</si>
  <si>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</si>
  <si>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</si>
  <si>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</si>
  <si>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</si>
  <si>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</si>
  <si>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</si>
  <si>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</si>
  <si>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</si>
  <si>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</si>
  <si>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</si>
  <si>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</si>
  <si>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</si>
  <si>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</si>
  <si>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</si>
  <si>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</si>
  <si>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</si>
  <si>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</si>
  <si>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</si>
  <si>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</si>
  <si>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</si>
  <si>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</si>
  <si>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</si>
  <si>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</si>
  <si>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</si>
  <si>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</si>
  <si>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</si>
  <si>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</si>
  <si>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</si>
  <si>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</si>
  <si>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</si>
  <si>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</si>
  <si>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</si>
  <si>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</si>
  <si>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</si>
  <si>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</si>
  <si>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</si>
  <si>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</si>
  <si>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</si>
  <si>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</si>
  <si>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</si>
  <si>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</si>
  <si>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</si>
  <si>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</si>
  <si>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</si>
  <si>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</si>
  <si>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</si>
  <si>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</si>
  <si>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</si>
  <si>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</si>
  <si>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</si>
  <si>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</si>
  <si>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</si>
  <si>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</si>
  <si>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</si>
  <si>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</si>
  <si>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</si>
  <si>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</si>
  <si>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</si>
  <si>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</si>
  <si>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</si>
  <si>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</si>
  <si>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</si>
  <si>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</si>
  <si>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</si>
  <si>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</si>
  <si>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</si>
  <si>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</si>
  <si>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</si>
  <si>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</si>
  <si>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</si>
  <si>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</si>
  <si>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</si>
  <si>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</si>
  <si>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</si>
  <si>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</si>
  <si>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</si>
  <si>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</si>
  <si>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</si>
  <si>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</si>
  <si>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</si>
  <si>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</si>
  <si>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</si>
  <si>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</si>
  <si>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</si>
  <si>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</si>
  <si>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</si>
  <si>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</si>
  <si>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</si>
  <si>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</si>
  <si>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</si>
  <si>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</si>
  <si>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</si>
  <si>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</si>
  <si>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</si>
  <si>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</si>
  <si>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</si>
  <si>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</si>
  <si>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</si>
  <si>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</si>
  <si>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</si>
  <si>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</si>
  <si>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</si>
  <si>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</si>
  <si>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</si>
  <si>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</si>
  <si>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</si>
  <si>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</si>
  <si>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</si>
  <si>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</si>
  <si>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</si>
  <si>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</si>
  <si>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</si>
  <si>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</si>
  <si>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</si>
  <si>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</si>
  <si>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</si>
  <si>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</si>
  <si>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</si>
  <si>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</si>
  <si>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</si>
  <si>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</si>
  <si>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</si>
  <si>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</si>
  <si>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</si>
  <si>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</si>
  <si>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</si>
  <si>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</si>
  <si>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</si>
  <si>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</si>
  <si>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</si>
  <si>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</si>
  <si>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</si>
  <si>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</si>
  <si>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</si>
  <si>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</si>
  <si>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</si>
  <si>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</si>
  <si>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</si>
  <si>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</si>
  <si>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</si>
  <si>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</si>
  <si>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</si>
  <si>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</si>
  <si>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</si>
  <si>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</si>
  <si>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</si>
  <si>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</si>
  <si>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</si>
  <si>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</si>
  <si>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</si>
  <si>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</si>
  <si>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</si>
  <si>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</si>
  <si>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</si>
  <si>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</si>
  <si>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</si>
  <si>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</si>
  <si>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</si>
  <si>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</si>
  <si>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</si>
  <si>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</si>
  <si>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</si>
  <si>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</si>
  <si>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</si>
  <si>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</si>
  <si>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</si>
  <si>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</si>
  <si>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</si>
  <si>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</si>
  <si>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</si>
  <si>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</si>
  <si>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</si>
  <si>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</si>
  <si>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</si>
  <si>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</si>
  <si>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</si>
  <si>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</si>
  <si>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</si>
  <si>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</si>
  <si>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</si>
  <si>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</si>
  <si>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</si>
  <si>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</si>
  <si>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</si>
  <si>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</si>
  <si>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</si>
  <si>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</si>
  <si>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</si>
  <si>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</si>
  <si>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</si>
  <si>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</si>
  <si>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</si>
  <si>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</si>
  <si>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</si>
  <si>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</si>
  <si>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</si>
  <si>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</si>
  <si>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</si>
  <si>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</si>
  <si>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</si>
  <si>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</si>
  <si>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</si>
  <si>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</si>
  <si>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</si>
  <si>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</si>
  <si>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</si>
  <si>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</si>
  <si>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</si>
  <si>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</si>
  <si>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</si>
  <si>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</si>
  <si>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</si>
  <si>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</si>
  <si>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</si>
  <si>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</si>
  <si>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</si>
  <si>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</si>
  <si>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</si>
  <si>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</si>
  <si>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</si>
  <si>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</si>
  <si>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</si>
  <si>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</si>
  <si>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</si>
  <si>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</si>
  <si>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</si>
  <si>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</si>
  <si>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</si>
  <si>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</si>
  <si>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</si>
  <si>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</si>
  <si>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</si>
  <si>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</si>
  <si>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</si>
  <si>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</si>
  <si>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</si>
  <si>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</si>
  <si>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</si>
  <si>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</si>
  <si>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</si>
  <si>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</si>
  <si>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</si>
  <si>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</si>
  <si>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</si>
  <si>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</si>
  <si>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</si>
  <si>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</si>
  <si>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</si>
  <si>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</si>
  <si>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</si>
  <si>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</si>
  <si>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</si>
  <si>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</si>
  <si>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</si>
  <si>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</si>
  <si>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</si>
  <si>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</si>
  <si>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</si>
  <si>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</si>
  <si>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</si>
  <si>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</si>
  <si>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</si>
  <si>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</si>
  <si>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</si>
  <si>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</si>
  <si>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</si>
  <si>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</si>
  <si>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</si>
  <si>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</si>
  <si>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</si>
  <si>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</si>
  <si>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</si>
  <si>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</si>
  <si>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</si>
  <si>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</si>
  <si>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</si>
  <si>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</si>
  <si>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</si>
  <si>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</si>
  <si>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</si>
  <si>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</si>
  <si>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</si>
  <si>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</si>
  <si>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</si>
  <si>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</si>
  <si>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</si>
  <si>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</si>
  <si>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</si>
  <si>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</si>
  <si>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</si>
  <si>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</si>
  <si>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</si>
  <si>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</si>
  <si>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</si>
  <si>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</si>
  <si>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</si>
  <si>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</si>
  <si>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</si>
  <si>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</si>
  <si>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</si>
  <si>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</si>
  <si>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</si>
  <si>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</si>
  <si>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</si>
  <si>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</si>
  <si>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</si>
  <si>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</si>
  <si>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</si>
  <si>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</si>
  <si>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</si>
  <si>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</si>
  <si>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</si>
  <si>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</si>
  <si>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</si>
  <si>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</si>
  <si>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</si>
  <si>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</si>
  <si>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</si>
  <si>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</si>
  <si>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</si>
  <si>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</si>
  <si>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</si>
  <si>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</si>
  <si>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</si>
  <si>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</si>
  <si>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</si>
  <si>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</si>
  <si>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</si>
  <si>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</si>
  <si>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</si>
  <si>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</si>
  <si>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</si>
  <si>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</si>
  <si>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</si>
  <si>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</si>
  <si>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</si>
  <si>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</si>
  <si>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</si>
  <si>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</si>
  <si>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</si>
  <si>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</si>
  <si>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</si>
  <si>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</si>
  <si>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</si>
  <si>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</si>
  <si>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</si>
  <si>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</si>
  <si>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</si>
  <si>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</si>
  <si>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</si>
  <si>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</si>
  <si>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</si>
  <si>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</si>
  <si>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</si>
  <si>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</si>
  <si>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</si>
  <si>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</si>
  <si>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</si>
  <si>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</si>
  <si>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</si>
  <si>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</si>
  <si>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</si>
  <si>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</si>
  <si>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</si>
  <si>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</si>
  <si>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</si>
  <si>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</si>
  <si>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</si>
  <si>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</si>
  <si>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</si>
  <si>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</si>
  <si>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</si>
  <si>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</si>
  <si>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</si>
  <si>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</si>
  <si>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</si>
  <si>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</si>
  <si>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</si>
  <si>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</si>
  <si>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</si>
  <si>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</si>
  <si>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</si>
  <si>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</si>
  <si>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</si>
  <si>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</si>
  <si>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</si>
  <si>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</si>
  <si>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</si>
  <si>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</si>
  <si>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</si>
  <si>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</si>
  <si>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</si>
  <si>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</si>
  <si>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</si>
  <si>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</si>
  <si>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</si>
  <si>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</si>
  <si>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</si>
  <si>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</si>
  <si>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</si>
  <si>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</si>
  <si>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</si>
  <si>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</si>
  <si>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</si>
  <si>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</si>
  <si>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</si>
  <si>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</si>
  <si>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</si>
  <si>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</si>
  <si>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</si>
  <si>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</si>
  <si>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</si>
  <si>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</si>
  <si>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</si>
  <si>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</si>
  <si>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</si>
  <si>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</si>
  <si>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</si>
  <si>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</si>
  <si>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</si>
  <si>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</si>
  <si>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</si>
  <si>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</si>
  <si>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</si>
  <si>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</si>
  <si>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</si>
  <si>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</si>
  <si>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</si>
  <si>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</si>
  <si>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</si>
  <si>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</si>
  <si>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</si>
  <si>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</si>
  <si>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</si>
  <si>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</si>
  <si>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</si>
  <si>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</si>
  <si>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</si>
  <si>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</si>
  <si>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</si>
  <si>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</si>
  <si>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</si>
  <si>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</si>
  <si>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</si>
  <si>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</si>
  <si>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</si>
  <si>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</si>
  <si>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</si>
  <si>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</si>
  <si>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</si>
  <si>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</si>
  <si>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</si>
  <si>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</si>
  <si>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</si>
  <si>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</si>
  <si>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</si>
  <si>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</si>
  <si>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</si>
  <si>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</si>
  <si>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</si>
  <si>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</si>
  <si>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</si>
  <si>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</si>
  <si>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</si>
  <si>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</si>
  <si>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</si>
  <si>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</si>
  <si>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</si>
  <si>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</si>
  <si>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</si>
  <si>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</si>
  <si>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</si>
  <si>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</si>
  <si>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</si>
  <si>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</si>
  <si>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</si>
  <si>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</si>
  <si>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</si>
  <si>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</si>
  <si>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</si>
  <si>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</si>
  <si>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</si>
  <si>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</si>
  <si>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</si>
  <si>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</si>
  <si>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</si>
  <si>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</si>
  <si>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</si>
  <si>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</si>
  <si>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</si>
  <si>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</si>
  <si>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</si>
  <si>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</si>
  <si>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</si>
  <si>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</si>
  <si>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</si>
  <si>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</si>
  <si>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</si>
  <si>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</si>
  <si>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</si>
  <si>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</si>
  <si>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</si>
  <si>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</si>
  <si>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</si>
  <si>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</si>
  <si>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</si>
  <si>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</si>
  <si>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</si>
  <si>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</si>
  <si>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</si>
  <si>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</si>
  <si>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</si>
  <si>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</si>
  <si>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</si>
  <si>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</si>
  <si>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</si>
  <si>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</si>
  <si>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</si>
  <si>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</si>
  <si>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</si>
  <si>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</si>
  <si>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</si>
  <si>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</si>
  <si>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</si>
  <si>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</si>
  <si>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</si>
  <si>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</si>
  <si>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</si>
  <si>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</si>
  <si>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</si>
  <si>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</si>
  <si>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</si>
  <si>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</si>
  <si>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</si>
  <si>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</si>
  <si>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</si>
  <si>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</si>
  <si>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</si>
  <si>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</si>
  <si>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</si>
  <si>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</si>
  <si>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</si>
  <si>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</si>
  <si>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</si>
  <si>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</si>
  <si>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</si>
  <si>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</si>
  <si>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</si>
  <si>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</si>
  <si>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</si>
  <si>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</si>
  <si>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</si>
  <si>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</si>
  <si>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</si>
  <si>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</si>
  <si>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</si>
  <si>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</si>
  <si>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</si>
  <si>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</si>
  <si>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</si>
  <si>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</si>
  <si>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</si>
  <si>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</si>
  <si>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</si>
  <si>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</si>
  <si>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</si>
  <si>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</si>
  <si>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</si>
  <si>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</si>
  <si>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</si>
  <si>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</si>
  <si>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</si>
  <si>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</si>
  <si>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</si>
  <si>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</si>
  <si>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</si>
  <si>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</si>
  <si>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</si>
  <si>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</si>
  <si>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</si>
  <si>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</si>
  <si>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</si>
  <si>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</si>
  <si>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</si>
  <si>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</si>
  <si>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</si>
  <si>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</si>
  <si>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</si>
  <si>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</si>
  <si>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</si>
  <si>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</si>
  <si>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</si>
  <si>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</si>
  <si>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</si>
  <si>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</si>
  <si>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</si>
  <si>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</si>
  <si>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</si>
  <si>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</si>
  <si>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</si>
  <si>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</si>
  <si>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</si>
  <si>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</si>
  <si>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</si>
  <si>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</si>
  <si>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</si>
  <si>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</si>
  <si>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</si>
  <si>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</si>
  <si>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</si>
  <si>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</si>
  <si>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</si>
  <si>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</si>
  <si>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</si>
  <si>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</si>
  <si>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</si>
  <si>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</si>
  <si>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</si>
  <si>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</si>
  <si>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</si>
  <si>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</si>
  <si>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</si>
  <si>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</si>
  <si>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</si>
  <si>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</si>
  <si>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</si>
  <si>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</si>
  <si>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</si>
  <si>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</si>
  <si>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</si>
  <si>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</si>
  <si>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</si>
  <si>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</si>
  <si>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</si>
  <si>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</si>
  <si>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</si>
  <si>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</si>
  <si>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</si>
  <si>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</si>
  <si>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</si>
  <si>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</si>
  <si>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</si>
  <si>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</si>
  <si>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</si>
  <si>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</si>
  <si>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</si>
  <si>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</si>
  <si>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</si>
  <si>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</si>
  <si>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</si>
  <si>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</si>
  <si>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</si>
  <si>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</si>
  <si>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</si>
  <si>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</si>
  <si>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</si>
  <si>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</si>
  <si>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</si>
  <si>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</si>
  <si>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</si>
  <si>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</si>
  <si>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</si>
  <si>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</si>
  <si>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</si>
  <si>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</si>
  <si>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</si>
  <si>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</si>
  <si>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</si>
  <si>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</si>
  <si>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</si>
  <si>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</si>
  <si>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</si>
  <si>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</si>
  <si>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</si>
  <si>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</si>
  <si>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</si>
  <si>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</si>
  <si>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</si>
  <si>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</si>
  <si>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</si>
  <si>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</si>
  <si>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</si>
  <si>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</si>
  <si>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</si>
  <si>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</si>
  <si>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</si>
  <si>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</si>
  <si>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</si>
  <si>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</si>
  <si>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</si>
  <si>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</si>
  <si>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</si>
  <si>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</si>
  <si>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</si>
  <si>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</si>
  <si>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</si>
  <si>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</si>
  <si>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</si>
  <si>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</si>
  <si>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</si>
  <si>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</si>
  <si>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</si>
  <si>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</si>
  <si>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</si>
  <si>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</si>
  <si>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</si>
  <si>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</si>
  <si>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</si>
  <si>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</si>
  <si>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</si>
  <si>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</si>
  <si>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</si>
  <si>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</si>
  <si>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</si>
  <si>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</si>
  <si>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</si>
  <si>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</si>
  <si>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</si>
  <si>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</si>
  <si>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</si>
  <si>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</si>
  <si>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</si>
  <si>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</si>
  <si>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</si>
  <si>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</si>
  <si>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</si>
  <si>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</si>
  <si>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</si>
  <si>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</si>
  <si>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</si>
  <si>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</si>
  <si>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</si>
  <si>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</si>
  <si>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</si>
  <si>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</si>
  <si>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</si>
  <si>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</si>
  <si>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</si>
  <si>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</si>
  <si>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</si>
  <si>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</si>
  <si>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</si>
  <si>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</si>
  <si>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</si>
  <si>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</si>
  <si>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</si>
  <si>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</si>
  <si>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</si>
  <si>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</si>
  <si>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</si>
  <si>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</si>
  <si>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</si>
  <si>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</si>
  <si>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</si>
  <si>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</si>
  <si>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</si>
  <si>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</si>
  <si>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</si>
  <si>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</si>
  <si>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</si>
  <si>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</si>
  <si>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</si>
  <si>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</si>
  <si>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</si>
  <si>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</si>
  <si>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</si>
  <si>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</si>
  <si>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</si>
  <si>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</si>
  <si>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</si>
  <si>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</si>
  <si>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</si>
  <si>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</si>
  <si>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</si>
  <si>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</si>
  <si>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</si>
  <si>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</si>
  <si>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</si>
  <si>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</si>
  <si>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</si>
  <si>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</si>
  <si>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</si>
  <si>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</si>
  <si>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</si>
  <si>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</si>
  <si>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</si>
  <si>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</si>
  <si>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</si>
  <si>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</si>
  <si>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</si>
  <si>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</si>
  <si>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</si>
  <si>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</si>
  <si>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</si>
  <si>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</si>
  <si>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</si>
  <si>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</si>
  <si>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</si>
  <si>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</si>
  <si>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</si>
  <si>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</si>
  <si>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</si>
  <si>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</si>
  <si>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</si>
  <si>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</si>
  <si>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</si>
  <si>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</si>
  <si>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</si>
  <si>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</si>
  <si>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</si>
  <si>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</si>
  <si>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</si>
  <si>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</si>
  <si>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</si>
  <si>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</si>
  <si>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</si>
  <si>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</si>
  <si>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</si>
  <si>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</si>
  <si>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</si>
  <si>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</si>
  <si>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</si>
  <si>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</si>
  <si>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</si>
  <si>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</si>
  <si>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</si>
  <si>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</si>
  <si>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</si>
  <si>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</si>
  <si>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</si>
  <si>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</si>
  <si>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</si>
  <si>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</si>
  <si>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</si>
  <si>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</si>
  <si>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</si>
  <si>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</si>
  <si>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</si>
  <si>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</si>
  <si>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</si>
  <si>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</si>
  <si>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</si>
  <si>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</si>
  <si>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</si>
  <si>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</si>
  <si>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</si>
  <si>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</si>
  <si>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</si>
  <si>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</si>
  <si>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</si>
  <si>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</si>
  <si>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</si>
  <si>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</si>
  <si>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</si>
  <si>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</si>
  <si>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</si>
  <si>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</si>
  <si>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</si>
  <si>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</si>
  <si>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</si>
  <si>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</si>
  <si>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</si>
  <si>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</si>
  <si>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</si>
  <si>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</si>
  <si>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</si>
  <si>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</si>
  <si>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</si>
  <si>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</si>
  <si>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</si>
  <si>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</si>
  <si>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</si>
  <si>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</si>
  <si>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</si>
  <si>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</si>
  <si>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</si>
  <si>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</si>
  <si>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</si>
  <si>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</si>
  <si>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</si>
  <si>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</si>
  <si>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</si>
  <si>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</si>
  <si>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</si>
  <si>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</si>
  <si>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</si>
  <si>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</si>
  <si>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</si>
  <si>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</si>
  <si>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</si>
  <si>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</si>
  <si>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</si>
  <si>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</si>
  <si>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</si>
  <si>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</si>
  <si>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</si>
  <si>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</si>
  <si>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</si>
  <si>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</si>
  <si>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</si>
  <si>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</si>
  <si>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</si>
  <si>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</si>
  <si>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</si>
  <si>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</si>
  <si>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</si>
  <si>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</si>
  <si>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</si>
  <si>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</si>
  <si>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</si>
  <si>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</si>
  <si>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</si>
  <si>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</si>
  <si>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</si>
  <si>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</si>
  <si>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</si>
  <si>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</si>
  <si>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</si>
  <si>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</si>
  <si>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</si>
  <si>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</si>
  <si>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</si>
  <si>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</si>
  <si>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</si>
  <si>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</si>
  <si>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</si>
  <si>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</si>
  <si>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</si>
  <si>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</si>
  <si>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</si>
  <si>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</si>
  <si>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</si>
  <si>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</si>
  <si>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</si>
  <si>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</si>
  <si>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</si>
  <si>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</si>
  <si>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</si>
  <si>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</si>
  <si>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</si>
  <si>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</si>
  <si>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</si>
  <si>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</si>
  <si>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</si>
  <si>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</si>
  <si>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</si>
  <si>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</si>
  <si>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</si>
  <si>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</si>
  <si>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</si>
  <si>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</si>
  <si>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</si>
  <si>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</si>
  <si>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</si>
  <si>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</si>
  <si>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</si>
  <si>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</si>
  <si>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</si>
  <si>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</si>
  <si>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</si>
  <si>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</si>
  <si>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</si>
  <si>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</si>
  <si>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</si>
  <si>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</si>
  <si>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</si>
  <si>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</si>
  <si>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</si>
  <si>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</si>
  <si>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</si>
  <si>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</si>
  <si>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</si>
  <si>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</si>
  <si>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</si>
  <si>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</si>
  <si>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</si>
  <si>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</si>
  <si>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</si>
  <si>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</si>
  <si>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</si>
  <si>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</si>
  <si>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</si>
  <si>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</si>
  <si>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</si>
  <si>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</si>
  <si>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</si>
  <si>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</si>
  <si>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</si>
  <si>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</si>
  <si>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</si>
  <si>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</si>
  <si>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</si>
  <si>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</si>
  <si>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</si>
  <si>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</si>
  <si>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</si>
  <si>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</si>
  <si>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</si>
  <si>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</si>
  <si>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</si>
  <si>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</si>
  <si>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</si>
  <si>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</si>
  <si>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</si>
  <si>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</si>
  <si>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</si>
  <si>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</si>
  <si>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</si>
  <si>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</si>
  <si>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</si>
  <si>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</si>
  <si>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</si>
  <si>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</si>
  <si>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</si>
  <si>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</si>
  <si>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</si>
  <si>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</si>
  <si>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</si>
  <si>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</si>
  <si>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</si>
  <si>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</si>
  <si>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</si>
  <si>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</si>
  <si>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</si>
  <si>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</si>
  <si>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</si>
  <si>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</si>
  <si>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</si>
  <si>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</si>
  <si>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</si>
  <si>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</si>
  <si>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</si>
  <si>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</si>
  <si>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</si>
  <si>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</si>
  <si>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</si>
  <si>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</si>
  <si>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</si>
  <si>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</si>
  <si>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</si>
  <si>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</si>
  <si>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</si>
  <si>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</si>
  <si>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</si>
  <si>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</si>
  <si>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</si>
  <si>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</si>
  <si>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</si>
  <si>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</si>
  <si>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</si>
  <si>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</si>
  <si>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</si>
  <si>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</si>
  <si>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</si>
  <si>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</si>
  <si>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</si>
  <si>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</si>
  <si>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</si>
  <si>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</si>
  <si>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</si>
  <si>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</si>
  <si>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</si>
  <si>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</si>
  <si>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</si>
  <si>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</si>
  <si>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</si>
  <si>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</si>
  <si>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</si>
  <si>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</si>
  <si>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</si>
  <si>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</si>
  <si>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</si>
  <si>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</si>
  <si>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</si>
  <si>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</si>
  <si>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</si>
  <si>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</si>
  <si>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</si>
  <si>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</si>
  <si>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</si>
  <si>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</si>
  <si>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</si>
  <si>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</si>
  <si>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</si>
  <si>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</si>
  <si>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</si>
  <si>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</si>
  <si>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</si>
  <si>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</si>
  <si>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</si>
  <si>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</si>
  <si>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</si>
  <si>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</si>
  <si>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</si>
  <si>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</si>
  <si>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</si>
  <si>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</si>
  <si>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</si>
  <si>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</si>
  <si>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</si>
  <si>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</si>
  <si>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</si>
  <si>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</si>
  <si>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</si>
  <si>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</si>
  <si>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</si>
  <si>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</si>
  <si>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</si>
  <si>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</si>
  <si>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</si>
  <si>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</si>
  <si>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</si>
  <si>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</si>
  <si>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</si>
  <si>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</si>
  <si>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</si>
  <si>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</si>
  <si>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</si>
  <si>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</si>
  <si>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</si>
  <si>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</si>
  <si>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</si>
  <si>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</si>
  <si>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</si>
  <si>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</si>
  <si>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</si>
  <si>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</si>
  <si>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</si>
  <si>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</si>
  <si>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</si>
  <si>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</si>
  <si>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</si>
  <si>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</si>
  <si>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</si>
  <si>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</si>
  <si>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</si>
  <si>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</si>
  <si>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</si>
  <si>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</si>
  <si>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</si>
  <si>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</si>
  <si>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</si>
  <si>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</si>
  <si>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</si>
  <si>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</si>
  <si>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</si>
  <si>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</si>
  <si>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</si>
  <si>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</si>
  <si>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</si>
  <si>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</si>
  <si>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</si>
  <si>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</si>
  <si>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</si>
  <si>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</si>
  <si>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</si>
  <si>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</si>
  <si>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</si>
  <si>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</si>
  <si>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</si>
  <si>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</si>
  <si>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</si>
  <si>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</si>
  <si>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</si>
  <si>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</si>
  <si>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</si>
  <si>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</si>
  <si>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</si>
  <si>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</si>
  <si>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</si>
  <si>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</si>
  <si>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</si>
  <si>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</si>
  <si>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</si>
  <si>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</si>
  <si>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</si>
  <si>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</si>
  <si>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</si>
  <si>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</si>
  <si>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</si>
  <si>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</si>
  <si>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</si>
  <si>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</si>
  <si>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</si>
  <si>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</si>
  <si>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</si>
  <si>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</si>
  <si>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</si>
  <si>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</si>
  <si>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</si>
  <si>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</si>
  <si>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</si>
  <si>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</si>
  <si>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</si>
  <si>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</si>
  <si>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</si>
  <si>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</si>
  <si>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</si>
  <si>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</si>
  <si>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</si>
  <si>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</si>
  <si>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</si>
  <si>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</si>
  <si>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</si>
  <si>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</si>
  <si>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</si>
  <si>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</si>
  <si>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</si>
  <si>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</si>
  <si>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</si>
  <si>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</si>
  <si>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</si>
  <si>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</si>
  <si>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</si>
  <si>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</si>
  <si>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</si>
  <si>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</si>
  <si>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</si>
  <si>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</si>
  <si>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</si>
  <si>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</si>
  <si>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</si>
  <si>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</si>
  <si>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</si>
  <si>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</si>
  <si>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</si>
  <si>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</si>
  <si>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</si>
  <si>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</si>
  <si>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</si>
  <si>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</si>
  <si>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</si>
  <si>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</si>
  <si>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</si>
  <si>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</si>
  <si>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</si>
  <si>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</si>
  <si>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</si>
  <si>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</si>
  <si>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</si>
  <si>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</si>
  <si>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</si>
  <si>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</si>
  <si>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</si>
  <si>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</si>
  <si>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</si>
  <si>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</si>
  <si>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</si>
  <si>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</si>
  <si>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</si>
  <si>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</si>
  <si>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</si>
  <si>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</si>
  <si>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</si>
  <si>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</si>
  <si>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</si>
  <si>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</si>
  <si>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</si>
  <si>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</si>
  <si>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</si>
  <si>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</si>
  <si>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</si>
  <si>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</si>
  <si>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</si>
  <si>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</si>
  <si>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</si>
  <si>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</si>
  <si>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</si>
  <si>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</si>
  <si>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</si>
  <si>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</si>
  <si>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</si>
  <si>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</si>
  <si>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</si>
  <si>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</si>
  <si>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</si>
  <si>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</si>
  <si>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</si>
  <si>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</si>
  <si>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</si>
  <si>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</si>
  <si>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</si>
  <si>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</si>
  <si>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</si>
  <si>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</si>
  <si>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</si>
  <si>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</si>
  <si>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</si>
  <si>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</si>
  <si>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</si>
  <si>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</si>
  <si>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</si>
  <si>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</si>
  <si>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</si>
  <si>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</si>
  <si>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</si>
  <si>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</si>
  <si>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</si>
  <si>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</si>
  <si>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</si>
  <si>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</si>
  <si>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</si>
  <si>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</si>
  <si>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</si>
  <si>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</si>
  <si>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</si>
  <si>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</si>
  <si>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</si>
  <si>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</si>
  <si>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</si>
  <si>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</si>
  <si>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</si>
  <si>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</si>
  <si>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</si>
  <si>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</si>
  <si>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</si>
  <si>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</si>
  <si>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</si>
  <si>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</si>
  <si>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</si>
  <si>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</si>
  <si>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</si>
  <si>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</si>
  <si>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</si>
  <si>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</si>
  <si>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</si>
  <si>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</si>
  <si>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</si>
  <si>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</si>
  <si>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</si>
  <si>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</si>
  <si>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</si>
  <si>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</si>
  <si>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</si>
  <si>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</si>
  <si>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</si>
  <si>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</si>
  <si>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</si>
  <si>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</si>
  <si>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</si>
  <si>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</si>
  <si>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</si>
  <si>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</si>
  <si>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</si>
  <si>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</si>
  <si>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</si>
  <si>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</si>
  <si>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</si>
  <si>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</si>
  <si>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</si>
  <si>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</si>
  <si>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</si>
  <si>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</si>
  <si>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</si>
  <si>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</si>
  <si>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</si>
  <si>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</si>
  <si>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</si>
  <si>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</si>
  <si>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</si>
  <si>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</si>
  <si>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</si>
  <si>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</si>
  <si>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</si>
  <si>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</si>
  <si>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</si>
  <si>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</si>
  <si>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</si>
  <si>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</si>
  <si>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</si>
  <si>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</si>
  <si>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</si>
  <si>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</si>
  <si>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</si>
  <si>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</si>
  <si>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</si>
  <si>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</si>
  <si>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</si>
  <si>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</si>
  <si>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</si>
  <si>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</si>
  <si>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</si>
  <si>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</si>
  <si>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</si>
  <si>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</si>
  <si>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</si>
  <si>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</si>
  <si>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</si>
  <si>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</si>
  <si>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</si>
  <si>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</si>
  <si>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</si>
  <si>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</si>
  <si>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</si>
  <si>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</si>
  <si>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</si>
  <si>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</si>
  <si>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</si>
  <si>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</si>
  <si>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</si>
  <si>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</si>
  <si>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</si>
  <si>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</si>
  <si>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</si>
  <si>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</si>
  <si>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</si>
  <si>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</si>
  <si>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</si>
  <si>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</si>
  <si>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</si>
  <si>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</si>
  <si>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</si>
  <si>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</si>
  <si>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</si>
  <si>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</si>
  <si>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</si>
  <si>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</si>
  <si>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</si>
  <si>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</si>
  <si>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</si>
  <si>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</si>
  <si>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鑫居源向农商行贷款明细</t>
  </si>
  <si>
    <t>序号</t>
  </si>
  <si>
    <t>楼盘名称</t>
  </si>
  <si>
    <t>楼号</t>
  </si>
  <si>
    <t>室（间）</t>
  </si>
  <si>
    <t>面积（㎡）</t>
  </si>
  <si>
    <t>网签户主</t>
  </si>
  <si>
    <t>合同单价（元/㎡）</t>
  </si>
  <si>
    <t>合同金额（元）</t>
  </si>
  <si>
    <t>备注</t>
  </si>
  <si>
    <t>都市壹号</t>
  </si>
  <si>
    <t>F区</t>
  </si>
  <si>
    <t>1F010</t>
  </si>
  <si>
    <t>鑫居源商贸有限公司</t>
  </si>
  <si>
    <t>1F018</t>
  </si>
  <si>
    <t>1F028</t>
  </si>
  <si>
    <t>1F029</t>
  </si>
  <si>
    <t>1F030</t>
  </si>
  <si>
    <t>1F031</t>
  </si>
  <si>
    <t>1F037</t>
  </si>
  <si>
    <t>1F038</t>
  </si>
  <si>
    <t>1F046</t>
  </si>
  <si>
    <t>1F060</t>
  </si>
  <si>
    <t>1F067</t>
  </si>
  <si>
    <t>1F072</t>
  </si>
  <si>
    <t>1F081</t>
  </si>
  <si>
    <t>1F086</t>
  </si>
  <si>
    <t>1F091</t>
  </si>
  <si>
    <t>1F101</t>
  </si>
  <si>
    <t>1F123</t>
  </si>
  <si>
    <t>1F129</t>
  </si>
  <si>
    <t>1F136</t>
  </si>
  <si>
    <t>1F147</t>
  </si>
  <si>
    <t>1F157</t>
  </si>
  <si>
    <t>1F177</t>
  </si>
  <si>
    <t>1F180</t>
  </si>
  <si>
    <t>1F181</t>
  </si>
  <si>
    <t>1F182</t>
  </si>
  <si>
    <t>1F200</t>
  </si>
  <si>
    <t>外1F003</t>
  </si>
  <si>
    <t>外1F022</t>
  </si>
  <si>
    <t>外1F036</t>
  </si>
  <si>
    <t>外1F045</t>
  </si>
  <si>
    <t>2F005</t>
  </si>
  <si>
    <t>2F008</t>
  </si>
  <si>
    <t>2F009</t>
  </si>
  <si>
    <t>2F027</t>
  </si>
  <si>
    <t>2F031</t>
  </si>
  <si>
    <t>2F043</t>
  </si>
  <si>
    <t>2F080</t>
  </si>
  <si>
    <t>2F081</t>
  </si>
  <si>
    <t>2F082</t>
  </si>
  <si>
    <t>2F083</t>
  </si>
  <si>
    <t>2F088</t>
  </si>
  <si>
    <t>2F095</t>
  </si>
  <si>
    <t>2F096</t>
  </si>
  <si>
    <t>2F101</t>
  </si>
  <si>
    <t>2F102</t>
  </si>
  <si>
    <t>2F108</t>
  </si>
  <si>
    <t>2F109</t>
  </si>
  <si>
    <t>2F137</t>
  </si>
  <si>
    <t>2F147</t>
  </si>
  <si>
    <t>2F148</t>
  </si>
  <si>
    <t>2F158</t>
  </si>
  <si>
    <t>2F173</t>
  </si>
  <si>
    <t>2F176</t>
  </si>
  <si>
    <t>2F179</t>
  </si>
  <si>
    <t>2F182</t>
  </si>
  <si>
    <t>2F188</t>
  </si>
  <si>
    <t>2F191</t>
  </si>
  <si>
    <t>2F197</t>
  </si>
  <si>
    <t>2F198</t>
  </si>
  <si>
    <t>2F216</t>
  </si>
  <si>
    <t>3F003</t>
  </si>
  <si>
    <t>3F012</t>
  </si>
  <si>
    <t>3F017</t>
  </si>
  <si>
    <t>3F023</t>
  </si>
  <si>
    <t>3F040</t>
  </si>
  <si>
    <t>3F045</t>
  </si>
  <si>
    <t>3F052</t>
  </si>
  <si>
    <t>3F056</t>
  </si>
  <si>
    <t>3F068</t>
  </si>
  <si>
    <t>3F069</t>
  </si>
  <si>
    <t>3F070</t>
  </si>
  <si>
    <t>3F071</t>
  </si>
  <si>
    <t>3F076</t>
  </si>
  <si>
    <t>3F079</t>
  </si>
  <si>
    <t>3F087</t>
  </si>
  <si>
    <t>3F100</t>
  </si>
  <si>
    <t>3F120</t>
  </si>
  <si>
    <t>3F121</t>
  </si>
  <si>
    <t>3F140</t>
  </si>
  <si>
    <t>3F150</t>
  </si>
  <si>
    <t>3F151</t>
  </si>
  <si>
    <t>3F157</t>
  </si>
  <si>
    <t>3F158</t>
  </si>
  <si>
    <t>3F159</t>
  </si>
  <si>
    <t>3F183</t>
  </si>
  <si>
    <t>3F185</t>
  </si>
  <si>
    <t>3F187</t>
  </si>
  <si>
    <t>3F188</t>
  </si>
  <si>
    <t>3F192</t>
  </si>
  <si>
    <t>3F193</t>
  </si>
  <si>
    <t>3F195</t>
  </si>
  <si>
    <t>3F196</t>
  </si>
  <si>
    <t>3F197</t>
  </si>
  <si>
    <t>3F198</t>
  </si>
  <si>
    <t>3F203</t>
  </si>
  <si>
    <t>3F206</t>
  </si>
  <si>
    <t>3F207</t>
  </si>
  <si>
    <t>3F210</t>
  </si>
  <si>
    <t>3F219</t>
  </si>
  <si>
    <t>3F222</t>
  </si>
  <si>
    <t>3F248</t>
  </si>
  <si>
    <t>3F249</t>
  </si>
  <si>
    <t>3F250</t>
  </si>
  <si>
    <t>1F007</t>
  </si>
  <si>
    <t>1F009</t>
  </si>
  <si>
    <t>1F015</t>
  </si>
  <si>
    <t>1F020</t>
  </si>
  <si>
    <t>1F026</t>
  </si>
  <si>
    <t>1F032</t>
  </si>
  <si>
    <t>1F050</t>
  </si>
  <si>
    <t>1F082</t>
  </si>
  <si>
    <t>1F083</t>
  </si>
  <si>
    <t>1F085</t>
  </si>
  <si>
    <t>1F108</t>
  </si>
  <si>
    <t>1F110</t>
  </si>
  <si>
    <t>1F115</t>
  </si>
  <si>
    <t>1F116</t>
  </si>
  <si>
    <t>1F151</t>
  </si>
  <si>
    <t>1F155</t>
  </si>
  <si>
    <t>1F166</t>
  </si>
  <si>
    <t>1F167</t>
  </si>
  <si>
    <t>1F183</t>
  </si>
  <si>
    <t>1F195</t>
  </si>
  <si>
    <t>1F199</t>
  </si>
  <si>
    <t>1F201</t>
  </si>
  <si>
    <t>1F202</t>
  </si>
  <si>
    <t>外1F010</t>
  </si>
  <si>
    <t>2F010</t>
  </si>
  <si>
    <t>2F015</t>
  </si>
  <si>
    <t>2F017</t>
  </si>
  <si>
    <t>2F018</t>
  </si>
  <si>
    <t>2F020</t>
  </si>
  <si>
    <t>2F021</t>
  </si>
  <si>
    <t>2F022</t>
  </si>
  <si>
    <t>2F026</t>
  </si>
  <si>
    <t>2F030</t>
  </si>
  <si>
    <t>2F040</t>
  </si>
  <si>
    <t>2F049</t>
  </si>
  <si>
    <t>2F050</t>
  </si>
  <si>
    <t>2F051</t>
  </si>
  <si>
    <t>2F052</t>
  </si>
  <si>
    <t>2F059</t>
  </si>
  <si>
    <t>2F066</t>
  </si>
  <si>
    <t>2F067</t>
  </si>
  <si>
    <t>2F085</t>
  </si>
  <si>
    <t>2F086</t>
  </si>
  <si>
    <t>2F106</t>
  </si>
  <si>
    <t>2F107</t>
  </si>
  <si>
    <t>2F123</t>
  </si>
  <si>
    <t>2F125</t>
  </si>
  <si>
    <t>2F126</t>
  </si>
  <si>
    <t>2F127</t>
  </si>
  <si>
    <t>2F130</t>
  </si>
  <si>
    <t>2F139</t>
  </si>
  <si>
    <t>2F141</t>
  </si>
  <si>
    <t>2F149</t>
  </si>
  <si>
    <t>2F150</t>
  </si>
  <si>
    <t>2F160</t>
  </si>
  <si>
    <t>2F162</t>
  </si>
  <si>
    <t>2F167</t>
  </si>
  <si>
    <t>2F168</t>
  </si>
  <si>
    <t>2F181</t>
  </si>
  <si>
    <t>2F185</t>
  </si>
  <si>
    <t>2F190</t>
  </si>
  <si>
    <t>2F193</t>
  </si>
  <si>
    <t>2F205</t>
  </si>
  <si>
    <t>2F206</t>
  </si>
  <si>
    <t>2F207</t>
  </si>
  <si>
    <t>2F208</t>
  </si>
  <si>
    <t>2F222</t>
  </si>
  <si>
    <t>2F223</t>
  </si>
  <si>
    <t>3F005</t>
  </si>
  <si>
    <t>3F008</t>
  </si>
  <si>
    <t>3F009</t>
  </si>
  <si>
    <t>3F015</t>
  </si>
  <si>
    <t>3F016</t>
  </si>
  <si>
    <t>3F019</t>
  </si>
  <si>
    <t>3F020</t>
  </si>
  <si>
    <t>3F031</t>
  </si>
  <si>
    <t>3F032</t>
  </si>
  <si>
    <t>3F033</t>
  </si>
  <si>
    <t>3F035</t>
  </si>
  <si>
    <t>3F042</t>
  </si>
  <si>
    <t>3F067</t>
  </si>
  <si>
    <t>3F078</t>
  </si>
  <si>
    <t>3F123</t>
  </si>
  <si>
    <t>3F125</t>
  </si>
  <si>
    <t>3F126</t>
  </si>
  <si>
    <t>3F141</t>
  </si>
  <si>
    <t>3F142</t>
  </si>
  <si>
    <t>3F172</t>
  </si>
  <si>
    <t>3F190</t>
  </si>
  <si>
    <t>3F191</t>
  </si>
  <si>
    <t>3F218</t>
  </si>
  <si>
    <t>3F226</t>
  </si>
  <si>
    <t>外1F001</t>
  </si>
  <si>
    <t>1F027</t>
  </si>
  <si>
    <t>1F033</t>
  </si>
  <si>
    <t>1F152</t>
  </si>
  <si>
    <t>2F032</t>
  </si>
  <si>
    <t>2F119</t>
  </si>
  <si>
    <t>2F136</t>
  </si>
  <si>
    <t>2F153</t>
  </si>
  <si>
    <t>2F157</t>
  </si>
  <si>
    <t>3F001</t>
  </si>
  <si>
    <t>3F002</t>
  </si>
  <si>
    <t>3F173</t>
  </si>
  <si>
    <t>3F175</t>
  </si>
  <si>
    <t>3F176</t>
  </si>
  <si>
    <t>3F211</t>
  </si>
  <si>
    <t>3F212</t>
  </si>
  <si>
    <t>3F213</t>
  </si>
  <si>
    <t>3F215</t>
  </si>
  <si>
    <t>3F216</t>
  </si>
  <si>
    <t>3F217</t>
  </si>
  <si>
    <t>1F002</t>
  </si>
  <si>
    <t>1F057</t>
  </si>
  <si>
    <t>1F059</t>
  </si>
  <si>
    <t>1F105</t>
  </si>
  <si>
    <t>1F107</t>
  </si>
  <si>
    <t>外1F037</t>
  </si>
  <si>
    <t>外1F056</t>
  </si>
  <si>
    <t>2F187</t>
  </si>
  <si>
    <t>2F212</t>
  </si>
  <si>
    <t>2F217</t>
  </si>
  <si>
    <t>3F047</t>
  </si>
  <si>
    <t>3F048</t>
  </si>
  <si>
    <t>3F049</t>
  </si>
  <si>
    <t>3F050</t>
  </si>
  <si>
    <t>3F051</t>
  </si>
  <si>
    <t>1F049</t>
  </si>
  <si>
    <t>1F071</t>
  </si>
  <si>
    <t>1F130</t>
  </si>
  <si>
    <t>1F131</t>
  </si>
  <si>
    <t>1F132</t>
  </si>
  <si>
    <t>1F188</t>
  </si>
  <si>
    <t>外1F005</t>
  </si>
  <si>
    <t>外1F027</t>
  </si>
  <si>
    <t>外1F047</t>
  </si>
  <si>
    <t>2F007</t>
  </si>
  <si>
    <t>2F019</t>
  </si>
  <si>
    <t>2F091</t>
  </si>
  <si>
    <t>2F195</t>
  </si>
  <si>
    <t>2F202</t>
  </si>
  <si>
    <t>2F203</t>
  </si>
  <si>
    <t>2F218</t>
  </si>
  <si>
    <t>3F097</t>
  </si>
  <si>
    <t>3F098</t>
  </si>
  <si>
    <t>3F132</t>
  </si>
  <si>
    <t>1F006</t>
  </si>
  <si>
    <t>1F062</t>
  </si>
  <si>
    <t>1F070</t>
  </si>
  <si>
    <t>1F090</t>
  </si>
  <si>
    <t>1F117</t>
  </si>
  <si>
    <t>1F118</t>
  </si>
  <si>
    <t>1F119</t>
  </si>
  <si>
    <t>1F133</t>
  </si>
  <si>
    <t>1F135</t>
  </si>
  <si>
    <t>1F148</t>
  </si>
  <si>
    <t>1F150</t>
  </si>
  <si>
    <t>1F159</t>
  </si>
  <si>
    <t>1F165</t>
  </si>
  <si>
    <t>1F178</t>
  </si>
  <si>
    <t>1F185</t>
  </si>
  <si>
    <t>1F189</t>
  </si>
  <si>
    <t>外1F006</t>
  </si>
  <si>
    <t>外1F028</t>
  </si>
  <si>
    <t>外1F029</t>
  </si>
  <si>
    <t>外1F039</t>
  </si>
  <si>
    <t>外1F043</t>
  </si>
  <si>
    <t>2F001</t>
  </si>
  <si>
    <t>2F025</t>
  </si>
  <si>
    <t>2F036</t>
  </si>
  <si>
    <t>2F041</t>
  </si>
  <si>
    <t>2F047</t>
  </si>
  <si>
    <t>2F048</t>
  </si>
  <si>
    <t>2F069</t>
  </si>
  <si>
    <t>2F103</t>
  </si>
  <si>
    <t>2F105</t>
  </si>
  <si>
    <t>2F111</t>
  </si>
  <si>
    <t>2F112</t>
  </si>
  <si>
    <t>2F135</t>
  </si>
  <si>
    <t>2F156</t>
  </si>
  <si>
    <t>2F219</t>
  </si>
  <si>
    <t>2F220</t>
  </si>
  <si>
    <t>2F221</t>
  </si>
  <si>
    <t>2F225</t>
  </si>
  <si>
    <t>3F063</t>
  </si>
  <si>
    <t>3F065</t>
  </si>
  <si>
    <t>3F083</t>
  </si>
  <si>
    <t>3F085</t>
  </si>
  <si>
    <t>3F209</t>
  </si>
  <si>
    <t>3F237</t>
  </si>
  <si>
    <t>3F238</t>
  </si>
  <si>
    <t>3F242</t>
  </si>
  <si>
    <t>3F243</t>
  </si>
  <si>
    <t>鑫居源名下明细表（未办按揭）</t>
  </si>
  <si>
    <t>1F019</t>
  </si>
  <si>
    <t>1F039</t>
  </si>
  <si>
    <t>1F040</t>
  </si>
  <si>
    <t>1F043</t>
  </si>
  <si>
    <t>1F141</t>
  </si>
  <si>
    <t>3F099</t>
  </si>
  <si>
    <t>3F162</t>
  </si>
  <si>
    <t>3F130</t>
  </si>
  <si>
    <t>1F048</t>
  </si>
  <si>
    <t>1F127</t>
  </si>
  <si>
    <t>1F068</t>
  </si>
  <si>
    <t>1F145</t>
  </si>
  <si>
    <t>1F146</t>
  </si>
  <si>
    <t>1F196</t>
  </si>
  <si>
    <t>1F197</t>
  </si>
  <si>
    <t>1F198</t>
  </si>
  <si>
    <t>1F206</t>
  </si>
  <si>
    <t>2F038</t>
  </si>
  <si>
    <t>2F121</t>
  </si>
  <si>
    <t>2F131</t>
  </si>
  <si>
    <t>2F132</t>
  </si>
  <si>
    <t>2F151</t>
  </si>
  <si>
    <t>2F152</t>
  </si>
  <si>
    <t>3F089</t>
  </si>
  <si>
    <t>3F090</t>
  </si>
  <si>
    <t>3F091</t>
  </si>
  <si>
    <t>3F092</t>
  </si>
  <si>
    <t>3F093</t>
  </si>
  <si>
    <t>3F095</t>
  </si>
  <si>
    <t>3F096</t>
  </si>
  <si>
    <t>3F110</t>
  </si>
  <si>
    <t>3F111</t>
  </si>
  <si>
    <t>3F112</t>
  </si>
  <si>
    <t>3F113</t>
  </si>
  <si>
    <t>3F115</t>
  </si>
  <si>
    <t>3F116</t>
  </si>
  <si>
    <t>3F181</t>
  </si>
  <si>
    <t>3F182</t>
  </si>
  <si>
    <t>3F186</t>
  </si>
  <si>
    <t>3F205</t>
  </si>
  <si>
    <t>3F220</t>
  </si>
  <si>
    <t>1F001</t>
  </si>
  <si>
    <t>1F087</t>
  </si>
  <si>
    <t>1F088</t>
  </si>
  <si>
    <t>2F175</t>
  </si>
  <si>
    <t>3F223</t>
  </si>
  <si>
    <t>3F201</t>
  </si>
  <si>
    <t>1F056</t>
  </si>
  <si>
    <t>1F120</t>
  </si>
  <si>
    <t>1F075</t>
  </si>
  <si>
    <t>1F099</t>
  </si>
  <si>
    <t>1F078</t>
  </si>
  <si>
    <t>1F096</t>
  </si>
  <si>
    <t>3F143</t>
  </si>
  <si>
    <t>3F145</t>
  </si>
  <si>
    <t>3F146</t>
  </si>
  <si>
    <t>3F147</t>
  </si>
  <si>
    <t>1F079</t>
  </si>
  <si>
    <t>1F080</t>
  </si>
  <si>
    <t>1F138</t>
  </si>
  <si>
    <t>1F139</t>
  </si>
  <si>
    <t>1F140</t>
  </si>
  <si>
    <t>3F160</t>
  </si>
  <si>
    <t>3F161</t>
  </si>
  <si>
    <t>3F166</t>
  </si>
  <si>
    <t>3F167</t>
  </si>
  <si>
    <t>3F168</t>
  </si>
  <si>
    <t>3F169</t>
  </si>
  <si>
    <t>外1F017</t>
  </si>
  <si>
    <t>2F169</t>
  </si>
  <si>
    <t>2F170</t>
  </si>
  <si>
    <t>2F199</t>
  </si>
  <si>
    <t>2F200</t>
  </si>
  <si>
    <t>1F190</t>
  </si>
  <si>
    <t xml:space="preserve"> </t>
  </si>
  <si>
    <t>1F036</t>
  </si>
  <si>
    <t>1F003</t>
  </si>
  <si>
    <t>3F102</t>
  </si>
  <si>
    <t>3F103</t>
  </si>
  <si>
    <t>3F105</t>
  </si>
  <si>
    <t>1层</t>
  </si>
  <si>
    <t>1层</t>
    <phoneticPr fontId="143" type="noConversion"/>
  </si>
  <si>
    <t>2层</t>
  </si>
  <si>
    <t>2层</t>
    <phoneticPr fontId="143" type="noConversion"/>
  </si>
  <si>
    <t>3层</t>
  </si>
  <si>
    <t>3层</t>
    <phoneticPr fontId="143" type="noConversion"/>
  </si>
  <si>
    <t>合计</t>
    <phoneticPr fontId="143" type="noConversion"/>
  </si>
  <si>
    <t>总计</t>
    <phoneticPr fontId="143" type="noConversion"/>
  </si>
  <si>
    <t>1层</t>
    <phoneticPr fontId="143" type="noConversion"/>
  </si>
  <si>
    <r>
      <t>1</t>
    </r>
    <r>
      <rPr>
        <sz val="10"/>
        <color indexed="8"/>
        <rFont val="宋体"/>
        <family val="3"/>
        <charset val="134"/>
      </rPr>
      <t>层</t>
    </r>
  </si>
  <si>
    <r>
      <t>1</t>
    </r>
    <r>
      <rPr>
        <sz val="10"/>
        <color indexed="8"/>
        <rFont val="宋体"/>
        <family val="3"/>
        <charset val="134"/>
      </rPr>
      <t>层</t>
    </r>
    <phoneticPr fontId="3" type="noConversion"/>
  </si>
  <si>
    <r>
      <t>2</t>
    </r>
    <r>
      <rPr>
        <sz val="10"/>
        <color indexed="8"/>
        <rFont val="宋体"/>
        <family val="3"/>
        <charset val="134"/>
      </rPr>
      <t>层</t>
    </r>
  </si>
  <si>
    <r>
      <t>2</t>
    </r>
    <r>
      <rPr>
        <sz val="10"/>
        <color indexed="8"/>
        <rFont val="宋体"/>
        <family val="3"/>
        <charset val="134"/>
      </rPr>
      <t>层</t>
    </r>
    <phoneticPr fontId="3" type="noConversion"/>
  </si>
  <si>
    <r>
      <t>3</t>
    </r>
    <r>
      <rPr>
        <sz val="10"/>
        <color indexed="8"/>
        <rFont val="宋体"/>
        <family val="3"/>
        <charset val="134"/>
      </rPr>
      <t>层</t>
    </r>
  </si>
  <si>
    <r>
      <t>3</t>
    </r>
    <r>
      <rPr>
        <sz val="10"/>
        <color indexed="8"/>
        <rFont val="宋体"/>
        <family val="3"/>
        <charset val="134"/>
      </rPr>
      <t>层</t>
    </r>
    <phoneticPr fontId="3" type="noConversion"/>
  </si>
  <si>
    <t>是</t>
  </si>
  <si>
    <t>否</t>
  </si>
  <si>
    <t>地上</t>
  </si>
  <si>
    <t>独立商业</t>
  </si>
  <si>
    <r>
      <t>1</t>
    </r>
    <r>
      <rPr>
        <sz val="10"/>
        <color indexed="8"/>
        <rFont val="宋体"/>
        <family val="3"/>
        <charset val="134"/>
      </rPr>
      <t>层商业</t>
    </r>
    <phoneticPr fontId="7" type="noConversion"/>
  </si>
  <si>
    <t>收益法</t>
  </si>
  <si>
    <t>1层商业</t>
  </si>
  <si>
    <t>钢混</t>
  </si>
  <si>
    <t>非生产用房</t>
  </si>
  <si>
    <t>按租金收入计税</t>
  </si>
  <si>
    <t>押二</t>
  </si>
  <si>
    <t>售价</t>
  </si>
  <si>
    <t>都市壹号底商</t>
    <phoneticPr fontId="3" type="noConversion"/>
  </si>
  <si>
    <t>胜利路底商</t>
    <phoneticPr fontId="3" type="noConversion"/>
  </si>
  <si>
    <t>新盛街底商</t>
    <phoneticPr fontId="3" type="noConversion"/>
  </si>
  <si>
    <t>正常</t>
  </si>
  <si>
    <t>商业</t>
    <phoneticPr fontId="31" type="noConversion"/>
  </si>
  <si>
    <t>30-40（含）</t>
  </si>
  <si>
    <t>较好</t>
  </si>
  <si>
    <t>六通</t>
  </si>
  <si>
    <t>一般</t>
  </si>
  <si>
    <t>较好</t>
    <phoneticPr fontId="31" type="noConversion"/>
  </si>
  <si>
    <t>较好</t>
    <phoneticPr fontId="31" type="noConversion"/>
  </si>
  <si>
    <t>较大</t>
  </si>
  <si>
    <t>临街</t>
  </si>
  <si>
    <t>商业街</t>
  </si>
  <si>
    <t>底商</t>
  </si>
  <si>
    <t>好</t>
  </si>
  <si>
    <t>较差</t>
  </si>
  <si>
    <t>差</t>
  </si>
  <si>
    <t>大</t>
  </si>
  <si>
    <t>较小</t>
  </si>
  <si>
    <t>小</t>
  </si>
  <si>
    <t>精装修</t>
  </si>
  <si>
    <t>可餐饮</t>
  </si>
  <si>
    <t>不可餐椅</t>
  </si>
  <si>
    <t>超高层高</t>
  </si>
  <si>
    <t>标准层高</t>
  </si>
  <si>
    <t>比例较适宜</t>
  </si>
  <si>
    <t>普通装修</t>
  </si>
  <si>
    <t>简单装修</t>
  </si>
  <si>
    <t>毛坯</t>
  </si>
  <si>
    <t>五通</t>
  </si>
  <si>
    <t>五通</t>
    <phoneticPr fontId="31" type="noConversion"/>
  </si>
  <si>
    <t>现房</t>
  </si>
  <si>
    <t>项目局部</t>
  </si>
  <si>
    <t>比较法-商业</t>
  </si>
  <si>
    <t>商业类型</t>
    <phoneticPr fontId="3" type="noConversion"/>
  </si>
  <si>
    <t>鑫居源商贸有限公司</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</si>
</sst>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7"/>
      <name val="宋体"/>
      <family val="3"/>
      <charset val="134"/>
    </font>
    <font>
      <sz val="20"/>
      <name val="宋体"/>
      <family val="3"/>
      <charset val="134"/>
    </font>
    <font>
      <sz val="9"/>
      <color theme="1"/>
      <name val="宋体"/>
      <family val="3"/>
      <charset val="134"/>
      <scheme val="minor"/>
    </font>
    <font>
      <sz val="10"/>
      <color rgb="FF00B050"/>
      <name val="宋体"/>
      <family val="3"/>
      <charset val="134"/>
    </font>
    <font>
      <sz val="10"/>
      <color rgb="FF0070C0"/>
      <name val="宋体"/>
      <family val="3"/>
      <charset val="134"/>
    </font>
    <font>
      <sz val="10"/>
      <color rgb="FF00B0F0"/>
      <name val="宋体"/>
      <family val="3"/>
      <charset val="134"/>
    </font>
    <font>
      <sz val="9"/>
      <color rgb="FFFF0000"/>
      <name val="宋体"/>
      <family val="3"/>
      <charset val="134"/>
    </font>
    <font>
      <sz val="10"/>
      <color rgb="FFFF0000"/>
      <name val="宋体"/>
      <family val="3"/>
      <charset val="134"/>
      <scheme val="minor"/>
    </font>
    <font>
      <sz val="9"/>
      <color rgb="FF00B0F0"/>
      <name val="宋体"/>
      <family val="3"/>
      <charset val="134"/>
    </font>
    <font>
      <sz val="10"/>
      <color rgb="FF00B0F0"/>
      <name val="宋体"/>
      <family val="3"/>
      <charset val="134"/>
      <scheme val="minor"/>
    </font>
    <font>
      <sz val="9"/>
      <color rgb="FF00B05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0" fontId="137" fillId="0" borderId="0">
      <alignment vertical="center"/>
    </xf>
    <xf numFmtId="0" fontId="37" fillId="0" borderId="0"/>
    <xf numFmtId="0" fontId="37" fillId="0" borderId="0"/>
    <xf numFmtId="0" fontId="37" fillId="0" borderId="0"/>
    <xf numFmtId="9" fontId="99" fillId="0" borderId="0" applyFont="0" applyFill="0" applyBorder="0" applyAlignment="0" applyProtection="0">
      <alignment vertical="center"/>
    </xf>
    <xf numFmtId="0" fontId="3"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pplyFill="1" applyBorder="1">
      <alignment vertical="center"/>
    </xf>
    <xf numFmtId="0" fontId="19" fillId="0" borderId="1" xfId="10" applyFont="1" applyFill="1" applyBorder="1" applyAlignment="1">
      <alignment horizontal="center" vertical="center"/>
    </xf>
    <xf numFmtId="0" fontId="80" fillId="0" borderId="1" xfId="10" applyFont="1" applyFill="1" applyBorder="1" applyAlignment="1">
      <alignment horizontal="center" vertical="center"/>
    </xf>
    <xf numFmtId="0" fontId="80" fillId="3" borderId="1" xfId="10" applyFont="1" applyFill="1" applyBorder="1" applyAlignment="1">
      <alignment horizontal="center" vertical="center"/>
    </xf>
    <xf numFmtId="179" fontId="80" fillId="0" borderId="1" xfId="10" applyNumberFormat="1" applyFont="1" applyFill="1" applyBorder="1" applyAlignment="1">
      <alignment horizontal="center" vertical="center"/>
    </xf>
    <xf numFmtId="186" fontId="80" fillId="0" borderId="1" xfId="10" applyNumberFormat="1" applyFont="1" applyFill="1" applyBorder="1" applyAlignment="1">
      <alignment horizontal="center" vertical="center"/>
    </xf>
    <xf numFmtId="0" fontId="19" fillId="0" borderId="1" xfId="10" applyFont="1" applyFill="1" applyBorder="1" applyAlignment="1">
      <alignment vertical="center"/>
    </xf>
    <xf numFmtId="179" fontId="19" fillId="7" borderId="1" xfId="10" applyNumberFormat="1" applyFont="1" applyFill="1" applyBorder="1" applyAlignment="1">
      <alignment horizontal="center" vertical="center"/>
    </xf>
    <xf numFmtId="177" fontId="19" fillId="0" borderId="1" xfId="10" applyNumberFormat="1" applyFont="1" applyFill="1" applyBorder="1" applyAlignment="1">
      <alignment horizontal="center" vertical="center"/>
    </xf>
    <xf numFmtId="177" fontId="113" fillId="7" borderId="1" xfId="10" applyNumberFormat="1" applyFont="1" applyFill="1" applyBorder="1" applyAlignment="1">
      <alignment horizontal="center" vertical="center"/>
    </xf>
    <xf numFmtId="179" fontId="19" fillId="0" borderId="1" xfId="10" applyNumberFormat="1" applyFont="1" applyFill="1" applyBorder="1" applyAlignment="1">
      <alignment horizontal="center" vertical="center"/>
    </xf>
    <xf numFmtId="0" fontId="80" fillId="7" borderId="1" xfId="10" applyFont="1" applyFill="1" applyBorder="1" applyAlignment="1">
      <alignment horizontal="center" vertical="center" wrapText="1"/>
    </xf>
    <xf numFmtId="0" fontId="113" fillId="7" borderId="1" xfId="10" applyFont="1" applyFill="1" applyBorder="1" applyAlignment="1">
      <alignment horizontal="center" vertical="center"/>
    </xf>
    <xf numFmtId="0" fontId="138" fillId="0" borderId="1" xfId="23" applyFont="1" applyFill="1" applyBorder="1" applyAlignment="1">
      <alignment horizontal="center" vertical="center" wrapText="1"/>
    </xf>
    <xf numFmtId="179" fontId="138" fillId="3" borderId="1" xfId="10" applyNumberFormat="1" applyFont="1" applyFill="1" applyBorder="1" applyAlignment="1">
      <alignment horizontal="center" vertical="center"/>
    </xf>
    <xf numFmtId="0" fontId="138" fillId="0" borderId="1" xfId="10" applyFont="1" applyFill="1" applyBorder="1" applyAlignment="1">
      <alignment horizontal="center" vertical="center"/>
    </xf>
    <xf numFmtId="0" fontId="257" fillId="0" borderId="1" xfId="23" applyFont="1" applyFill="1" applyBorder="1" applyAlignment="1">
      <alignment horizontal="center" vertical="center" wrapText="1"/>
    </xf>
    <xf numFmtId="0" fontId="257" fillId="0" borderId="1" xfId="10" applyFont="1" applyFill="1" applyBorder="1" applyAlignment="1">
      <alignment horizontal="center" vertical="center"/>
    </xf>
    <xf numFmtId="0" fontId="257" fillId="3" borderId="1" xfId="23" applyFont="1" applyFill="1" applyBorder="1" applyAlignment="1">
      <alignment horizontal="center" vertical="center" wrapText="1"/>
    </xf>
    <xf numFmtId="0" fontId="257" fillId="3" borderId="1" xfId="10" applyFont="1" applyFill="1" applyBorder="1" applyAlignment="1">
      <alignment horizontal="center" vertical="center"/>
    </xf>
    <xf numFmtId="0" fontId="258" fillId="0" borderId="1" xfId="23" applyFont="1" applyFill="1" applyBorder="1" applyAlignment="1">
      <alignment horizontal="center" vertical="center" wrapText="1"/>
    </xf>
    <xf numFmtId="0" fontId="258" fillId="0" borderId="1" xfId="10" applyFont="1" applyFill="1" applyBorder="1" applyAlignment="1">
      <alignment horizontal="center" vertical="center"/>
    </xf>
    <xf numFmtId="0" fontId="259" fillId="0" borderId="1" xfId="23" applyFont="1" applyFill="1" applyBorder="1" applyAlignment="1">
      <alignment horizontal="center" vertical="center" wrapText="1"/>
    </xf>
    <xf numFmtId="0" fontId="259" fillId="0" borderId="1" xfId="10" applyFont="1" applyFill="1" applyBorder="1" applyAlignment="1">
      <alignment horizontal="center" vertical="center"/>
    </xf>
    <xf numFmtId="0" fontId="138" fillId="3" borderId="1" xfId="23" applyFont="1" applyFill="1" applyBorder="1" applyAlignment="1">
      <alignment horizontal="center" vertical="center" wrapText="1"/>
    </xf>
    <xf numFmtId="0" fontId="138" fillId="7" borderId="1" xfId="23" applyFont="1" applyFill="1" applyBorder="1" applyAlignment="1">
      <alignment horizontal="center" vertical="center" wrapText="1"/>
    </xf>
    <xf numFmtId="179" fontId="138" fillId="7" borderId="1" xfId="10" applyNumberFormat="1" applyFont="1" applyFill="1" applyBorder="1" applyAlignment="1">
      <alignment horizontal="center" vertical="center"/>
    </xf>
    <xf numFmtId="0" fontId="138" fillId="7" borderId="1" xfId="10" applyFont="1" applyFill="1" applyBorder="1" applyAlignment="1">
      <alignment horizontal="center" vertical="center"/>
    </xf>
    <xf numFmtId="0" fontId="257" fillId="7" borderId="1" xfId="23" applyFont="1" applyFill="1" applyBorder="1" applyAlignment="1">
      <alignment horizontal="center" vertical="center" wrapText="1"/>
    </xf>
    <xf numFmtId="0" fontId="257" fillId="7" borderId="1" xfId="10" applyFont="1" applyFill="1" applyBorder="1" applyAlignment="1">
      <alignment horizontal="center" vertical="center"/>
    </xf>
    <xf numFmtId="0" fontId="259" fillId="7" borderId="1" xfId="23" applyFont="1" applyFill="1" applyBorder="1" applyAlignment="1">
      <alignment horizontal="center" vertical="center" wrapText="1"/>
    </xf>
    <xf numFmtId="0" fontId="259" fillId="7" borderId="1" xfId="10" applyFont="1" applyFill="1" applyBorder="1" applyAlignment="1">
      <alignment horizontal="center" vertical="center"/>
    </xf>
    <xf numFmtId="0" fontId="259" fillId="3" borderId="1" xfId="23" applyFont="1" applyFill="1" applyBorder="1" applyAlignment="1">
      <alignment horizontal="center" vertical="center" wrapText="1"/>
    </xf>
    <xf numFmtId="0" fontId="259" fillId="3" borderId="1" xfId="10" applyFont="1" applyFill="1" applyBorder="1" applyAlignment="1">
      <alignment horizontal="center" vertical="center"/>
    </xf>
    <xf numFmtId="177" fontId="138" fillId="7" borderId="1" xfId="23" applyNumberFormat="1" applyFont="1" applyFill="1" applyBorder="1" applyAlignment="1">
      <alignment horizontal="center" vertical="center" wrapText="1"/>
    </xf>
    <xf numFmtId="179" fontId="138" fillId="7" borderId="1" xfId="4" applyNumberFormat="1" applyFont="1" applyFill="1" applyBorder="1" applyAlignment="1">
      <alignment horizontal="center" vertical="center" wrapText="1"/>
    </xf>
    <xf numFmtId="177" fontId="138" fillId="7" borderId="1" xfId="10" applyNumberFormat="1" applyFont="1" applyFill="1" applyBorder="1" applyAlignment="1">
      <alignment horizontal="center" vertical="center" wrapText="1"/>
    </xf>
    <xf numFmtId="177" fontId="257" fillId="7" borderId="1" xfId="23" applyNumberFormat="1" applyFont="1" applyFill="1" applyBorder="1" applyAlignment="1">
      <alignment horizontal="center" vertical="center" wrapText="1"/>
    </xf>
    <xf numFmtId="179" fontId="257" fillId="7" borderId="1" xfId="4" applyNumberFormat="1" applyFont="1" applyFill="1" applyBorder="1" applyAlignment="1">
      <alignment horizontal="center" vertical="center" wrapText="1"/>
    </xf>
    <xf numFmtId="177" fontId="259" fillId="7" borderId="1" xfId="23" applyNumberFormat="1" applyFont="1" applyFill="1" applyBorder="1" applyAlignment="1">
      <alignment horizontal="center" vertical="center" wrapText="1"/>
    </xf>
    <xf numFmtId="179" fontId="259" fillId="7" borderId="1" xfId="4" applyNumberFormat="1" applyFont="1" applyFill="1" applyBorder="1" applyAlignment="1">
      <alignment horizontal="center" vertical="center" wrapText="1"/>
    </xf>
    <xf numFmtId="0" fontId="99" fillId="0" borderId="0" xfId="0" applyFont="1">
      <alignment vertical="center"/>
    </xf>
    <xf numFmtId="179" fontId="0" fillId="0" borderId="0" xfId="0" applyNumberFormat="1">
      <alignment vertical="center"/>
    </xf>
    <xf numFmtId="176" fontId="50" fillId="0" borderId="1" xfId="0" applyNumberFormat="1" applyFont="1" applyBorder="1" applyAlignment="1" applyProtection="1">
      <alignment horizontal="left" vertical="center" wrapText="1"/>
      <protection locked="0"/>
    </xf>
    <xf numFmtId="0" fontId="50" fillId="0" borderId="1" xfId="0" applyFont="1" applyBorder="1" applyAlignment="1" applyProtection="1">
      <alignment horizontal="left" vertical="center"/>
      <protection locked="0"/>
    </xf>
    <xf numFmtId="0" fontId="80" fillId="0" borderId="1" xfId="10" applyFont="1" applyFill="1" applyBorder="1" applyAlignment="1">
      <alignment horizontal="center" vertical="center"/>
    </xf>
    <xf numFmtId="0" fontId="80" fillId="3" borderId="1" xfId="10" applyFont="1" applyFill="1" applyBorder="1" applyAlignment="1">
      <alignment horizontal="center" vertical="center"/>
    </xf>
    <xf numFmtId="0" fontId="80" fillId="7" borderId="1" xfId="10" applyFont="1" applyFill="1" applyBorder="1" applyAlignment="1">
      <alignment horizontal="center" vertical="center"/>
    </xf>
    <xf numFmtId="0" fontId="113" fillId="7" borderId="1" xfId="10" applyFont="1" applyFill="1" applyBorder="1" applyAlignment="1">
      <alignment horizontal="center" vertical="center"/>
    </xf>
    <xf numFmtId="177" fontId="80" fillId="7" borderId="1" xfId="10" applyNumberFormat="1" applyFont="1" applyFill="1" applyBorder="1" applyAlignment="1">
      <alignment horizontal="center" vertical="center"/>
    </xf>
    <xf numFmtId="186" fontId="19" fillId="7" borderId="1" xfId="10" applyNumberFormat="1" applyFont="1" applyFill="1" applyBorder="1" applyAlignment="1">
      <alignment horizontal="center" vertical="center"/>
    </xf>
    <xf numFmtId="0" fontId="256" fillId="7" borderId="1" xfId="10" applyFont="1" applyFill="1" applyBorder="1" applyAlignment="1">
      <alignment horizontal="center" vertical="center"/>
    </xf>
    <xf numFmtId="0" fontId="240" fillId="7" borderId="1" xfId="10" applyFont="1" applyFill="1" applyBorder="1" applyAlignment="1">
      <alignment horizontal="center" vertical="center"/>
    </xf>
    <xf numFmtId="177" fontId="240" fillId="7" borderId="1" xfId="10" applyNumberFormat="1" applyFont="1" applyFill="1" applyBorder="1" applyAlignment="1">
      <alignment horizontal="center" vertical="center"/>
    </xf>
    <xf numFmtId="186" fontId="240" fillId="7" borderId="1" xfId="10" applyNumberFormat="1" applyFont="1" applyFill="1" applyBorder="1" applyAlignment="1">
      <alignment horizontal="center" vertical="center"/>
    </xf>
    <xf numFmtId="0" fontId="256" fillId="0" borderId="1" xfId="10" applyFont="1" applyFill="1" applyBorder="1" applyAlignment="1">
      <alignment horizontal="center" vertical="center"/>
    </xf>
    <xf numFmtId="177" fontId="240" fillId="0" borderId="1" xfId="10" applyNumberFormat="1" applyFont="1" applyFill="1" applyBorder="1" applyAlignment="1">
      <alignment horizontal="center" vertical="center"/>
    </xf>
    <xf numFmtId="186" fontId="240" fillId="0" borderId="1" xfId="10" applyNumberFormat="1" applyFont="1" applyFill="1" applyBorder="1" applyAlignment="1">
      <alignment horizontal="center" vertical="center"/>
    </xf>
    <xf numFmtId="0" fontId="240" fillId="0" borderId="1" xfId="10" applyFont="1" applyFill="1" applyBorder="1" applyAlignment="1">
      <alignment horizontal="center" vertical="center"/>
    </xf>
    <xf numFmtId="0" fontId="3" fillId="0" borderId="1" xfId="10" applyFont="1" applyFill="1" applyBorder="1" applyAlignment="1">
      <alignment vertical="center" wrapText="1"/>
    </xf>
    <xf numFmtId="0" fontId="113" fillId="0" borderId="1" xfId="10" applyFont="1" applyFill="1" applyBorder="1" applyAlignment="1">
      <alignment horizontal="center" vertical="center"/>
    </xf>
    <xf numFmtId="0" fontId="3" fillId="0" borderId="1" xfId="10" applyFont="1" applyFill="1" applyBorder="1" applyAlignment="1">
      <alignment vertical="center"/>
    </xf>
    <xf numFmtId="177" fontId="113" fillId="0" borderId="1" xfId="10" applyNumberFormat="1" applyFont="1" applyFill="1" applyBorder="1" applyAlignment="1">
      <alignment horizontal="center" vertical="center"/>
    </xf>
    <xf numFmtId="0" fontId="138" fillId="7" borderId="1" xfId="23" applyFont="1" applyFill="1" applyBorder="1" applyAlignment="1">
      <alignment horizontal="center" vertical="center" wrapText="1"/>
    </xf>
    <xf numFmtId="179" fontId="138" fillId="7" borderId="1" xfId="10" applyNumberFormat="1" applyFont="1" applyFill="1" applyBorder="1" applyAlignment="1">
      <alignment horizontal="center" vertical="center"/>
    </xf>
    <xf numFmtId="0" fontId="138" fillId="7" borderId="1" xfId="10" applyFont="1" applyFill="1" applyBorder="1" applyAlignment="1">
      <alignment horizontal="center" vertical="center"/>
    </xf>
    <xf numFmtId="0" fontId="257" fillId="7" borderId="1" xfId="23" applyFont="1" applyFill="1" applyBorder="1" applyAlignment="1">
      <alignment horizontal="center" vertical="center" wrapText="1"/>
    </xf>
    <xf numFmtId="0" fontId="257" fillId="7" borderId="1" xfId="10" applyFont="1" applyFill="1" applyBorder="1" applyAlignment="1">
      <alignment horizontal="center" vertical="center"/>
    </xf>
    <xf numFmtId="0" fontId="259" fillId="7" borderId="1" xfId="23" applyFont="1" applyFill="1" applyBorder="1" applyAlignment="1">
      <alignment horizontal="center" vertical="center" wrapText="1"/>
    </xf>
    <xf numFmtId="0" fontId="259" fillId="7" borderId="1" xfId="10" applyFont="1" applyFill="1" applyBorder="1" applyAlignment="1">
      <alignment horizontal="center" vertical="center"/>
    </xf>
    <xf numFmtId="0" fontId="260" fillId="7" borderId="1" xfId="23" applyFont="1" applyFill="1" applyBorder="1" applyAlignment="1">
      <alignment horizontal="center" vertical="center" wrapText="1"/>
    </xf>
    <xf numFmtId="179" fontId="260" fillId="7" borderId="1" xfId="10" applyNumberFormat="1" applyFont="1" applyFill="1" applyBorder="1" applyAlignment="1">
      <alignment horizontal="center" vertical="center"/>
    </xf>
    <xf numFmtId="0" fontId="260" fillId="7" borderId="1" xfId="10" applyFont="1" applyFill="1" applyBorder="1" applyAlignment="1">
      <alignment horizontal="center" vertical="center"/>
    </xf>
    <xf numFmtId="0" fontId="260" fillId="0" borderId="1" xfId="23" applyFont="1" applyFill="1" applyBorder="1" applyAlignment="1">
      <alignment horizontal="center" vertical="center" wrapText="1"/>
    </xf>
    <xf numFmtId="0" fontId="260" fillId="0" borderId="1" xfId="10" applyFont="1" applyFill="1" applyBorder="1" applyAlignment="1">
      <alignment horizontal="center" vertical="center"/>
    </xf>
    <xf numFmtId="0" fontId="261" fillId="0" borderId="1" xfId="10" applyFont="1" applyFill="1" applyBorder="1" applyAlignment="1">
      <alignment horizontal="center" vertical="center"/>
    </xf>
    <xf numFmtId="0" fontId="262" fillId="7" borderId="1" xfId="23" applyFont="1" applyFill="1" applyBorder="1" applyAlignment="1">
      <alignment horizontal="center" vertical="center" wrapText="1"/>
    </xf>
    <xf numFmtId="0" fontId="262" fillId="7" borderId="1" xfId="10" applyFont="1" applyFill="1" applyBorder="1" applyAlignment="1">
      <alignment horizontal="center" vertical="center"/>
    </xf>
    <xf numFmtId="0" fontId="263" fillId="0" borderId="1" xfId="10" applyFont="1" applyFill="1" applyBorder="1" applyAlignment="1">
      <alignment horizontal="center" vertical="center"/>
    </xf>
    <xf numFmtId="0" fontId="264" fillId="7" borderId="1" xfId="23" applyFont="1" applyFill="1" applyBorder="1" applyAlignment="1">
      <alignment horizontal="center" vertical="center" wrapText="1"/>
    </xf>
    <xf numFmtId="0" fontId="264" fillId="7" borderId="1" xfId="10" applyFont="1" applyFill="1" applyBorder="1" applyAlignment="1">
      <alignment horizontal="center" vertical="center"/>
    </xf>
    <xf numFmtId="0" fontId="264" fillId="0" borderId="1" xfId="23" applyFont="1" applyFill="1" applyBorder="1" applyAlignment="1">
      <alignment horizontal="center" vertical="center" wrapText="1"/>
    </xf>
    <xf numFmtId="0" fontId="264" fillId="0" borderId="1" xfId="10" applyFont="1" applyFill="1" applyBorder="1" applyAlignment="1">
      <alignment horizontal="center" vertical="center"/>
    </xf>
    <xf numFmtId="0" fontId="241" fillId="0" borderId="109"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98" fillId="0" borderId="9"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83" xfId="10" applyNumberFormat="1" applyFont="1" applyFill="1" applyBorder="1" applyAlignment="1" applyProtection="1">
      <alignment horizontal="center" vertical="center"/>
      <protection locked="0"/>
    </xf>
    <xf numFmtId="0" fontId="137" fillId="0" borderId="44" xfId="10" applyNumberFormat="1" applyFont="1" applyFill="1" applyBorder="1" applyAlignment="1" applyProtection="1">
      <alignment horizontal="center" vertical="center" wrapText="1"/>
      <protection locked="0"/>
    </xf>
    <xf numFmtId="0" fontId="47" fillId="7"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47" fillId="7" borderId="1"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left" vertical="center"/>
      <protection locked="0"/>
    </xf>
    <xf numFmtId="0" fontId="50" fillId="0" borderId="23" xfId="10" applyNumberFormat="1" applyFont="1" applyFill="1" applyBorder="1" applyAlignment="1" applyProtection="1">
      <alignment horizontal="center" vertical="center" wrapText="1"/>
      <protection locked="0"/>
    </xf>
    <xf numFmtId="0" fontId="50" fillId="0" borderId="111" xfId="10" applyNumberFormat="1" applyFont="1" applyFill="1" applyBorder="1" applyAlignment="1" applyProtection="1">
      <alignment horizontal="center" vertical="center" wrapText="1"/>
      <protection locked="0"/>
    </xf>
    <xf numFmtId="0" fontId="105" fillId="0" borderId="111" xfId="10" applyNumberFormat="1" applyFont="1" applyFill="1" applyBorder="1" applyAlignment="1" applyProtection="1">
      <alignment horizontal="center" vertical="center" wrapText="1"/>
      <protection locked="0"/>
    </xf>
    <xf numFmtId="0" fontId="80" fillId="0" borderId="110" xfId="10" applyNumberFormat="1" applyFont="1" applyFill="1" applyBorder="1" applyAlignment="1" applyProtection="1">
      <alignment horizontal="center" vertical="center" wrapText="1"/>
      <protection locked="0"/>
    </xf>
    <xf numFmtId="0" fontId="50" fillId="10" borderId="6" xfId="10" applyNumberFormat="1" applyFont="1" applyFill="1" applyBorder="1" applyAlignment="1" applyProtection="1">
      <alignment horizontal="center" vertical="center" wrapText="1"/>
      <protection locked="0"/>
    </xf>
    <xf numFmtId="0" fontId="50" fillId="10" borderId="9" xfId="10" applyNumberFormat="1" applyFont="1" applyFill="1" applyBorder="1" applyAlignment="1" applyProtection="1">
      <alignment horizontal="center" vertical="center" wrapText="1"/>
      <protection locked="0"/>
    </xf>
    <xf numFmtId="0" fontId="50" fillId="10" borderId="25" xfId="10" applyNumberFormat="1" applyFont="1" applyFill="1" applyBorder="1" applyAlignment="1" applyProtection="1">
      <alignment horizontal="center" vertical="center" wrapText="1"/>
      <protection locked="0"/>
    </xf>
    <xf numFmtId="0" fontId="56" fillId="10" borderId="32"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10" applyFont="1" applyFill="1" applyBorder="1" applyAlignment="1">
      <alignment horizontal="center" vertical="center"/>
    </xf>
    <xf numFmtId="179" fontId="254" fillId="0" borderId="0" xfId="10" applyNumberFormat="1" applyFont="1" applyFill="1" applyBorder="1" applyAlignment="1">
      <alignment horizontal="center" vertical="center"/>
    </xf>
    <xf numFmtId="0" fontId="113" fillId="7" borderId="1" xfId="10" applyFont="1" applyFill="1" applyBorder="1" applyAlignment="1">
      <alignment horizontal="center" vertical="center"/>
    </xf>
    <xf numFmtId="0" fontId="80" fillId="0" borderId="13" xfId="10" applyNumberFormat="1" applyFont="1" applyFill="1" applyBorder="1" applyAlignment="1">
      <alignment horizontal="center" vertical="center" wrapText="1"/>
    </xf>
    <xf numFmtId="0" fontId="80" fillId="0" borderId="2" xfId="10" applyNumberFormat="1" applyFont="1" applyFill="1" applyBorder="1" applyAlignment="1">
      <alignment horizontal="center" vertical="center" wrapText="1"/>
    </xf>
    <xf numFmtId="0" fontId="113" fillId="7" borderId="13" xfId="10" applyFont="1" applyFill="1" applyBorder="1" applyAlignment="1">
      <alignment horizontal="center" vertical="center"/>
    </xf>
    <xf numFmtId="0" fontId="113" fillId="7" borderId="2" xfId="10" applyFont="1" applyFill="1" applyBorder="1" applyAlignment="1">
      <alignment horizontal="center" vertical="center"/>
    </xf>
    <xf numFmtId="179" fontId="113" fillId="7" borderId="1" xfId="10" applyNumberFormat="1" applyFont="1" applyFill="1" applyBorder="1" applyAlignment="1">
      <alignment horizontal="center" vertical="center" wrapText="1"/>
    </xf>
    <xf numFmtId="0" fontId="113" fillId="7" borderId="1" xfId="10" applyFont="1" applyFill="1" applyBorder="1" applyAlignment="1">
      <alignment horizontal="center" vertical="center" wrapText="1"/>
    </xf>
    <xf numFmtId="0" fontId="19" fillId="0" borderId="1" xfId="10" applyFont="1" applyFill="1" applyBorder="1" applyAlignment="1">
      <alignment horizontal="center" vertical="center"/>
    </xf>
    <xf numFmtId="0" fontId="255" fillId="0" borderId="0" xfId="10" applyFont="1" applyFill="1" applyAlignment="1">
      <alignment horizontal="center" vertical="center"/>
    </xf>
    <xf numFmtId="0" fontId="256" fillId="7" borderId="1" xfId="10" applyFont="1" applyFill="1" applyBorder="1" applyAlignment="1">
      <alignment horizontal="center" vertical="center"/>
    </xf>
    <xf numFmtId="0" fontId="256" fillId="7" borderId="13" xfId="10" applyFont="1" applyFill="1" applyBorder="1" applyAlignment="1">
      <alignment horizontal="center" vertical="center"/>
    </xf>
    <xf numFmtId="0" fontId="256" fillId="7" borderId="2" xfId="10" applyFont="1" applyFill="1" applyBorder="1" applyAlignment="1">
      <alignment horizontal="center" vertical="center"/>
    </xf>
    <xf numFmtId="177" fontId="256" fillId="7" borderId="1" xfId="10" applyNumberFormat="1" applyFont="1" applyFill="1" applyBorder="1" applyAlignment="1">
      <alignment horizontal="center" vertical="center" wrapText="1"/>
    </xf>
    <xf numFmtId="0" fontId="256" fillId="7" borderId="1" xfId="10" applyFont="1" applyFill="1" applyBorder="1" applyAlignment="1">
      <alignment horizontal="center" vertical="center" wrapText="1"/>
    </xf>
    <xf numFmtId="0" fontId="37" fillId="0" borderId="1" xfId="10" applyFont="1" applyFill="1" applyBorder="1" applyAlignment="1">
      <alignment horizontal="center" vertical="center"/>
    </xf>
  </cellXfs>
  <cellStyles count="24">
    <cellStyle name="百分比 2" xfId="14"/>
    <cellStyle name="百分比 3" xfId="22"/>
    <cellStyle name="常规" xfId="0" builtinId="0"/>
    <cellStyle name="常规 16" xfId="10"/>
    <cellStyle name="常规 2" xfId="1"/>
    <cellStyle name="常规 2 2" xfId="8"/>
    <cellStyle name="常规 2 2 2 2 3" xfId="15"/>
    <cellStyle name="常规 2 2 2 4" xfId="21"/>
    <cellStyle name="常规 2 3" xfId="19"/>
    <cellStyle name="常规 2 4" xfId="20"/>
    <cellStyle name="常规 3" xfId="2"/>
    <cellStyle name="常规 3 2" xfId="3"/>
    <cellStyle name="常规 4" xfId="4"/>
    <cellStyle name="常规 4 2" xfId="18"/>
    <cellStyle name="常规 5" xfId="5"/>
    <cellStyle name="常规 6" xfId="6"/>
    <cellStyle name="常规 6 2" xfId="9"/>
    <cellStyle name="常规 6 2 2" xfId="16"/>
    <cellStyle name="常规 6 2 3" xfId="13"/>
    <cellStyle name="常规 7" xfId="7"/>
    <cellStyle name="常规 8" xfId="11"/>
    <cellStyle name="常规 9" xfId="12"/>
    <cellStyle name="常规 9 2" xfId="17"/>
    <cellStyle name="常规_7" xfId="23"/>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预评估</v>
      </c>
    </row>
    <row r="3" spans="1:2" s="1587" customFormat="1">
      <c r="A3" s="1585" t="s">
        <v>1217</v>
      </c>
      <c r="B3" s="1586">
        <f>'预评函-封皮'!B40</f>
        <v>0</v>
      </c>
    </row>
    <row r="4" spans="1:2" s="1587" customFormat="1">
      <c r="A4" s="1585" t="s">
        <v>1218</v>
      </c>
      <c r="B4" s="1586" t="str">
        <f>'预评函-封皮'!B46</f>
        <v>（注册号：0)、（注册号：0)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受贵公司委托，我公司对进行了预评估。</v>
      </c>
    </row>
    <row r="7" spans="1:2" s="1587" customFormat="1">
      <c r="A7" s="1585" t="s">
        <v>1260</v>
      </c>
      <c r="B7" s="1586" t="str">
        <f>'预评函-1'!A7</f>
        <v>估价对象为房地产，为所有。根据《国有土地使用证》[]，估价对象（分摊）出让国有建设用地使用权面积为0平方米，建筑面积为3497.55平方米。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估价对象为房地产,属开发建设的，该项目尚在开发建设中。根据《国有土地使用证》[]，估价对象（分摊）出让国有建设用地使用权面积为0平方米，规划建筑面积为3497.55平方米。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为估价委托人了解估价对象房地产市场价值提供参考依据。</v>
      </c>
    </row>
    <row r="12" spans="1:2" s="1587" customFormat="1">
      <c r="A12" s="1585" t="s">
        <v>1222</v>
      </c>
      <c r="B12" s="1586" t="str">
        <f>'预评函-1'!A15</f>
        <v>2019年7月24日（评估专业人员实地查勘之日）</v>
      </c>
    </row>
    <row r="13" spans="1:2" s="1587" customFormat="1">
      <c r="A13" s="1585" t="s">
        <v>1223</v>
      </c>
      <c r="B13" s="1586" t="str">
        <f>'预评函-1'!A18</f>
        <v>本次估价的“房地产价值”是指在正常市场情况下，在价值时点2019年7月24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本次评估采用的主估价方法为比较法和收益法。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11361</v>
      </c>
    </row>
    <row r="21" spans="1:2" s="1587" customFormat="1">
      <c r="A21" s="1585" t="s">
        <v>1231</v>
      </c>
      <c r="B21" s="1586">
        <f ca="1">'预评函-2'!D7</f>
        <v>32483</v>
      </c>
    </row>
    <row r="22" spans="1:2" s="1587" customFormat="1">
      <c r="A22" s="1585" t="s">
        <v>1232</v>
      </c>
      <c r="B22" s="1586" t="str">
        <f ca="1">'预评函-2'!D6</f>
        <v>壹亿壹仟叁佰陆拾壹万元整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11361</v>
      </c>
    </row>
    <row r="31" spans="1:2" s="1587" customFormat="1">
      <c r="A31" s="1585" t="s">
        <v>1270</v>
      </c>
      <c r="B31" s="1586">
        <f ca="1">'预评函-2'!D15</f>
        <v>32483</v>
      </c>
    </row>
    <row r="32" spans="1:2" s="1587" customFormat="1">
      <c r="A32" s="1585" t="s">
        <v>1237</v>
      </c>
      <c r="B32" s="1586" t="str">
        <f ca="1">'预评函-2'!D14</f>
        <v>壹亿壹仟叁佰陆拾壹万元整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房地产</v>
      </c>
    </row>
    <row r="42" spans="1:2" s="1587" customFormat="1">
      <c r="A42" s="1585" t="s">
        <v>1284</v>
      </c>
      <c r="B42" s="1586" t="str">
        <f>'预评函-3'!B2</f>
        <v>建筑面积</v>
      </c>
    </row>
    <row r="43" spans="1:2" s="1587" customFormat="1">
      <c r="A43" s="1585" t="s">
        <v>1285</v>
      </c>
      <c r="B43" s="1586">
        <f>'预评函-3'!B4</f>
        <v>3497.5499999999993</v>
      </c>
    </row>
    <row r="44" spans="1:2" s="1587" customFormat="1">
      <c r="A44" s="1585" t="s">
        <v>1269</v>
      </c>
      <c r="B44" s="1586" t="str">
        <f>'预评函-3'!C2</f>
        <v>(分摊)土地面积</v>
      </c>
    </row>
    <row r="45" spans="1:2" s="1587" customFormat="1">
      <c r="A45" s="1585" t="s">
        <v>1241</v>
      </c>
      <c r="B45" s="1586">
        <f>'预评函-3'!C4</f>
        <v>0</v>
      </c>
    </row>
    <row r="46" spans="1:2" s="1587" customFormat="1">
      <c r="A46" s="1585" t="s">
        <v>1267</v>
      </c>
      <c r="B46" s="1586" t="str">
        <f>'预评函-3'!D2</f>
        <v>出让国有建设用地使用权价值</v>
      </c>
    </row>
    <row r="47" spans="1:2" s="1587" customFormat="1">
      <c r="A47" s="1585" t="s">
        <v>1242</v>
      </c>
      <c r="B47" s="1586" t="e">
        <f ca="1">'预评函-3'!D4</f>
        <v>#REF!</v>
      </c>
    </row>
    <row r="48" spans="1:2" s="1587" customFormat="1">
      <c r="A48" s="1585" t="s">
        <v>1243</v>
      </c>
      <c r="B48" s="1586" t="e">
        <f ca="1">'预评函-3'!E4</f>
        <v>#REF!</v>
      </c>
    </row>
    <row r="49" spans="1:2" s="1587" customFormat="1">
      <c r="A49" s="1585" t="s">
        <v>1244</v>
      </c>
      <c r="B49" s="1586" t="e">
        <f ca="1">'预评函-3'!D5</f>
        <v>#REF!</v>
      </c>
    </row>
    <row r="50" spans="1:2" s="1587" customFormat="1">
      <c r="A50" s="1585" t="s">
        <v>1268</v>
      </c>
      <c r="B50" s="1586" t="str">
        <f>'预评函-3'!F2</f>
        <v>在建建筑物价值</v>
      </c>
    </row>
    <row r="51" spans="1:2" s="1587" customFormat="1">
      <c r="A51" s="1585" t="s">
        <v>1245</v>
      </c>
      <c r="B51" s="1586" t="e">
        <f ca="1">'预评函-3'!F4</f>
        <v>#REF!</v>
      </c>
    </row>
    <row r="52" spans="1:2" s="1587" customFormat="1">
      <c r="A52" s="1585" t="s">
        <v>1246</v>
      </c>
      <c r="B52" s="1586" t="e">
        <f ca="1">'预评函-3'!G4</f>
        <v>#REF!</v>
      </c>
    </row>
    <row r="53" spans="1:2" s="1587" customFormat="1">
      <c r="A53" s="1585" t="s">
        <v>1274</v>
      </c>
      <c r="B53" s="1586" t="e">
        <f ca="1">'预评函-3'!F5</f>
        <v>#REF!</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2.本次评估设定估价对象房地产权属无争议，未被查封或者以其他形式限制其房地产权利，未设定抵押权等他项权利，不涉及第三方权利义务。</v>
      </c>
    </row>
    <row r="59" spans="1:2" s="1587" customFormat="1">
      <c r="A59" s="1585" t="s">
        <v>1248</v>
      </c>
      <c r="B59" s="1586" t="str">
        <f>'预评函-4'!A13</f>
        <v>——</v>
      </c>
    </row>
    <row r="60" spans="1:2" s="1587" customFormat="1">
      <c r="A60" s="1585" t="s">
        <v>1249</v>
      </c>
      <c r="B60" s="1586" t="str">
        <f>'预评函-4'!A14</f>
        <v>——</v>
      </c>
    </row>
    <row r="61" spans="1:2" s="1587" customFormat="1">
      <c r="A61" s="1585" t="s">
        <v>1250</v>
      </c>
      <c r="B61" s="1586" t="str">
        <f>'预评函-4'!A15</f>
        <v>——</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v>
      </c>
    </row>
    <row r="65" spans="1:2" s="1587" customFormat="1">
      <c r="A65" s="1585" t="s">
        <v>1253</v>
      </c>
      <c r="B65" s="158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f>'预评函-4'!A4</f>
        <v>0</v>
      </c>
    </row>
    <row r="71" spans="1:2">
      <c r="A71" s="1585" t="s">
        <v>1257</v>
      </c>
      <c r="B71" s="1586">
        <f>'预评函-4'!B4</f>
        <v>0</v>
      </c>
    </row>
    <row r="72" spans="1:2">
      <c r="A72" s="1585" t="s">
        <v>1258</v>
      </c>
      <c r="B72" s="1594">
        <f>'预评函-4'!A5</f>
        <v>0</v>
      </c>
    </row>
    <row r="73" spans="1:2" s="1581" customFormat="1" ht="15" thickBot="1">
      <c r="A73" s="1588" t="s">
        <v>1259</v>
      </c>
      <c r="B73" s="1589">
        <f>'预评函-4'!B5</f>
        <v>0</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757</v>
      </c>
      <c r="C17" s="2008"/>
    </row>
    <row r="18" spans="1:3">
      <c r="A18" s="2007" t="s">
        <v>1762</v>
      </c>
      <c r="B18" s="2007" t="s">
        <v>757</v>
      </c>
      <c r="C18" s="2008"/>
    </row>
    <row r="19" spans="1:3">
      <c r="A19" s="2007" t="s">
        <v>1763</v>
      </c>
      <c r="B19" s="2007" t="s">
        <v>757</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111"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2015" t="s">
        <v>861</v>
      </c>
      <c r="C54" s="2012" t="s">
        <v>1277</v>
      </c>
    </row>
    <row r="55" spans="1:4">
      <c r="A55" s="3111"/>
      <c r="B55" s="2015" t="s">
        <v>862</v>
      </c>
      <c r="C55" s="2012" t="s">
        <v>1278</v>
      </c>
    </row>
    <row r="56" spans="1:4">
      <c r="A56" s="3111"/>
      <c r="B56" s="2015" t="s">
        <v>863</v>
      </c>
      <c r="C56" s="2012" t="s">
        <v>1282</v>
      </c>
    </row>
    <row r="57" spans="1:4">
      <c r="A57" s="3111"/>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3" customWidth="1"/>
    <col min="10" max="10" width="10" style="2025" customWidth="1"/>
    <col min="11" max="11" width="10" style="2154" customWidth="1"/>
    <col min="12" max="13" width="10" style="2155" customWidth="1"/>
    <col min="14" max="14" width="10" style="2025" customWidth="1"/>
    <col min="15" max="15" width="10" style="2153" customWidth="1"/>
    <col min="16" max="17" width="10" style="2025"/>
    <col min="18" max="18" width="10" style="2025" customWidth="1"/>
    <col min="19" max="16384" width="10" style="2025"/>
  </cols>
  <sheetData>
    <row r="1" spans="1:19" ht="38.25" customHeight="1" thickBot="1">
      <c r="A1" s="2018" t="s">
        <v>1771</v>
      </c>
      <c r="B1" s="3120" t="str">
        <f>IF(B10="北京市","北京市",C10)&amp;F10&amp;IF(结果表!G1="在建","出让国有建设用地使用权及在建建筑物",IF(结果表!G1="土地","出让国有建设用地使用权",))&amp;B9&amp;"预评估"</f>
        <v>预评估</v>
      </c>
      <c r="C1" s="3121"/>
      <c r="D1" s="3121"/>
      <c r="E1" s="3121"/>
      <c r="F1" s="3121"/>
      <c r="G1" s="3121"/>
      <c r="H1" s="3121"/>
      <c r="I1" s="3122"/>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
      </c>
    </row>
    <row r="2" spans="1:19" ht="18" customHeight="1">
      <c r="A2" s="2019" t="s">
        <v>1772</v>
      </c>
      <c r="B2" s="1035"/>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房地产</v>
      </c>
    </row>
    <row r="3" spans="1:19" ht="18" customHeight="1">
      <c r="A3" s="2028" t="s">
        <v>1773</v>
      </c>
      <c r="B3" s="2029">
        <v>43670</v>
      </c>
      <c r="C3" s="2030" t="s">
        <v>1774</v>
      </c>
      <c r="D3" s="2029">
        <v>43670</v>
      </c>
      <c r="E3" s="2019"/>
      <c r="F3" s="2019"/>
      <c r="G3" s="2019"/>
      <c r="H3" s="2019"/>
      <c r="I3" s="2019"/>
      <c r="J3" s="2019"/>
      <c r="K3" s="2020"/>
      <c r="L3" s="2021"/>
      <c r="M3" s="2021"/>
      <c r="N3" s="2022"/>
      <c r="O3" s="2023"/>
      <c r="P3" s="2022"/>
      <c r="Q3" s="2022"/>
      <c r="R3" s="2022"/>
      <c r="S3" s="2024"/>
    </row>
    <row r="4" spans="1:19" ht="18" customHeight="1" thickBot="1">
      <c r="A4" s="2031" t="s">
        <v>1775</v>
      </c>
      <c r="B4" s="2032"/>
      <c r="C4" s="1033">
        <f>SUMIF(注册房地产估价师,B4,估价师及机构信息!B3:B24)</f>
        <v>0</v>
      </c>
      <c r="D4" s="2032"/>
      <c r="E4" s="1034">
        <f>SUMIF(注册房地产估价师,D4,估价师及机构信息!B3:B24)</f>
        <v>0</v>
      </c>
      <c r="F4" s="2032" t="s">
        <v>70</v>
      </c>
      <c r="G4" s="2033">
        <f>SUMIF(注册房地产估价师,F4,估价师及机构信息!B3:B24)</f>
        <v>0</v>
      </c>
      <c r="H4" s="2032" t="s">
        <v>70</v>
      </c>
      <c r="I4" s="2034">
        <f>SUMIF(注册房地产估价师,H4,估价师及机构信息!B3:B24)</f>
        <v>0</v>
      </c>
      <c r="J4" s="2035"/>
      <c r="K4" s="2036" t="str">
        <f>CONCATENATE(B4,"（注册号：",C4,")、",D4,"（注册号：",E4,")")</f>
        <v>（注册号：0)、（注册号：0)</v>
      </c>
      <c r="L4" s="2021"/>
      <c r="M4" s="2021"/>
      <c r="N4" s="2022"/>
      <c r="O4" s="2023"/>
      <c r="P4" s="2022"/>
      <c r="Q4" s="2022"/>
      <c r="R4" s="2022"/>
      <c r="S4" s="2024"/>
    </row>
    <row r="5" spans="1:19" ht="18" customHeight="1" thickTop="1">
      <c r="A5" s="2037" t="s">
        <v>1776</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1777</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1778</v>
      </c>
      <c r="B7" s="2046"/>
      <c r="C7" s="2043"/>
      <c r="D7" s="2044"/>
      <c r="E7" s="2027"/>
      <c r="F7" s="2035"/>
      <c r="G7" s="2035"/>
      <c r="H7" s="2035"/>
      <c r="I7" s="2035"/>
      <c r="J7" s="2035"/>
      <c r="K7" s="2047"/>
      <c r="L7" s="2021"/>
      <c r="M7" s="2021"/>
      <c r="N7" s="2022"/>
      <c r="O7" s="2023"/>
      <c r="P7" s="2022"/>
      <c r="Q7" s="2022"/>
      <c r="R7" s="2022"/>
    </row>
    <row r="8" spans="1:19" ht="18" customHeight="1">
      <c r="A8" s="2041" t="s">
        <v>1779</v>
      </c>
      <c r="B8" s="2048"/>
      <c r="C8" s="2049"/>
      <c r="D8" s="3123" t="s">
        <v>1780</v>
      </c>
      <c r="E8" s="2050"/>
      <c r="F8" s="2051"/>
      <c r="G8" s="2019"/>
      <c r="H8" s="2019"/>
      <c r="I8" s="2019"/>
      <c r="J8" s="2035"/>
      <c r="K8" s="2036"/>
      <c r="L8" s="2021"/>
      <c r="M8" s="2021"/>
      <c r="N8" s="2022"/>
      <c r="O8" s="2023"/>
      <c r="P8" s="2022"/>
      <c r="Q8" s="2022"/>
      <c r="R8" s="2022"/>
    </row>
    <row r="9" spans="1:19" ht="18" customHeight="1" thickBot="1">
      <c r="A9" s="2033" t="s">
        <v>1781</v>
      </c>
      <c r="B9" s="2052"/>
      <c r="C9" s="2053"/>
      <c r="D9" s="3124"/>
      <c r="E9" s="2052"/>
      <c r="F9" s="2054"/>
      <c r="G9" s="2055"/>
      <c r="H9" s="2055"/>
      <c r="I9" s="2055"/>
      <c r="J9" s="2035"/>
      <c r="K9" s="2047"/>
      <c r="L9" s="2021"/>
      <c r="M9" s="2021"/>
      <c r="N9" s="2022"/>
      <c r="O9" s="2023"/>
      <c r="P9" s="2022"/>
      <c r="Q9" s="2022"/>
      <c r="R9" s="2022"/>
    </row>
    <row r="10" spans="1:19" ht="18" customHeight="1" thickTop="1">
      <c r="A10" s="2056" t="s">
        <v>1782</v>
      </c>
      <c r="B10" s="2057"/>
      <c r="C10" s="2058"/>
      <c r="D10" s="2040"/>
      <c r="E10" s="2059" t="s">
        <v>1783</v>
      </c>
      <c r="F10" s="2060"/>
      <c r="G10" s="2061"/>
      <c r="H10" s="2062"/>
      <c r="I10" s="2040"/>
      <c r="J10" s="2035"/>
      <c r="K10" s="2047"/>
      <c r="L10" s="2021"/>
      <c r="M10" s="2021"/>
      <c r="N10" s="2022"/>
      <c r="O10" s="2023"/>
      <c r="P10" s="2022"/>
      <c r="Q10" s="2022"/>
      <c r="R10" s="2022"/>
    </row>
    <row r="11" spans="1:19" ht="18" customHeight="1">
      <c r="A11" s="2063" t="s">
        <v>1784</v>
      </c>
      <c r="B11" s="2064"/>
      <c r="C11" s="2065"/>
      <c r="D11" s="2066"/>
      <c r="E11" s="2035"/>
      <c r="F11" s="2035"/>
      <c r="G11" s="2035"/>
      <c r="H11" s="2035"/>
      <c r="I11" s="2035"/>
      <c r="J11" s="2035"/>
      <c r="K11" s="2047"/>
      <c r="L11" s="2021"/>
      <c r="M11" s="2021"/>
      <c r="N11" s="2022"/>
      <c r="O11" s="2023"/>
      <c r="P11" s="2022"/>
      <c r="Q11" s="2022"/>
      <c r="R11" s="2022"/>
    </row>
    <row r="12" spans="1:19" ht="18" customHeight="1">
      <c r="A12" s="2067" t="s">
        <v>1785</v>
      </c>
      <c r="B12" s="2064" t="s">
        <v>3047</v>
      </c>
      <c r="C12" s="2068" t="s">
        <v>1786</v>
      </c>
      <c r="D12" s="2069" t="s">
        <v>1787</v>
      </c>
      <c r="E12" s="2069" t="s">
        <v>1788</v>
      </c>
      <c r="F12" s="2069" t="s">
        <v>1789</v>
      </c>
      <c r="G12" s="2069" t="s">
        <v>1790</v>
      </c>
      <c r="H12" s="2069" t="s">
        <v>1791</v>
      </c>
      <c r="I12" s="2069" t="s">
        <v>1792</v>
      </c>
      <c r="J12" s="2035"/>
      <c r="K12" s="2047"/>
      <c r="L12" s="2021"/>
      <c r="M12" s="2021"/>
      <c r="N12" s="2022"/>
      <c r="O12" s="2023"/>
      <c r="P12" s="2022"/>
      <c r="Q12" s="2022"/>
      <c r="R12" s="2022"/>
    </row>
    <row r="13" spans="1:19" ht="18" customHeight="1">
      <c r="A13" s="2070"/>
      <c r="B13" s="2071"/>
      <c r="C13" s="2072" t="s">
        <v>1793</v>
      </c>
      <c r="D13" s="2073"/>
      <c r="E13" s="2073">
        <v>54945</v>
      </c>
      <c r="F13" s="2073"/>
      <c r="G13" s="2073"/>
      <c r="H13" s="2073"/>
      <c r="I13" s="1043"/>
      <c r="J13" s="2035"/>
      <c r="K13" s="2047"/>
      <c r="L13" s="2021"/>
      <c r="M13" s="2021"/>
      <c r="N13" s="2022"/>
      <c r="O13" s="2023"/>
      <c r="P13" s="2022"/>
      <c r="Q13" s="2022"/>
      <c r="R13" s="2022"/>
    </row>
    <row r="14" spans="1:19" ht="18" customHeight="1">
      <c r="A14" s="2070"/>
      <c r="B14" s="2071"/>
      <c r="C14" s="2072" t="s">
        <v>1794</v>
      </c>
      <c r="D14" s="1046"/>
      <c r="E14" s="1046">
        <v>40</v>
      </c>
      <c r="F14" s="1046"/>
      <c r="G14" s="1046"/>
      <c r="H14" s="1046"/>
      <c r="I14" s="1046"/>
      <c r="J14" s="2035"/>
      <c r="K14" s="2074"/>
      <c r="L14" s="2021"/>
      <c r="M14" s="2021"/>
      <c r="N14" s="2022"/>
      <c r="O14" s="2023"/>
      <c r="P14" s="2022"/>
      <c r="Q14" s="2022"/>
      <c r="R14" s="2022"/>
    </row>
    <row r="15" spans="1:19" ht="18" customHeight="1">
      <c r="A15" s="2056"/>
      <c r="B15" s="2075"/>
      <c r="C15" s="2072" t="s">
        <v>1795</v>
      </c>
      <c r="D15" s="1045" t="str">
        <f>IF(B12="出让",IF(D13="","",ROUNDDOWN(MIN((D13-$D$3)/365,D14),2)),D14)</f>
        <v/>
      </c>
      <c r="E15" s="1045">
        <f>IF(B12="出让",IF(E13="","",ROUNDDOWN(MIN((E13-$D$3)/365,E14),2)),E14)</f>
        <v>30.89</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5"/>
      <c r="K15" s="2076"/>
      <c r="L15" s="2077"/>
      <c r="M15" s="2077"/>
      <c r="N15" s="2078"/>
      <c r="O15" s="2077"/>
      <c r="P15" s="2078"/>
      <c r="Q15" s="2022"/>
      <c r="R15" s="2022"/>
    </row>
    <row r="16" spans="1:19" ht="30.75" customHeight="1">
      <c r="A16" s="2059" t="s">
        <v>1796</v>
      </c>
      <c r="B16" s="3130"/>
      <c r="C16" s="3131"/>
      <c r="D16" s="3132"/>
      <c r="E16" s="2079" t="s">
        <v>1797</v>
      </c>
      <c r="F16" s="3133"/>
      <c r="G16" s="3134"/>
      <c r="H16" s="3134"/>
      <c r="I16" s="3135"/>
      <c r="J16" s="2022"/>
      <c r="K16" s="2076"/>
      <c r="L16" s="2077"/>
      <c r="M16" s="2077"/>
      <c r="N16" s="2078"/>
      <c r="O16" s="2077"/>
      <c r="P16" s="2078"/>
      <c r="Q16" s="2022"/>
      <c r="R16" s="2022"/>
    </row>
    <row r="17" spans="1:22" ht="18" customHeight="1">
      <c r="A17" s="2080" t="s">
        <v>1798</v>
      </c>
      <c r="B17" s="2028" t="s">
        <v>1799</v>
      </c>
      <c r="C17" s="1050">
        <f>'数据-汇总表'!E3</f>
        <v>3497.5499999999993</v>
      </c>
      <c r="D17" s="2081" t="s">
        <v>1800</v>
      </c>
      <c r="E17" s="3136" t="s">
        <v>1801</v>
      </c>
      <c r="F17" s="3137"/>
      <c r="G17" s="3137"/>
      <c r="H17" s="3137"/>
      <c r="I17" s="3138"/>
      <c r="J17" s="2022"/>
      <c r="K17" s="2082"/>
      <c r="L17" s="2077"/>
      <c r="M17" s="2077"/>
      <c r="N17" s="2078"/>
      <c r="O17" s="2077"/>
      <c r="P17" s="2078"/>
      <c r="Q17" s="2022"/>
      <c r="R17" s="2022"/>
      <c r="S17" s="2022"/>
      <c r="T17" s="2022"/>
      <c r="U17" s="2022"/>
      <c r="V17" s="2022"/>
    </row>
    <row r="18" spans="1:22" ht="36" customHeight="1" thickBot="1">
      <c r="A18" s="2083" t="s">
        <v>1802</v>
      </c>
      <c r="B18" s="2031" t="s">
        <v>1803</v>
      </c>
      <c r="C18" s="1438">
        <f>'数据-汇总表'!D3</f>
        <v>0</v>
      </c>
      <c r="D18" s="2084" t="s">
        <v>1800</v>
      </c>
      <c r="E18" s="3139" t="s">
        <v>1804</v>
      </c>
      <c r="F18" s="3140"/>
      <c r="G18" s="3140"/>
      <c r="H18" s="3140"/>
      <c r="I18" s="3141"/>
      <c r="J18" s="2022"/>
      <c r="K18" s="2082"/>
      <c r="L18" s="2077"/>
      <c r="M18" s="2077"/>
      <c r="N18" s="2078"/>
      <c r="O18" s="2077"/>
      <c r="P18" s="2078"/>
      <c r="Q18" s="2022"/>
      <c r="R18" s="2022"/>
      <c r="S18" s="2022"/>
      <c r="T18" s="2022"/>
      <c r="U18" s="2022"/>
      <c r="V18" s="2022"/>
    </row>
    <row r="19" spans="1:22" ht="37.5" customHeight="1" thickTop="1" thickBot="1">
      <c r="A19" s="373" t="s">
        <v>1805</v>
      </c>
      <c r="B19" s="352" t="s">
        <v>1806</v>
      </c>
      <c r="C19" s="2085"/>
      <c r="D19" s="2086" t="s">
        <v>1807</v>
      </c>
      <c r="E19" s="2087"/>
      <c r="F19" s="2088" t="str">
        <f>IF(AND(C19="是",E19="否"),"是否提供他项权证或相关说明","")</f>
        <v/>
      </c>
      <c r="G19" s="2089"/>
      <c r="H19" s="2035"/>
      <c r="I19" s="2035"/>
      <c r="J19" s="2035"/>
      <c r="K19" s="2047"/>
      <c r="L19" s="2021"/>
      <c r="M19" s="2021"/>
      <c r="N19" s="2078"/>
      <c r="O19" s="2077"/>
      <c r="P19" s="2078"/>
      <c r="Q19" s="2022"/>
      <c r="R19" s="2022"/>
      <c r="S19" s="2022"/>
      <c r="T19" s="2022"/>
      <c r="U19" s="2022"/>
      <c r="V19" s="2022"/>
    </row>
    <row r="20" spans="1:22" ht="18" customHeight="1">
      <c r="A20" s="2090" t="s">
        <v>1808</v>
      </c>
      <c r="B20" s="3126" t="s">
        <v>1809</v>
      </c>
      <c r="C20" s="3127"/>
      <c r="D20" s="3128" t="s">
        <v>1810</v>
      </c>
      <c r="E20" s="3129"/>
      <c r="F20" s="2091" t="s">
        <v>1811</v>
      </c>
      <c r="G20" s="2035"/>
      <c r="H20" s="2035"/>
      <c r="I20" s="2035"/>
      <c r="J20" s="2035"/>
      <c r="K20" s="3125" t="s">
        <v>1812</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8"/>
      <c r="O20" s="2077"/>
      <c r="P20" s="2078"/>
      <c r="Q20" s="2022"/>
      <c r="R20" s="2022"/>
      <c r="S20" s="2022"/>
      <c r="T20" s="2022"/>
      <c r="U20" s="2022"/>
      <c r="V20" s="2022"/>
    </row>
    <row r="21" spans="1:22" ht="24.75" customHeight="1">
      <c r="A21" s="2090"/>
      <c r="B21" s="2092" t="s">
        <v>1813</v>
      </c>
      <c r="C21" s="2093" t="s">
        <v>1814</v>
      </c>
      <c r="D21" s="2094" t="s">
        <v>1815</v>
      </c>
      <c r="E21" s="2095" t="s">
        <v>1814</v>
      </c>
      <c r="F21" s="2096"/>
      <c r="G21" s="2035"/>
      <c r="H21" s="2035"/>
      <c r="I21" s="2035"/>
      <c r="J21" s="2035"/>
      <c r="K21" s="312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8"/>
      <c r="O21" s="2077"/>
      <c r="P21" s="2078"/>
      <c r="Q21" s="2022"/>
      <c r="R21" s="2022"/>
      <c r="S21" s="2022"/>
      <c r="T21" s="2022"/>
      <c r="U21" s="2022"/>
      <c r="V21" s="2022"/>
    </row>
    <row r="22" spans="1:22" ht="24.75" customHeight="1" thickBot="1">
      <c r="A22" s="2090"/>
      <c r="B22" s="2097" t="s">
        <v>1816</v>
      </c>
      <c r="C22" s="2093" t="s">
        <v>1817</v>
      </c>
      <c r="D22" s="2019"/>
      <c r="E22" s="2019"/>
      <c r="F22" s="2098"/>
      <c r="G22" s="2035"/>
      <c r="H22" s="2035"/>
      <c r="I22" s="2035"/>
      <c r="J22" s="2035"/>
      <c r="K22" s="312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8"/>
      <c r="O22" s="2077"/>
      <c r="P22" s="2078"/>
      <c r="Q22" s="2022"/>
      <c r="R22" s="2022"/>
      <c r="S22" s="2022"/>
      <c r="T22" s="2022"/>
      <c r="U22" s="2022"/>
      <c r="V22" s="2022"/>
    </row>
    <row r="23" spans="1:22" ht="18" customHeight="1">
      <c r="A23" s="2099" t="s">
        <v>1818</v>
      </c>
      <c r="B23" s="183" t="s">
        <v>1819</v>
      </c>
      <c r="C23" s="2100"/>
      <c r="D23" s="2101" t="s">
        <v>1819</v>
      </c>
      <c r="E23" s="2102"/>
      <c r="F23" s="2098"/>
      <c r="G23" s="2035"/>
      <c r="H23" s="2035"/>
      <c r="I23" s="2035"/>
      <c r="J23" s="2035"/>
      <c r="K23" s="2103"/>
      <c r="L23" s="744"/>
      <c r="M23" s="2021"/>
      <c r="N23" s="2078"/>
      <c r="O23" s="2077"/>
      <c r="P23" s="2078"/>
      <c r="Q23" s="2022"/>
      <c r="R23" s="2022"/>
      <c r="S23" s="2022"/>
      <c r="T23" s="2022"/>
      <c r="U23" s="2022"/>
      <c r="V23" s="2022"/>
    </row>
    <row r="24" spans="1:22" ht="18" customHeight="1">
      <c r="A24" s="2104"/>
      <c r="B24" s="183" t="s">
        <v>1820</v>
      </c>
      <c r="C24" s="2105"/>
      <c r="D24" s="2099" t="s">
        <v>1820</v>
      </c>
      <c r="E24" s="2106"/>
      <c r="F24" s="2098"/>
      <c r="G24" s="2035"/>
      <c r="H24" s="2035"/>
      <c r="I24" s="2035"/>
      <c r="J24" s="2035"/>
      <c r="K24" s="2103"/>
      <c r="L24" s="744"/>
      <c r="M24" s="2021"/>
      <c r="N24" s="2078"/>
      <c r="O24" s="2077"/>
      <c r="P24" s="2078"/>
      <c r="Q24" s="2022"/>
      <c r="R24" s="2022"/>
      <c r="S24" s="2022"/>
      <c r="T24" s="2022"/>
      <c r="U24" s="2022"/>
      <c r="V24" s="2022"/>
    </row>
    <row r="25" spans="1:22" ht="18" customHeight="1">
      <c r="A25" s="2104"/>
      <c r="B25" s="183" t="s">
        <v>1821</v>
      </c>
      <c r="C25" s="2105"/>
      <c r="D25" s="2099" t="s">
        <v>1821</v>
      </c>
      <c r="E25" s="2106"/>
      <c r="F25" s="2098"/>
      <c r="G25" s="2035"/>
      <c r="H25" s="2035"/>
      <c r="I25" s="2035"/>
      <c r="J25" s="2035"/>
      <c r="K25" s="2047"/>
      <c r="L25" s="2021"/>
      <c r="M25" s="2021"/>
      <c r="N25" s="2078"/>
      <c r="O25" s="2077"/>
      <c r="P25" s="2078"/>
      <c r="Q25" s="2022"/>
      <c r="R25" s="2022"/>
      <c r="S25" s="2022"/>
      <c r="T25" s="2022"/>
      <c r="U25" s="2022"/>
      <c r="V25" s="2022"/>
    </row>
    <row r="26" spans="1:22" ht="18" customHeight="1" thickBot="1">
      <c r="A26" s="2107"/>
      <c r="B26" s="2108" t="s">
        <v>1822</v>
      </c>
      <c r="C26" s="2109"/>
      <c r="D26" s="2110" t="s">
        <v>1823</v>
      </c>
      <c r="E26" s="2111"/>
      <c r="F26" s="2112"/>
      <c r="G26" s="2055"/>
      <c r="H26" s="2055"/>
      <c r="I26" s="2055"/>
      <c r="J26" s="2035"/>
      <c r="K26" s="2047"/>
      <c r="L26" s="2021"/>
      <c r="M26" s="2021"/>
      <c r="N26" s="2078"/>
      <c r="O26" s="2077"/>
      <c r="P26" s="2078"/>
      <c r="Q26" s="2022"/>
      <c r="R26" s="2022"/>
      <c r="S26" s="2022"/>
      <c r="T26" s="2022"/>
      <c r="U26" s="2022"/>
      <c r="V26" s="2022"/>
    </row>
    <row r="27" spans="1:22" ht="18" customHeight="1" thickTop="1">
      <c r="A27" s="3113" t="s">
        <v>1824</v>
      </c>
      <c r="B27" s="2056" t="s">
        <v>1825</v>
      </c>
      <c r="C27" s="2113"/>
      <c r="D27" s="2114"/>
      <c r="E27" s="2035"/>
      <c r="F27" s="2035"/>
      <c r="G27" s="2035"/>
      <c r="H27" s="2035"/>
      <c r="I27" s="2035"/>
      <c r="J27" s="2022"/>
      <c r="K27" s="2076"/>
      <c r="L27" s="2077"/>
      <c r="M27" s="2077"/>
      <c r="N27" s="2078"/>
      <c r="O27" s="2077"/>
      <c r="P27" s="2078"/>
      <c r="Q27" s="2022"/>
      <c r="R27" s="2022"/>
      <c r="S27" s="2022"/>
      <c r="T27" s="2022"/>
      <c r="U27" s="2022"/>
      <c r="V27" s="2022"/>
    </row>
    <row r="28" spans="1:22" ht="18" customHeight="1">
      <c r="A28" s="3113"/>
      <c r="B28" s="2028" t="s">
        <v>1826</v>
      </c>
      <c r="C28" s="2115"/>
      <c r="D28" s="2116"/>
      <c r="E28" s="2035"/>
      <c r="F28" s="2035"/>
      <c r="G28" s="2035"/>
      <c r="H28" s="2035"/>
      <c r="I28" s="2035"/>
      <c r="J28" s="2022"/>
      <c r="K28" s="2117"/>
      <c r="L28" s="2021"/>
      <c r="M28" s="2021"/>
      <c r="N28" s="2022"/>
      <c r="O28" s="2023"/>
      <c r="P28" s="2022"/>
      <c r="Q28" s="2022"/>
      <c r="R28" s="2022"/>
      <c r="S28" s="2022"/>
      <c r="T28" s="2022"/>
      <c r="U28" s="2022"/>
      <c r="V28" s="2022"/>
    </row>
    <row r="29" spans="1:22" ht="18" customHeight="1">
      <c r="A29" s="3113"/>
      <c r="B29" s="2028" t="s">
        <v>1827</v>
      </c>
      <c r="C29" s="2118"/>
      <c r="D29" s="2119"/>
      <c r="E29" s="2035"/>
      <c r="F29" s="2035"/>
      <c r="G29" s="2035"/>
      <c r="H29" s="2035"/>
      <c r="I29" s="2035"/>
      <c r="J29" s="2022"/>
      <c r="K29" s="2117"/>
      <c r="L29" s="2021"/>
      <c r="M29" s="2021"/>
      <c r="N29" s="2022"/>
      <c r="O29" s="2023"/>
      <c r="P29" s="2022"/>
      <c r="Q29" s="2022"/>
      <c r="R29" s="2022"/>
      <c r="S29" s="2022"/>
      <c r="T29" s="2022"/>
      <c r="U29" s="2022"/>
      <c r="V29" s="2022"/>
    </row>
    <row r="30" spans="1:22" ht="18" customHeight="1">
      <c r="A30" s="3114"/>
      <c r="B30" s="2028" t="s">
        <v>1828</v>
      </c>
      <c r="C30" s="3115"/>
      <c r="D30" s="3116"/>
      <c r="E30" s="2035"/>
      <c r="F30" s="2035"/>
      <c r="G30" s="2035"/>
      <c r="H30" s="2035"/>
      <c r="I30" s="2035"/>
      <c r="J30" s="2022"/>
      <c r="K30" s="2117"/>
      <c r="L30" s="2021"/>
      <c r="M30" s="2021"/>
      <c r="N30" s="2022"/>
      <c r="O30" s="2023"/>
      <c r="P30" s="2022"/>
      <c r="Q30" s="2022"/>
      <c r="R30" s="2022"/>
      <c r="S30" s="2022"/>
      <c r="T30" s="2022"/>
      <c r="U30" s="2022"/>
      <c r="V30" s="2022"/>
    </row>
    <row r="31" spans="1:22" ht="18" customHeight="1">
      <c r="A31" s="3117" t="s">
        <v>1829</v>
      </c>
      <c r="B31" s="2120"/>
      <c r="C31" s="2121" t="str">
        <f>IF(B31="现房","成新及维护状况正常否",IF(B31="在建","工程状态是否正常",IF(B31="土地","是否闲置","-")))</f>
        <v>-</v>
      </c>
      <c r="D31" s="2122"/>
      <c r="E31" s="2123"/>
      <c r="F31" s="2035"/>
      <c r="G31" s="2035"/>
      <c r="H31" s="2035"/>
      <c r="I31" s="2035"/>
      <c r="J31" s="2035"/>
      <c r="K31" s="2045"/>
      <c r="L31" s="2021"/>
      <c r="M31" s="2021"/>
      <c r="N31" s="2022"/>
      <c r="O31" s="2023"/>
      <c r="P31" s="2022"/>
      <c r="Q31" s="2022"/>
      <c r="R31" s="2022"/>
      <c r="S31" s="2022"/>
      <c r="T31" s="2022"/>
      <c r="U31" s="2022"/>
      <c r="V31" s="2022"/>
    </row>
    <row r="32" spans="1:22" ht="18" customHeight="1">
      <c r="A32" s="3118"/>
      <c r="B32" s="2120"/>
      <c r="C32" s="2121" t="str">
        <f>IF(B32="现房","成新及维护状况是否正常",IF(B32="在建","工程状态是否正常",IF(B32="土地","是否闲置","-")))</f>
        <v>-</v>
      </c>
      <c r="D32" s="2122"/>
      <c r="E32" s="2123"/>
      <c r="F32" s="2035"/>
      <c r="G32" s="2035"/>
      <c r="H32" s="2035"/>
      <c r="I32" s="2035"/>
      <c r="J32" s="2035"/>
      <c r="K32" s="2047"/>
      <c r="L32" s="2021"/>
      <c r="M32" s="2021"/>
      <c r="N32" s="2022"/>
      <c r="O32" s="2023"/>
      <c r="P32" s="2022"/>
      <c r="Q32" s="2022"/>
      <c r="R32" s="2022"/>
      <c r="S32" s="2022"/>
      <c r="T32" s="2022"/>
      <c r="U32" s="2022"/>
      <c r="V32" s="2022"/>
    </row>
    <row r="33" spans="1:22" ht="18" customHeight="1">
      <c r="A33" s="3118"/>
      <c r="B33" s="2124"/>
      <c r="C33" s="2063" t="str">
        <f>IF(B33="现房","成新及维护状况是否正常",IF(B33="在建","工程状态是否正常",IF(B33="土地","是否闲置","-")))</f>
        <v>-</v>
      </c>
      <c r="D33" s="2125"/>
      <c r="E33" s="2126"/>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1830</v>
      </c>
      <c r="B34" s="2127"/>
      <c r="C34" s="2127"/>
      <c r="D34" s="2127"/>
      <c r="E34" s="2127"/>
      <c r="F34" s="2127"/>
      <c r="G34" s="2127"/>
      <c r="H34" s="2127"/>
      <c r="I34" s="2035"/>
      <c r="J34" s="2035"/>
      <c r="K34" s="1789">
        <f>COUNTIF(B34:H34,"——")</f>
        <v>0</v>
      </c>
      <c r="L34" s="2068" t="s">
        <v>1831</v>
      </c>
      <c r="M34" s="2068" t="s">
        <v>1832</v>
      </c>
      <c r="N34" s="2068" t="s">
        <v>1833</v>
      </c>
      <c r="O34" s="2068" t="s">
        <v>1834</v>
      </c>
      <c r="P34" s="2068" t="s">
        <v>1835</v>
      </c>
      <c r="Q34" s="2068" t="s">
        <v>1836</v>
      </c>
      <c r="R34" s="2068" t="s">
        <v>1837</v>
      </c>
      <c r="S34" s="3112" t="s">
        <v>1838</v>
      </c>
      <c r="T34" s="2128" t="str">
        <f>NUMBERSTRING(7-K34,1)&amp;"通"</f>
        <v>七通</v>
      </c>
      <c r="U34" s="2022"/>
      <c r="V34" s="2022"/>
    </row>
    <row r="35" spans="1:22" ht="18" customHeight="1">
      <c r="A35" s="2129"/>
      <c r="B35" s="3119" t="s">
        <v>1839</v>
      </c>
      <c r="C35" s="3119"/>
      <c r="D35" s="3119"/>
      <c r="E35" s="3119"/>
      <c r="F35" s="2130">
        <f>C10</f>
        <v>0</v>
      </c>
      <c r="G35" s="2035"/>
      <c r="H35" s="2035"/>
      <c r="I35" s="2035"/>
      <c r="J35" s="2035"/>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12"/>
      <c r="T35" s="48" t="str">
        <f>IF(T34="一通",L35,IF(T34="二通",M35,IF(T34="三通",N35,IF(T34="四通",O35,IF(T34="五通",P35,IF(T34="六通",Q35,R35))))))</f>
        <v>、、、、、、</v>
      </c>
      <c r="U35" s="2022"/>
      <c r="V35" s="2022"/>
    </row>
    <row r="36" spans="1:22" ht="18" customHeight="1">
      <c r="A36" s="2131"/>
      <c r="B36" s="2130" t="s">
        <v>1840</v>
      </c>
      <c r="C36" s="2130" t="s">
        <v>1841</v>
      </c>
      <c r="D36" s="2130" t="s">
        <v>1842</v>
      </c>
      <c r="E36" s="2130" t="s">
        <v>1843</v>
      </c>
      <c r="F36" s="2132"/>
      <c r="G36" s="2035"/>
      <c r="H36" s="2035"/>
      <c r="I36" s="2035"/>
      <c r="J36" s="2035"/>
      <c r="K36" s="2047"/>
      <c r="L36" s="2021"/>
      <c r="M36" s="2021"/>
      <c r="N36" s="2022"/>
      <c r="O36" s="2023"/>
      <c r="P36" s="2022"/>
      <c r="Q36" s="2022"/>
      <c r="R36" s="2022"/>
      <c r="S36" s="2022"/>
      <c r="T36" s="2022"/>
      <c r="U36" s="2022"/>
      <c r="V36" s="2022"/>
    </row>
    <row r="37" spans="1:22" ht="18" customHeight="1">
      <c r="A37" s="2133" t="s">
        <v>1844</v>
      </c>
      <c r="B37" s="2134"/>
      <c r="C37" s="2134"/>
      <c r="D37" s="2134"/>
      <c r="E37" s="2134"/>
      <c r="F37" s="2132"/>
      <c r="G37" s="2035"/>
      <c r="H37" s="2035"/>
      <c r="I37" s="2035"/>
      <c r="J37" s="2035"/>
      <c r="K37" s="2047"/>
      <c r="L37" s="2021"/>
      <c r="M37" s="2021"/>
      <c r="N37" s="2022"/>
      <c r="O37" s="2023"/>
      <c r="P37" s="2022"/>
      <c r="Q37" s="2022"/>
      <c r="R37" s="2022"/>
      <c r="S37" s="2022"/>
      <c r="T37" s="2022"/>
      <c r="U37" s="2022"/>
      <c r="V37" s="2022"/>
    </row>
    <row r="38" spans="1:22" ht="18" customHeight="1" thickBot="1">
      <c r="A38" s="2135" t="s">
        <v>1845</v>
      </c>
      <c r="B38" s="2136"/>
      <c r="C38" s="2136"/>
      <c r="D38" s="2136"/>
      <c r="E38" s="2136"/>
      <c r="F38" s="2137"/>
      <c r="G38" s="2055"/>
      <c r="H38" s="2055"/>
      <c r="I38" s="2055"/>
      <c r="J38" s="2035"/>
      <c r="K38" s="2047"/>
      <c r="L38" s="2021"/>
      <c r="M38" s="2021"/>
      <c r="N38" s="2022"/>
      <c r="O38" s="2023"/>
      <c r="P38" s="2022"/>
      <c r="Q38" s="2022"/>
      <c r="R38" s="2022"/>
      <c r="S38" s="2022"/>
      <c r="T38" s="2022"/>
      <c r="U38" s="2022"/>
      <c r="V38" s="2022"/>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2"/>
      <c r="B40" s="2022"/>
      <c r="C40" s="2022"/>
      <c r="D40" s="2022"/>
      <c r="E40" s="2022"/>
      <c r="F40" s="2022"/>
      <c r="G40" s="2022"/>
      <c r="H40" s="2022"/>
      <c r="I40" s="2143"/>
      <c r="J40" s="2078"/>
      <c r="K40" s="665"/>
      <c r="L40" s="2077"/>
      <c r="M40" s="2077"/>
      <c r="N40" s="2078"/>
      <c r="O40" s="2077"/>
      <c r="P40" s="2022"/>
      <c r="Q40" s="2022"/>
      <c r="R40" s="2022"/>
      <c r="S40" s="2022"/>
      <c r="T40" s="2022"/>
      <c r="U40" s="2022"/>
      <c r="V40" s="2022"/>
    </row>
    <row r="41" spans="1:22" ht="18" customHeight="1">
      <c r="A41" s="8" t="s">
        <v>1847</v>
      </c>
      <c r="B41" s="2144"/>
      <c r="C41" s="2145"/>
      <c r="D41" s="2022"/>
      <c r="E41" s="2022"/>
      <c r="F41" s="2022"/>
      <c r="G41" s="2022"/>
      <c r="H41" s="2022"/>
      <c r="I41" s="2023"/>
      <c r="J41" s="2022"/>
      <c r="K41" s="2117"/>
      <c r="L41" s="2021"/>
      <c r="M41" s="2021"/>
      <c r="N41" s="2022"/>
      <c r="O41" s="2023"/>
      <c r="P41" s="2022"/>
      <c r="Q41" s="2022"/>
      <c r="R41" s="2022"/>
      <c r="S41" s="2022"/>
      <c r="T41" s="2022"/>
      <c r="U41" s="2022"/>
      <c r="V41" s="2022"/>
    </row>
    <row r="42" spans="1:22" ht="18" customHeight="1">
      <c r="A42" s="2068" t="s">
        <v>1848</v>
      </c>
      <c r="B42" s="1789" t="s">
        <v>1849</v>
      </c>
      <c r="C42" s="1789" t="s">
        <v>1850</v>
      </c>
      <c r="D42" s="1789" t="s">
        <v>1851</v>
      </c>
      <c r="E42" s="1789" t="s">
        <v>1852</v>
      </c>
      <c r="F42" s="1789" t="s">
        <v>1853</v>
      </c>
      <c r="G42" s="1789" t="s">
        <v>1854</v>
      </c>
      <c r="H42" s="1789" t="s">
        <v>1855</v>
      </c>
      <c r="I42" s="1789" t="s">
        <v>1856</v>
      </c>
      <c r="J42" s="2146" t="s">
        <v>1857</v>
      </c>
      <c r="K42" s="2069" t="s">
        <v>1858</v>
      </c>
      <c r="L42" s="2069" t="s">
        <v>1859</v>
      </c>
      <c r="M42" s="2069" t="s">
        <v>1860</v>
      </c>
      <c r="N42" s="1789" t="s">
        <v>1861</v>
      </c>
      <c r="O42" s="1789" t="s">
        <v>1862</v>
      </c>
      <c r="P42" s="1789" t="s">
        <v>1863</v>
      </c>
      <c r="Q42" s="2068" t="s">
        <v>1864</v>
      </c>
      <c r="R42" s="2068" t="s">
        <v>1865</v>
      </c>
      <c r="S42" s="2022"/>
      <c r="T42" s="2022"/>
      <c r="U42" s="2022"/>
      <c r="V42" s="2022"/>
    </row>
    <row r="43" spans="1:22" s="2151" customFormat="1" ht="18" customHeight="1">
      <c r="A43" s="2147"/>
      <c r="B43" s="1266"/>
      <c r="C43" s="1266"/>
      <c r="D43" s="1266"/>
      <c r="E43" s="1266"/>
      <c r="F43" s="1266"/>
      <c r="G43" s="1266"/>
      <c r="H43" s="9"/>
      <c r="I43" s="9"/>
      <c r="J43" s="2148"/>
      <c r="K43" s="2149"/>
      <c r="L43" s="2149"/>
      <c r="M43" s="9"/>
      <c r="N43" s="1266"/>
      <c r="O43" s="9"/>
      <c r="P43" s="1266"/>
      <c r="Q43" s="1266"/>
      <c r="R43" s="1266"/>
      <c r="S43" s="2150"/>
      <c r="T43" s="2150"/>
      <c r="U43" s="2150"/>
      <c r="V43" s="2150"/>
    </row>
    <row r="44" spans="1:22" s="2151" customFormat="1" ht="18" customHeight="1">
      <c r="A44" s="2147"/>
      <c r="B44" s="2147"/>
      <c r="C44" s="1266"/>
      <c r="D44" s="1266"/>
      <c r="E44" s="1266"/>
      <c r="F44" s="1266"/>
      <c r="G44" s="1266"/>
      <c r="H44" s="9"/>
      <c r="I44" s="9"/>
      <c r="J44" s="2148"/>
      <c r="K44" s="2149"/>
      <c r="L44" s="2149"/>
      <c r="M44" s="9"/>
      <c r="N44" s="1266"/>
      <c r="O44" s="9"/>
      <c r="P44" s="1266"/>
      <c r="Q44" s="1266"/>
      <c r="R44" s="1266"/>
      <c r="S44" s="2150"/>
      <c r="T44" s="2150"/>
      <c r="U44" s="2150"/>
      <c r="V44" s="2150"/>
    </row>
    <row r="45" spans="1:22" s="2151" customFormat="1" ht="18" customHeight="1">
      <c r="A45" s="2147"/>
      <c r="B45" s="2147"/>
      <c r="C45" s="1266"/>
      <c r="D45" s="1266"/>
      <c r="E45" s="1266"/>
      <c r="F45" s="1266"/>
      <c r="G45" s="1266"/>
      <c r="H45" s="9"/>
      <c r="I45" s="9"/>
      <c r="J45" s="2148"/>
      <c r="K45" s="2149"/>
      <c r="L45" s="2149"/>
      <c r="M45" s="9"/>
      <c r="N45" s="1266"/>
      <c r="O45" s="9"/>
      <c r="P45" s="1266"/>
      <c r="Q45" s="1266"/>
      <c r="R45" s="1266"/>
      <c r="S45" s="2150"/>
      <c r="T45" s="2150"/>
      <c r="U45" s="2150"/>
      <c r="V45" s="2150"/>
    </row>
    <row r="46" spans="1:22" s="2151" customFormat="1" ht="18" customHeight="1">
      <c r="A46" s="2147"/>
      <c r="B46" s="2147"/>
      <c r="C46" s="1266"/>
      <c r="D46" s="1266"/>
      <c r="E46" s="1266"/>
      <c r="F46" s="1266"/>
      <c r="G46" s="1266"/>
      <c r="H46" s="9"/>
      <c r="I46" s="9"/>
      <c r="J46" s="2148"/>
      <c r="K46" s="2149"/>
      <c r="L46" s="2149"/>
      <c r="M46" s="9"/>
      <c r="N46" s="1266"/>
      <c r="O46" s="9"/>
      <c r="P46" s="1266"/>
      <c r="Q46" s="1266"/>
      <c r="R46" s="1266"/>
      <c r="S46" s="2150"/>
      <c r="T46" s="2150"/>
      <c r="U46" s="2150"/>
      <c r="V46" s="2150"/>
    </row>
    <row r="47" spans="1:22" s="2151" customFormat="1" ht="18" customHeight="1">
      <c r="A47" s="2147"/>
      <c r="B47" s="2147"/>
      <c r="C47" s="1266"/>
      <c r="D47" s="1266"/>
      <c r="E47" s="1266"/>
      <c r="F47" s="1266"/>
      <c r="G47" s="1266"/>
      <c r="H47" s="9"/>
      <c r="I47" s="9"/>
      <c r="J47" s="2148"/>
      <c r="K47" s="2149"/>
      <c r="L47" s="2149"/>
      <c r="M47" s="9"/>
      <c r="N47" s="1266"/>
      <c r="O47" s="9"/>
      <c r="P47" s="1266"/>
      <c r="Q47" s="1266"/>
      <c r="R47" s="1266"/>
      <c r="S47" s="2150"/>
      <c r="T47" s="2150"/>
      <c r="U47" s="2150"/>
      <c r="V47" s="2150"/>
    </row>
    <row r="48" spans="1:22" s="2151" customFormat="1" ht="18" customHeight="1">
      <c r="A48" s="2147"/>
      <c r="B48" s="2147"/>
      <c r="C48" s="1266"/>
      <c r="D48" s="1266"/>
      <c r="E48" s="1266"/>
      <c r="F48" s="1266"/>
      <c r="G48" s="1266"/>
      <c r="H48" s="9"/>
      <c r="I48" s="9"/>
      <c r="J48" s="2148"/>
      <c r="K48" s="2149"/>
      <c r="L48" s="2149"/>
      <c r="M48" s="9"/>
      <c r="N48" s="1266"/>
      <c r="O48" s="9"/>
      <c r="P48" s="1266"/>
      <c r="Q48" s="1266"/>
      <c r="R48" s="1266"/>
      <c r="S48" s="2150"/>
      <c r="T48" s="2150"/>
      <c r="U48" s="2150"/>
      <c r="V48" s="2150"/>
    </row>
    <row r="49" spans="1:22" s="2151" customFormat="1" ht="18" customHeight="1">
      <c r="A49" s="2147"/>
      <c r="B49" s="2147"/>
      <c r="C49" s="1266"/>
      <c r="D49" s="1266"/>
      <c r="E49" s="1266"/>
      <c r="F49" s="1266"/>
      <c r="G49" s="1266"/>
      <c r="H49" s="9"/>
      <c r="I49" s="9"/>
      <c r="J49" s="2148"/>
      <c r="K49" s="2149"/>
      <c r="L49" s="2149"/>
      <c r="M49" s="9"/>
      <c r="N49" s="1266"/>
      <c r="O49" s="9"/>
      <c r="P49" s="1266"/>
      <c r="Q49" s="1266"/>
      <c r="R49" s="1266"/>
      <c r="S49" s="2150"/>
      <c r="T49" s="2150"/>
      <c r="U49" s="2150"/>
      <c r="V49" s="2150"/>
    </row>
    <row r="50" spans="1:22" s="2151" customFormat="1" ht="18" customHeight="1">
      <c r="A50" s="2147"/>
      <c r="B50" s="2147"/>
      <c r="C50" s="1266"/>
      <c r="D50" s="1266"/>
      <c r="E50" s="1266"/>
      <c r="F50" s="1266"/>
      <c r="G50" s="1266"/>
      <c r="H50" s="9"/>
      <c r="I50" s="9"/>
      <c r="J50" s="2148"/>
      <c r="K50" s="2149"/>
      <c r="L50" s="2149"/>
      <c r="M50" s="9"/>
      <c r="N50" s="1266"/>
      <c r="O50" s="9"/>
      <c r="P50" s="1266"/>
      <c r="Q50" s="1266"/>
      <c r="R50" s="1266"/>
      <c r="S50" s="2150"/>
      <c r="T50" s="2150"/>
      <c r="U50" s="2150"/>
      <c r="V50" s="2150"/>
    </row>
    <row r="51" spans="1:22" s="2151" customFormat="1" ht="18" customHeight="1">
      <c r="A51" s="2147"/>
      <c r="B51" s="2147"/>
      <c r="C51" s="1266"/>
      <c r="D51" s="1266"/>
      <c r="E51" s="1266"/>
      <c r="F51" s="1266"/>
      <c r="G51" s="1266"/>
      <c r="H51" s="9"/>
      <c r="I51" s="9"/>
      <c r="J51" s="2148"/>
      <c r="K51" s="2149"/>
      <c r="L51" s="2149"/>
      <c r="M51" s="9"/>
      <c r="N51" s="1266"/>
      <c r="O51" s="9"/>
      <c r="P51" s="1266"/>
      <c r="Q51" s="1266"/>
      <c r="R51" s="1266"/>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7"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3" t="s">
        <v>1871</v>
      </c>
      <c r="AZ2" s="1264"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11377.89</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5"/>
      <c r="AZ3" s="1266"/>
      <c r="BA3" s="1267"/>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797"/>
      <c r="C5" s="1797"/>
      <c r="D5" s="1800"/>
      <c r="E5" s="16" t="s">
        <v>1</v>
      </c>
      <c r="F5" s="16">
        <f>SUM(F13:F587)</f>
        <v>0</v>
      </c>
      <c r="G5" s="16">
        <f>SUM(G13:G587)</f>
        <v>11377.89</v>
      </c>
      <c r="H5" s="16">
        <f t="shared" ref="H5:AT5" si="0">SUM(H13:H656)</f>
        <v>11377.89</v>
      </c>
      <c r="I5" s="16">
        <f t="shared" si="0"/>
        <v>11377.89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3497.5499999999993</v>
      </c>
      <c r="BA5" s="18">
        <f t="shared" si="1"/>
        <v>3497.5499999999993</v>
      </c>
      <c r="BB5" s="18">
        <f t="shared" si="1"/>
        <v>3497.5499999999993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1876</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0"/>
      <c r="AU7" s="2173" t="s">
        <v>1884</v>
      </c>
      <c r="AV7" s="23" t="s">
        <v>1885</v>
      </c>
      <c r="AW7" s="2160" t="s">
        <v>1886</v>
      </c>
      <c r="AX7" s="23" t="s">
        <v>1879</v>
      </c>
      <c r="AY7" s="1797"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2"/>
      <c r="K8" s="1812"/>
      <c r="L8" s="1812"/>
      <c r="M8" s="1812"/>
      <c r="N8" s="1812"/>
      <c r="O8" s="1812"/>
      <c r="P8" s="1812"/>
      <c r="Q8" s="1812"/>
      <c r="R8" s="1812"/>
      <c r="S8" s="1812"/>
      <c r="T8" s="1812"/>
      <c r="U8" s="1812"/>
      <c r="V8" s="2180"/>
      <c r="W8" s="1812"/>
      <c r="X8" s="1812"/>
      <c r="Y8" s="1812"/>
      <c r="Z8" s="1812"/>
      <c r="AA8" s="2180"/>
      <c r="AB8" s="2181"/>
      <c r="AC8" s="977" t="s">
        <v>1890</v>
      </c>
      <c r="AD8" s="2182"/>
      <c r="AE8" s="2174"/>
      <c r="AF8" s="1812"/>
      <c r="AG8" s="1812"/>
      <c r="AH8" s="1812"/>
      <c r="AI8" s="1812"/>
      <c r="AJ8" s="1812"/>
      <c r="AK8" s="1812"/>
      <c r="AL8" s="1812"/>
      <c r="AM8" s="1812"/>
      <c r="AN8" s="1812"/>
      <c r="AO8" s="1812"/>
      <c r="AP8" s="1812"/>
      <c r="AQ8" s="1812"/>
      <c r="AR8" s="1812"/>
      <c r="AS8" s="1812"/>
      <c r="AT8" s="1286" t="s">
        <v>1891</v>
      </c>
      <c r="AU8" s="2176" t="s">
        <v>1892</v>
      </c>
      <c r="AV8" s="1286"/>
      <c r="AW8" s="2159"/>
      <c r="AX8" s="1286"/>
      <c r="AY8" s="2160"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3" customFormat="1" ht="12.75">
      <c r="A9" s="2176"/>
      <c r="B9" s="2176"/>
      <c r="C9" s="2176"/>
      <c r="D9" s="2176"/>
      <c r="E9" s="2176"/>
      <c r="F9" s="2176"/>
      <c r="G9" s="1286"/>
      <c r="H9" s="2184" t="s">
        <v>1895</v>
      </c>
      <c r="I9" s="2185" t="s">
        <v>3455</v>
      </c>
      <c r="J9" s="977"/>
      <c r="K9" s="2185"/>
      <c r="L9" s="977"/>
      <c r="M9" s="2185"/>
      <c r="N9" s="977"/>
      <c r="O9" s="2185"/>
      <c r="P9" s="977"/>
      <c r="Q9" s="2185"/>
      <c r="R9" s="977"/>
      <c r="S9" s="2185"/>
      <c r="T9" s="977"/>
      <c r="U9" s="2185"/>
      <c r="V9" s="977"/>
      <c r="W9" s="2185"/>
      <c r="X9" s="2186"/>
      <c r="Y9" s="2185"/>
      <c r="Z9" s="977"/>
      <c r="AA9" s="2185"/>
      <c r="AB9" s="977"/>
      <c r="AC9" s="2177"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7"/>
      <c r="AT9" s="2176"/>
      <c r="AU9" s="2176" t="s">
        <v>1898</v>
      </c>
      <c r="AV9" s="1286"/>
      <c r="AW9" s="2159"/>
      <c r="AX9" s="1286"/>
      <c r="AY9" s="28"/>
      <c r="AZ9" s="28" t="s">
        <v>1888</v>
      </c>
      <c r="BA9" s="2188" t="s">
        <v>1899</v>
      </c>
      <c r="BB9" s="2189"/>
      <c r="BC9" s="1332"/>
      <c r="BD9" s="1332"/>
      <c r="BE9" s="1332"/>
      <c r="BF9" s="1332"/>
      <c r="BG9" s="1332"/>
      <c r="BH9" s="1332"/>
      <c r="BI9" s="1332"/>
      <c r="BJ9" s="1332"/>
      <c r="BK9" s="2190"/>
      <c r="BL9" s="15" t="s">
        <v>1900</v>
      </c>
      <c r="BM9" s="1812"/>
      <c r="BN9" s="2179"/>
      <c r="BO9" s="1812"/>
      <c r="BP9" s="1812"/>
      <c r="BQ9" s="1812"/>
      <c r="BR9" s="1812"/>
      <c r="BS9" s="1812"/>
      <c r="BT9" s="26"/>
    </row>
    <row r="10" spans="1:72" s="2183" customFormat="1" ht="12.75">
      <c r="A10" s="2176"/>
      <c r="B10" s="2176"/>
      <c r="C10" s="2176"/>
      <c r="D10" s="2176"/>
      <c r="E10" s="2176"/>
      <c r="F10" s="2176"/>
      <c r="G10" s="1286"/>
      <c r="H10" s="28"/>
      <c r="I10" s="2185" t="s">
        <v>1373</v>
      </c>
      <c r="J10" s="977"/>
      <c r="K10" s="2191"/>
      <c r="L10" s="977"/>
      <c r="M10" s="2191"/>
      <c r="N10" s="977"/>
      <c r="O10" s="2191"/>
      <c r="P10" s="977"/>
      <c r="Q10" s="2191"/>
      <c r="R10" s="977"/>
      <c r="S10" s="2191"/>
      <c r="T10" s="977"/>
      <c r="U10" s="2191"/>
      <c r="V10" s="977"/>
      <c r="W10" s="2191"/>
      <c r="X10" s="977"/>
      <c r="Y10" s="2191"/>
      <c r="Z10" s="977"/>
      <c r="AA10" s="2191"/>
      <c r="AB10" s="977"/>
      <c r="AC10" s="1286"/>
      <c r="AD10" s="15" t="s">
        <v>1901</v>
      </c>
      <c r="AE10" s="2192"/>
      <c r="AF10" s="15" t="s">
        <v>1901</v>
      </c>
      <c r="AG10" s="2192"/>
      <c r="AH10" s="15" t="s">
        <v>1902</v>
      </c>
      <c r="AI10" s="2192"/>
      <c r="AJ10" s="15" t="s">
        <v>1902</v>
      </c>
      <c r="AK10" s="2192"/>
      <c r="AL10" s="15" t="s">
        <v>1903</v>
      </c>
      <c r="AM10" s="1292"/>
      <c r="AN10" s="15" t="s">
        <v>1903</v>
      </c>
      <c r="AO10" s="1292"/>
      <c r="AP10" s="15" t="s">
        <v>1904</v>
      </c>
      <c r="AQ10" s="1292"/>
      <c r="AR10" s="15" t="s">
        <v>1904</v>
      </c>
      <c r="AS10" s="1292"/>
      <c r="AT10" s="2176"/>
      <c r="AU10" s="2176"/>
      <c r="AV10" s="1286"/>
      <c r="AW10" s="2159"/>
      <c r="AX10" s="1286"/>
      <c r="AY10" s="28"/>
      <c r="AZ10" s="28"/>
      <c r="BA10" s="2193" t="s">
        <v>1895</v>
      </c>
      <c r="BB10" s="2194" t="str">
        <f>I9</f>
        <v>地上</v>
      </c>
      <c r="BC10" s="29">
        <f>K9</f>
        <v>0</v>
      </c>
      <c r="BD10" s="29">
        <f>M9</f>
        <v>0</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5" t="str">
        <f>AR9</f>
        <v>地下</v>
      </c>
    </row>
    <row r="11" spans="1:72" s="2183" customFormat="1" ht="12.75">
      <c r="A11" s="2176"/>
      <c r="B11" s="2176"/>
      <c r="C11" s="2176"/>
      <c r="D11" s="2176"/>
      <c r="E11" s="2176"/>
      <c r="F11" s="2176"/>
      <c r="G11" s="1286"/>
      <c r="H11" s="2193"/>
      <c r="I11" s="2196" t="s">
        <v>3456</v>
      </c>
      <c r="J11" s="2197"/>
      <c r="K11" s="2196"/>
      <c r="L11" s="2197"/>
      <c r="M11" s="2196"/>
      <c r="N11" s="2197"/>
      <c r="O11" s="2196"/>
      <c r="P11" s="2197"/>
      <c r="Q11" s="2196"/>
      <c r="R11" s="2197"/>
      <c r="S11" s="2196"/>
      <c r="T11" s="2197"/>
      <c r="U11" s="2196"/>
      <c r="V11" s="2197"/>
      <c r="W11" s="2196"/>
      <c r="X11" s="2197"/>
      <c r="Y11" s="2196"/>
      <c r="Z11" s="2197"/>
      <c r="AA11" s="2196"/>
      <c r="AB11" s="2197"/>
      <c r="AC11" s="1286"/>
      <c r="AD11" s="2198" t="s">
        <v>1905</v>
      </c>
      <c r="AE11" s="1813"/>
      <c r="AF11" s="2198" t="s">
        <v>1905</v>
      </c>
      <c r="AG11" s="1813"/>
      <c r="AH11" s="2198" t="s">
        <v>1906</v>
      </c>
      <c r="AI11" s="2199"/>
      <c r="AJ11" s="2198" t="s">
        <v>1906</v>
      </c>
      <c r="AK11" s="1813"/>
      <c r="AL11" s="1811"/>
      <c r="AM11" s="1813"/>
      <c r="AN11" s="1811"/>
      <c r="AO11" s="1813"/>
      <c r="AP11" s="1811"/>
      <c r="AQ11" s="1813"/>
      <c r="AR11" s="1811"/>
      <c r="AS11" s="1813"/>
      <c r="AT11" s="2159"/>
      <c r="AU11" s="2176"/>
      <c r="AV11" s="1286"/>
      <c r="AW11" s="2159"/>
      <c r="AX11" s="1286"/>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3"/>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t="str">
        <f>I11</f>
        <v>独立商业</v>
      </c>
      <c r="BC12" s="2206">
        <f>K11</f>
        <v>0</v>
      </c>
      <c r="BD12" s="2206">
        <f>M11</f>
        <v>0</v>
      </c>
      <c r="BE12" s="2181">
        <f>O11</f>
        <v>0</v>
      </c>
      <c r="BF12" s="2181">
        <f>Q11</f>
        <v>0</v>
      </c>
      <c r="BG12" s="2181">
        <f>S11</f>
        <v>0</v>
      </c>
      <c r="BH12" s="2181">
        <f>U11</f>
        <v>0</v>
      </c>
      <c r="BI12" s="2181">
        <f>W11</f>
        <v>0</v>
      </c>
      <c r="BJ12" s="2181">
        <f>Y11</f>
        <v>0</v>
      </c>
      <c r="BK12" s="2181">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200">
        <f>AR11</f>
        <v>0</v>
      </c>
    </row>
    <row r="13" spans="1:72" s="2161" customFormat="1" ht="12.75">
      <c r="A13" s="1266"/>
      <c r="B13" s="1266"/>
      <c r="C13" s="3036" t="s">
        <v>3448</v>
      </c>
      <c r="D13" s="2207" t="s">
        <v>3453</v>
      </c>
      <c r="E13" s="16">
        <f>IF($C$3="是",ROUND($A$3*G13/$B$3,2),ROUND($A$3*(G13-AT13)/$B$3,2))</f>
        <v>0</v>
      </c>
      <c r="F13" s="32"/>
      <c r="G13" s="33">
        <f>H13+AC13+AT13</f>
        <v>3497.5499999999993</v>
      </c>
      <c r="H13" s="20">
        <f>SUMIF(I$12:AB$12,"总值",I13:AB13)</f>
        <v>3497.5499999999993</v>
      </c>
      <c r="I13" s="2995">
        <f>Sheet2!L14</f>
        <v>3497.5499999999993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1层</v>
      </c>
      <c r="AY13" s="1800">
        <f>ROUND($AY$6*AZ13/$AZ$5,2)</f>
        <v>0</v>
      </c>
      <c r="AZ13" s="16">
        <f>BA13+BL13</f>
        <v>3497.5499999999993</v>
      </c>
      <c r="BA13" s="16">
        <f>SUM(BB13:BK13)</f>
        <v>3497.5499999999993</v>
      </c>
      <c r="BB13" s="16">
        <f>IF($D13="是",I13-J13,0)</f>
        <v>3497.5499999999993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6"/>
      <c r="B14" s="1266"/>
      <c r="C14" s="3036" t="s">
        <v>3450</v>
      </c>
      <c r="D14" s="2207" t="s">
        <v>3454</v>
      </c>
      <c r="E14" s="16">
        <f>IF($C$3="是",ROUND($A$3*G14/$B$3,2),ROUND($A$3*(G14-AT14)/$B$3,2))</f>
        <v>0</v>
      </c>
      <c r="F14" s="32"/>
      <c r="G14" s="33">
        <f>H14+AC14+AT14</f>
        <v>3891.99</v>
      </c>
      <c r="H14" s="20">
        <f>SUMIF(I$12:AB$12,"总值",I14:AB14)</f>
        <v>3891.99</v>
      </c>
      <c r="I14" s="2995">
        <f>Sheet2!M14</f>
        <v>3891.99</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2层</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6"/>
      <c r="B15" s="1266"/>
      <c r="C15" s="3036" t="s">
        <v>3452</v>
      </c>
      <c r="D15" s="2207" t="s">
        <v>3454</v>
      </c>
      <c r="E15" s="16">
        <f>IF($C$3="是",ROUND($A$3*G15/$B$3,2),ROUND($A$3*(G15-AT15)/$B$3,2))</f>
        <v>0</v>
      </c>
      <c r="F15" s="32"/>
      <c r="G15" s="33">
        <f>H15+AC15+AT15</f>
        <v>3988.35</v>
      </c>
      <c r="H15" s="20">
        <f>SUMIF(I$12:AB$12,"总值",I15:AB15)</f>
        <v>3988.35</v>
      </c>
      <c r="I15" s="2995">
        <f>Sheet2!N14</f>
        <v>3988.35</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3层</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6"/>
      <c r="B16" s="1266"/>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6"/>
      <c r="B17" s="1266"/>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86"/>
      <c r="C1" s="1386"/>
      <c r="D1" s="1386"/>
      <c r="E1" s="1386"/>
      <c r="F1" s="1386"/>
      <c r="G1" s="1386"/>
      <c r="H1" s="1386"/>
      <c r="I1" s="1386"/>
      <c r="J1" s="1386"/>
      <c r="K1" s="1386"/>
      <c r="L1" s="1386"/>
      <c r="M1" s="1386"/>
      <c r="N1" s="1386"/>
      <c r="O1" s="1386"/>
      <c r="P1" s="1386"/>
    </row>
    <row r="2" spans="1:16" ht="15">
      <c r="A2" s="3153" t="s">
        <v>1935</v>
      </c>
      <c r="B2" s="3153"/>
      <c r="C2" s="3153"/>
      <c r="D2" s="963" t="s">
        <v>1911</v>
      </c>
      <c r="E2" s="2221" t="s">
        <v>1912</v>
      </c>
      <c r="F2" s="1386"/>
      <c r="G2" s="2222"/>
      <c r="H2" s="2223"/>
      <c r="I2" s="2224" t="s">
        <v>1936</v>
      </c>
      <c r="J2" s="1386"/>
      <c r="K2" s="1386"/>
      <c r="L2" s="1386"/>
      <c r="M2" s="1386"/>
      <c r="N2" s="1421"/>
      <c r="O2" s="1386"/>
      <c r="P2" s="1386"/>
    </row>
    <row r="3" spans="1:16" ht="15.75" thickBot="1">
      <c r="A3" s="3154" t="s">
        <v>1909</v>
      </c>
      <c r="B3" s="3154"/>
      <c r="C3" s="3154"/>
      <c r="D3" s="46">
        <f>'数据-基础表'!AY6</f>
        <v>0</v>
      </c>
      <c r="E3" s="46">
        <f>'数据-基础表'!AZ5</f>
        <v>3497.5499999999993</v>
      </c>
      <c r="F3" s="1386"/>
      <c r="G3" s="1393"/>
      <c r="H3" s="1241" t="s">
        <v>1910</v>
      </c>
      <c r="I3" s="55" t="e">
        <f>ROUND('数据-基础表'!B3/'数据-基础表'!A3,2)</f>
        <v>#DIV/0!</v>
      </c>
      <c r="J3" s="1386"/>
      <c r="K3" s="1386"/>
      <c r="L3" s="1386"/>
      <c r="M3" s="1386"/>
      <c r="N3" s="1421"/>
      <c r="O3" s="1386"/>
      <c r="P3" s="1386"/>
    </row>
    <row r="4" spans="1:16" ht="15">
      <c r="A4" s="3155"/>
      <c r="B4" s="3156"/>
      <c r="C4" s="3157"/>
      <c r="D4" s="2225" t="s">
        <v>1911</v>
      </c>
      <c r="E4" s="2226" t="s">
        <v>1912</v>
      </c>
      <c r="F4" s="1386"/>
      <c r="G4" s="2227" t="s">
        <v>1937</v>
      </c>
      <c r="H4" s="1241" t="s">
        <v>1917</v>
      </c>
      <c r="I4" s="55" t="e">
        <f>ROUND(SUMIF('数据-基础表'!I9:AS9,"地上",'数据-基础表'!I5:AS5)/'数据-基础表'!A3,2)</f>
        <v>#DIV/0!</v>
      </c>
      <c r="J4" s="1386"/>
      <c r="K4" s="1386"/>
      <c r="L4" s="1386"/>
      <c r="M4" s="1386"/>
      <c r="N4" s="1421"/>
      <c r="O4" s="1386"/>
      <c r="P4" s="1386"/>
    </row>
    <row r="5" spans="1:16">
      <c r="A5" s="47" t="s">
        <v>1913</v>
      </c>
      <c r="B5" s="3158" t="s">
        <v>1914</v>
      </c>
      <c r="C5" s="3158"/>
      <c r="D5" s="48">
        <f>ROUND($D$3*E5/$E$3,2)</f>
        <v>0</v>
      </c>
      <c r="E5" s="49">
        <f>SUMIF('数据-基础表'!$11:$11,"住宅",'数据-基础表'!$5:$5)</f>
        <v>0</v>
      </c>
      <c r="F5" s="1386"/>
      <c r="G5" s="1393"/>
      <c r="H5" s="1241" t="s">
        <v>1910</v>
      </c>
      <c r="I5" s="55" t="e">
        <f>ROUND(E31/D31,2)</f>
        <v>#DIV/0!</v>
      </c>
      <c r="J5" s="1386"/>
      <c r="K5" s="1386"/>
      <c r="L5" s="1386"/>
      <c r="M5" s="1386"/>
      <c r="N5" s="1386"/>
      <c r="O5" s="1386"/>
      <c r="P5" s="1386"/>
    </row>
    <row r="6" spans="1:16" ht="15" thickBot="1">
      <c r="A6" s="2228"/>
      <c r="B6" s="3158" t="s">
        <v>1915</v>
      </c>
      <c r="C6" s="3158"/>
      <c r="D6" s="48">
        <f>ROUND($D$3*E6/$E$3,2)</f>
        <v>0</v>
      </c>
      <c r="E6" s="49">
        <f>E3-E5</f>
        <v>3497.5499999999993</v>
      </c>
      <c r="F6" s="1386"/>
      <c r="G6" s="2229" t="s">
        <v>1916</v>
      </c>
      <c r="H6" s="1393" t="s">
        <v>1917</v>
      </c>
      <c r="I6" s="935" t="e">
        <f>ROUND(F31/D31,2)</f>
        <v>#DIV/0!</v>
      </c>
      <c r="J6" s="1386"/>
      <c r="K6" s="1386"/>
      <c r="L6" s="1386"/>
      <c r="M6" s="1386"/>
      <c r="N6" s="1386"/>
      <c r="O6" s="1386"/>
      <c r="P6" s="1386"/>
    </row>
    <row r="7" spans="1:16" ht="15">
      <c r="A7" s="3150"/>
      <c r="B7" s="3151"/>
      <c r="C7" s="3152"/>
      <c r="D7" s="2225" t="s">
        <v>1911</v>
      </c>
      <c r="E7" s="2230" t="s">
        <v>1918</v>
      </c>
      <c r="F7" s="1386"/>
      <c r="G7" s="2222" t="s">
        <v>1919</v>
      </c>
      <c r="H7" s="64"/>
      <c r="I7" s="420"/>
      <c r="J7" s="1386"/>
      <c r="K7" s="1386"/>
      <c r="L7" s="1386"/>
      <c r="M7" s="1386"/>
      <c r="N7" s="1386"/>
      <c r="O7" s="1386"/>
      <c r="P7" s="1386"/>
    </row>
    <row r="8" spans="1:16">
      <c r="A8" s="47" t="s">
        <v>1920</v>
      </c>
      <c r="B8" s="50" t="s">
        <v>1921</v>
      </c>
      <c r="C8" s="48" t="s">
        <v>1922</v>
      </c>
      <c r="D8" s="48">
        <f t="shared" ref="D8:D15" si="0">ROUND($D$3*E8/$E$3,2)</f>
        <v>0</v>
      </c>
      <c r="E8" s="51">
        <f>SUMIF('数据-基础表'!BB10:BK10,"地上",'数据-基础表'!BB5:BK5)</f>
        <v>3497.5499999999993</v>
      </c>
      <c r="F8" s="1386"/>
      <c r="G8" s="2231"/>
      <c r="H8" s="2231"/>
      <c r="I8" s="1386"/>
      <c r="J8" s="1386"/>
      <c r="K8" s="1386"/>
      <c r="L8" s="1386"/>
      <c r="M8" s="1386"/>
      <c r="N8" s="1386"/>
      <c r="O8" s="1386"/>
      <c r="P8" s="1386"/>
    </row>
    <row r="9" spans="1:16">
      <c r="A9" s="2232"/>
      <c r="B9" s="2233"/>
      <c r="C9" s="48" t="s">
        <v>1923</v>
      </c>
      <c r="D9" s="48">
        <f t="shared" si="0"/>
        <v>0</v>
      </c>
      <c r="E9" s="52">
        <v>0</v>
      </c>
      <c r="F9" s="1386"/>
      <c r="G9" s="2231"/>
      <c r="H9" s="2231"/>
      <c r="I9" s="1386"/>
      <c r="J9" s="1386"/>
      <c r="K9" s="1386"/>
      <c r="L9" s="1386"/>
      <c r="M9" s="1386"/>
      <c r="N9" s="1386"/>
      <c r="O9" s="1386"/>
      <c r="P9" s="1386"/>
    </row>
    <row r="10" spans="1:16">
      <c r="A10" s="2232"/>
      <c r="B10" s="2233"/>
      <c r="C10" s="48" t="s">
        <v>1932</v>
      </c>
      <c r="D10" s="48">
        <f t="shared" si="0"/>
        <v>0</v>
      </c>
      <c r="E10" s="51">
        <f>SUMPRODUCT(('数据-基础表'!BB10:BK10="地下")*('数据-基础表'!BB11:BK11="商业")*('数据-基础表'!BB5:BK5))</f>
        <v>0</v>
      </c>
      <c r="F10" s="1386"/>
      <c r="G10" s="2231"/>
      <c r="H10" s="2231"/>
      <c r="I10" s="1386"/>
      <c r="J10" s="1386"/>
      <c r="K10" s="1386"/>
      <c r="L10" s="1386"/>
      <c r="M10" s="1386"/>
      <c r="N10" s="1386"/>
      <c r="O10" s="1386"/>
      <c r="P10" s="1386"/>
    </row>
    <row r="11" spans="1:16">
      <c r="A11" s="2232"/>
      <c r="B11" s="2233"/>
      <c r="C11" s="48" t="s">
        <v>1924</v>
      </c>
      <c r="D11" s="48">
        <f t="shared" si="0"/>
        <v>0</v>
      </c>
      <c r="E11" s="51">
        <f>SUMPRODUCT(('数据-基础表'!BB10:BK10="地下")*('数据-基础表'!BB11:BK11="办公")*('数据-基础表'!BB5:BK5))+'数据-基础表'!BP5</f>
        <v>0</v>
      </c>
      <c r="F11" s="1386"/>
      <c r="G11" s="2231"/>
      <c r="H11" s="2231"/>
      <c r="I11" s="1386"/>
      <c r="J11" s="1386"/>
      <c r="K11" s="1386"/>
      <c r="L11" s="1386"/>
      <c r="M11" s="1386"/>
      <c r="N11" s="1386"/>
      <c r="O11" s="1386"/>
      <c r="P11" s="1386"/>
    </row>
    <row r="12" spans="1:16">
      <c r="A12" s="2232"/>
      <c r="B12" s="2233"/>
      <c r="C12" s="48" t="s">
        <v>1925</v>
      </c>
      <c r="D12" s="48">
        <f t="shared" si="0"/>
        <v>0</v>
      </c>
      <c r="E12" s="51">
        <f>SUMPRODUCT(('数据-基础表'!BB10:BK10="地下")*('数据-基础表'!BB11:BK11="仓储")*('数据-基础表'!BB5:BK5))</f>
        <v>0</v>
      </c>
      <c r="F12" s="1386"/>
      <c r="G12" s="2231"/>
      <c r="H12" s="2231"/>
      <c r="I12" s="1386"/>
      <c r="J12" s="1386"/>
      <c r="K12" s="1386"/>
      <c r="L12" s="1386"/>
      <c r="M12" s="1386"/>
      <c r="N12" s="1386"/>
      <c r="O12" s="1386"/>
      <c r="P12" s="1386"/>
    </row>
    <row r="13" spans="1:16">
      <c r="A13" s="2232"/>
      <c r="B13" s="2233"/>
      <c r="C13" s="48" t="s">
        <v>1926</v>
      </c>
      <c r="D13" s="48">
        <f t="shared" si="0"/>
        <v>0</v>
      </c>
      <c r="E13" s="51">
        <f>SUMPRODUCT(('数据-基础表'!BB10:BK10="地下")*('数据-基础表'!BB11:BK11="车库")*('数据-基础表'!BB5:BK5))</f>
        <v>0</v>
      </c>
      <c r="F13" s="1386"/>
      <c r="G13" s="2231"/>
      <c r="H13" s="2231"/>
      <c r="I13" s="1386"/>
      <c r="J13" s="1386"/>
      <c r="K13" s="1386"/>
      <c r="L13" s="1386"/>
      <c r="M13" s="1386"/>
      <c r="N13" s="1386"/>
      <c r="O13" s="1386"/>
      <c r="P13" s="1386"/>
    </row>
    <row r="14" spans="1:16">
      <c r="A14" s="2232"/>
      <c r="B14" s="2233"/>
      <c r="C14" s="48" t="s">
        <v>1938</v>
      </c>
      <c r="D14" s="48">
        <f t="shared" si="0"/>
        <v>0</v>
      </c>
      <c r="E14" s="51">
        <f>SUMPRODUCT(('数据-基础表'!BB10:BK10="地下")*('数据-基础表'!BB11:BK11="车库—商业")*('数据-基础表'!BB5:BK5))</f>
        <v>0</v>
      </c>
      <c r="F14" s="1386"/>
      <c r="G14" s="2231"/>
      <c r="H14" s="2231"/>
      <c r="I14" s="1386"/>
      <c r="J14" s="1386"/>
      <c r="K14" s="1386"/>
      <c r="L14" s="1386"/>
      <c r="M14" s="1386"/>
      <c r="N14" s="1386"/>
      <c r="O14" s="1386"/>
      <c r="P14" s="1386"/>
    </row>
    <row r="15" spans="1:16" ht="15" thickBot="1">
      <c r="A15" s="2232"/>
      <c r="B15" s="2233"/>
      <c r="C15" s="48" t="s">
        <v>1933</v>
      </c>
      <c r="D15" s="48">
        <f t="shared" si="0"/>
        <v>0</v>
      </c>
      <c r="E15" s="51">
        <f>SUMPRODUCT(('数据-基础表'!BB10:BK10="地下")*('数据-基础表'!BB11:BK11="车库—办公")*('数据-基础表'!BB5:BK5))</f>
        <v>0</v>
      </c>
      <c r="F15" s="1386"/>
      <c r="G15" s="2231"/>
      <c r="H15" s="2231"/>
      <c r="I15" s="1386"/>
      <c r="J15" s="1386"/>
      <c r="K15" s="1386"/>
      <c r="L15" s="1386"/>
      <c r="M15" s="1386"/>
      <c r="N15" s="1386"/>
      <c r="O15" s="1386"/>
      <c r="P15" s="1386"/>
    </row>
    <row r="16" spans="1:16" ht="15.75" thickBot="1">
      <c r="A16" s="2228"/>
      <c r="B16" s="2233"/>
      <c r="C16" s="50" t="s">
        <v>1927</v>
      </c>
      <c r="D16" s="50">
        <f>SUM(D8:D15)</f>
        <v>0</v>
      </c>
      <c r="E16" s="53">
        <f>SUM(E8:E15)</f>
        <v>3497.5499999999993</v>
      </c>
      <c r="F16" s="1386"/>
      <c r="G16" s="2231"/>
      <c r="H16" s="2234" t="s">
        <v>1939</v>
      </c>
      <c r="I16" s="2235"/>
      <c r="J16" s="1386"/>
      <c r="K16" s="3147" t="s">
        <v>1939</v>
      </c>
      <c r="L16" s="3148"/>
      <c r="M16" s="3148"/>
      <c r="N16" s="3148"/>
      <c r="O16" s="3148"/>
      <c r="P16" s="3149"/>
    </row>
    <row r="17" spans="1:19" ht="15">
      <c r="A17" s="2236" t="s">
        <v>1940</v>
      </c>
      <c r="B17" s="2237" t="s">
        <v>1941</v>
      </c>
      <c r="C17" s="2238" t="s">
        <v>1942</v>
      </c>
      <c r="D17" s="2239" t="s">
        <v>1930</v>
      </c>
      <c r="E17" s="2240" t="s">
        <v>1931</v>
      </c>
      <c r="F17" s="2241"/>
      <c r="G17" s="2242"/>
      <c r="H17" s="2243" t="s">
        <v>1943</v>
      </c>
      <c r="I17" s="2244" t="s">
        <v>1928</v>
      </c>
      <c r="J17" s="1386"/>
      <c r="K17" s="3144" t="s">
        <v>1944</v>
      </c>
      <c r="L17" s="3145"/>
      <c r="M17" s="3146"/>
      <c r="N17" s="3144" t="s">
        <v>1945</v>
      </c>
      <c r="O17" s="3145"/>
      <c r="P17" s="3146"/>
      <c r="R17" s="2222" t="s">
        <v>1946</v>
      </c>
      <c r="S17" s="64"/>
    </row>
    <row r="18" spans="1:19" ht="15">
      <c r="A18" s="2232"/>
      <c r="B18" s="2245"/>
      <c r="C18" s="2246"/>
      <c r="D18" s="2247"/>
      <c r="E18" s="2248" t="s">
        <v>1947</v>
      </c>
      <c r="F18" s="2249" t="s">
        <v>1948</v>
      </c>
      <c r="G18" s="2250" t="s">
        <v>1949</v>
      </c>
      <c r="H18" s="1256" t="s">
        <v>1950</v>
      </c>
      <c r="I18" s="2251" t="s">
        <v>1951</v>
      </c>
      <c r="J18" s="1386"/>
      <c r="K18" s="1256" t="s">
        <v>1952</v>
      </c>
      <c r="L18" s="2252" t="s">
        <v>1953</v>
      </c>
      <c r="M18" s="1042" t="s">
        <v>1954</v>
      </c>
      <c r="N18" s="1256" t="s">
        <v>1952</v>
      </c>
      <c r="O18" s="2252" t="s">
        <v>1953</v>
      </c>
      <c r="P18" s="1042" t="s">
        <v>1954</v>
      </c>
      <c r="R18" s="1241" t="s">
        <v>1955</v>
      </c>
      <c r="S18" s="1241" t="s">
        <v>1956</v>
      </c>
    </row>
    <row r="19" spans="1:19">
      <c r="A19" s="2253"/>
      <c r="B19" s="50" t="s">
        <v>1929</v>
      </c>
      <c r="C19" s="2254" t="s">
        <v>3457</v>
      </c>
      <c r="D19" s="48">
        <f>ROUND($D$3*E19/$E$3,2)</f>
        <v>0</v>
      </c>
      <c r="E19" s="56">
        <f t="shared" ref="E19:E26" si="1">SUM(F19:G19)</f>
        <v>3497.5499999999993</v>
      </c>
      <c r="F19" s="57">
        <f>'数据-基础表'!I13</f>
        <v>3497.5499999999993</v>
      </c>
      <c r="G19" s="58"/>
      <c r="H19" s="719">
        <f>ROUND($D$3*I19/$E$3,2)</f>
        <v>0</v>
      </c>
      <c r="I19" s="51">
        <f t="shared" ref="I19:I26" si="2">IF($I$17="自定义",P19,M19)</f>
        <v>0</v>
      </c>
      <c r="J19" s="1386"/>
      <c r="K19" s="1385">
        <f t="shared" ref="K19:K26" si="3">ROUND(E$28*E19/E$27,2)</f>
        <v>0</v>
      </c>
      <c r="L19" s="1241">
        <f t="shared" ref="L19:L26" si="4">ROUND(IF(COUNTIF(C19,"*住宅*")&gt;0,E$29*E19/E$32,0),2)</f>
        <v>0</v>
      </c>
      <c r="M19" s="1397">
        <f>K19+L19</f>
        <v>0</v>
      </c>
      <c r="N19" s="2255"/>
      <c r="O19" s="2256"/>
      <c r="P19" s="1397">
        <f>N19+O19</f>
        <v>0</v>
      </c>
      <c r="R19" s="1241">
        <f t="shared" ref="R19:S26" si="5">D19+H19</f>
        <v>0</v>
      </c>
      <c r="S19" s="1242">
        <f t="shared" si="5"/>
        <v>3497.5499999999993</v>
      </c>
    </row>
    <row r="20" spans="1:19">
      <c r="A20" s="2257"/>
      <c r="B20" s="50" t="s">
        <v>1957</v>
      </c>
      <c r="C20" s="2254"/>
      <c r="D20" s="48">
        <f t="shared" ref="D20:D26" si="6">ROUND($D$3*E20/$E$3,2)</f>
        <v>0</v>
      </c>
      <c r="E20" s="56">
        <f t="shared" si="1"/>
        <v>0</v>
      </c>
      <c r="F20" s="57"/>
      <c r="G20" s="58"/>
      <c r="H20" s="719">
        <f t="shared" ref="H20:H26" si="7">ROUND($D$3*I20/$E$3,2)</f>
        <v>0</v>
      </c>
      <c r="I20" s="51">
        <f t="shared" si="2"/>
        <v>0</v>
      </c>
      <c r="J20" s="1386"/>
      <c r="K20" s="1385">
        <f t="shared" si="3"/>
        <v>0</v>
      </c>
      <c r="L20" s="1241">
        <f t="shared" si="4"/>
        <v>0</v>
      </c>
      <c r="M20" s="1397">
        <f t="shared" ref="M20:M26" si="8">K20+L20</f>
        <v>0</v>
      </c>
      <c r="N20" s="2255"/>
      <c r="O20" s="2256"/>
      <c r="P20" s="1397">
        <f t="shared" ref="P20:P26" si="9">N20+O20</f>
        <v>0</v>
      </c>
      <c r="R20" s="1241">
        <f t="shared" si="5"/>
        <v>0</v>
      </c>
      <c r="S20" s="1242">
        <f t="shared" si="5"/>
        <v>0</v>
      </c>
    </row>
    <row r="21" spans="1:19">
      <c r="A21" s="2257"/>
      <c r="B21" s="50" t="s">
        <v>1957</v>
      </c>
      <c r="C21" s="2254"/>
      <c r="D21" s="48">
        <f t="shared" si="6"/>
        <v>0</v>
      </c>
      <c r="E21" s="56">
        <f t="shared" si="1"/>
        <v>0</v>
      </c>
      <c r="F21" s="57"/>
      <c r="G21" s="58"/>
      <c r="H21" s="719">
        <f t="shared" si="7"/>
        <v>0</v>
      </c>
      <c r="I21" s="51">
        <f t="shared" si="2"/>
        <v>0</v>
      </c>
      <c r="J21" s="1386"/>
      <c r="K21" s="1385">
        <f t="shared" si="3"/>
        <v>0</v>
      </c>
      <c r="L21" s="1241">
        <f t="shared" si="4"/>
        <v>0</v>
      </c>
      <c r="M21" s="1397">
        <f t="shared" si="8"/>
        <v>0</v>
      </c>
      <c r="N21" s="2255"/>
      <c r="O21" s="2256"/>
      <c r="P21" s="1397">
        <f t="shared" si="9"/>
        <v>0</v>
      </c>
      <c r="R21" s="1241">
        <f t="shared" si="5"/>
        <v>0</v>
      </c>
      <c r="S21" s="1242">
        <f t="shared" si="5"/>
        <v>0</v>
      </c>
    </row>
    <row r="22" spans="1:19">
      <c r="A22" s="2257"/>
      <c r="B22" s="50" t="s">
        <v>1957</v>
      </c>
      <c r="C22" s="60"/>
      <c r="D22" s="48">
        <f t="shared" si="6"/>
        <v>0</v>
      </c>
      <c r="E22" s="56">
        <f t="shared" si="1"/>
        <v>0</v>
      </c>
      <c r="F22" s="61"/>
      <c r="G22" s="62"/>
      <c r="H22" s="719">
        <f t="shared" si="7"/>
        <v>0</v>
      </c>
      <c r="I22" s="51">
        <f t="shared" si="2"/>
        <v>0</v>
      </c>
      <c r="J22" s="1386"/>
      <c r="K22" s="1385">
        <f t="shared" si="3"/>
        <v>0</v>
      </c>
      <c r="L22" s="1241">
        <f t="shared" si="4"/>
        <v>0</v>
      </c>
      <c r="M22" s="1397">
        <f t="shared" si="8"/>
        <v>0</v>
      </c>
      <c r="N22" s="2255"/>
      <c r="O22" s="2256"/>
      <c r="P22" s="1397">
        <f t="shared" si="9"/>
        <v>0</v>
      </c>
      <c r="R22" s="1241">
        <f t="shared" si="5"/>
        <v>0</v>
      </c>
      <c r="S22" s="1242">
        <f t="shared" si="5"/>
        <v>0</v>
      </c>
    </row>
    <row r="23" spans="1:19">
      <c r="A23" s="2257"/>
      <c r="B23" s="50" t="s">
        <v>1957</v>
      </c>
      <c r="C23" s="60"/>
      <c r="D23" s="48">
        <f>ROUND($D$3*E23/$E$3,2)</f>
        <v>0</v>
      </c>
      <c r="E23" s="56">
        <f>SUM(F23:G23)</f>
        <v>0</v>
      </c>
      <c r="F23" s="61"/>
      <c r="G23" s="62"/>
      <c r="H23" s="719">
        <f>ROUND($D$3*I23/$E$3,2)</f>
        <v>0</v>
      </c>
      <c r="I23" s="51">
        <f t="shared" si="2"/>
        <v>0</v>
      </c>
      <c r="J23" s="1386"/>
      <c r="K23" s="1385">
        <f t="shared" si="3"/>
        <v>0</v>
      </c>
      <c r="L23" s="1241">
        <f t="shared" si="4"/>
        <v>0</v>
      </c>
      <c r="M23" s="1397">
        <f t="shared" si="8"/>
        <v>0</v>
      </c>
      <c r="N23" s="2255"/>
      <c r="O23" s="2256"/>
      <c r="P23" s="1397">
        <f t="shared" si="9"/>
        <v>0</v>
      </c>
      <c r="R23" s="1241">
        <f t="shared" si="5"/>
        <v>0</v>
      </c>
      <c r="S23" s="1242">
        <f t="shared" si="5"/>
        <v>0</v>
      </c>
    </row>
    <row r="24" spans="1:19">
      <c r="A24" s="2257"/>
      <c r="B24" s="50" t="s">
        <v>1957</v>
      </c>
      <c r="C24" s="60"/>
      <c r="D24" s="48">
        <f>ROUND($D$3*E24/$E$3,2)</f>
        <v>0</v>
      </c>
      <c r="E24" s="56">
        <f>SUM(F24:G24)</f>
        <v>0</v>
      </c>
      <c r="F24" s="61"/>
      <c r="G24" s="62"/>
      <c r="H24" s="719">
        <f>ROUND($D$3*I24/$E$3,2)</f>
        <v>0</v>
      </c>
      <c r="I24" s="51">
        <f t="shared" si="2"/>
        <v>0</v>
      </c>
      <c r="J24" s="1386"/>
      <c r="K24" s="1385">
        <f t="shared" si="3"/>
        <v>0</v>
      </c>
      <c r="L24" s="1241">
        <f t="shared" si="4"/>
        <v>0</v>
      </c>
      <c r="M24" s="1397">
        <f t="shared" si="8"/>
        <v>0</v>
      </c>
      <c r="N24" s="2255"/>
      <c r="O24" s="2256"/>
      <c r="P24" s="1397">
        <f t="shared" si="9"/>
        <v>0</v>
      </c>
      <c r="R24" s="1241">
        <f t="shared" si="5"/>
        <v>0</v>
      </c>
      <c r="S24" s="1242">
        <f t="shared" si="5"/>
        <v>0</v>
      </c>
    </row>
    <row r="25" spans="1:19">
      <c r="A25" s="2257"/>
      <c r="B25" s="50" t="s">
        <v>1957</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5"/>
      <c r="O25" s="2256"/>
      <c r="P25" s="1397">
        <f t="shared" si="9"/>
        <v>0</v>
      </c>
      <c r="R25" s="1241">
        <f t="shared" si="5"/>
        <v>0</v>
      </c>
      <c r="S25" s="1242">
        <f t="shared" si="5"/>
        <v>0</v>
      </c>
    </row>
    <row r="26" spans="1:19">
      <c r="A26" s="2257"/>
      <c r="B26" s="50" t="s">
        <v>1957</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8"/>
      <c r="O26" s="2259"/>
      <c r="P26" s="67">
        <f t="shared" si="9"/>
        <v>0</v>
      </c>
      <c r="R26" s="1241">
        <f t="shared" si="5"/>
        <v>0</v>
      </c>
      <c r="S26" s="1242">
        <f t="shared" si="5"/>
        <v>0</v>
      </c>
    </row>
    <row r="27" spans="1:19" ht="15.75" thickBot="1">
      <c r="A27" s="2257"/>
      <c r="B27" s="48"/>
      <c r="C27" s="2260" t="s">
        <v>1958</v>
      </c>
      <c r="D27" s="1387">
        <f>SUM(D19:D26)</f>
        <v>0</v>
      </c>
      <c r="E27" s="1388">
        <f>IF(SUM(E19:E26)='数据-基础表'!BA5,SUM(E19:E26),IF(F27="地上面积有误","面积有误","地下面积有误"))</f>
        <v>3497.5499999999993</v>
      </c>
      <c r="F27" s="1387">
        <f>IF(SUM(F19:F26)=E8,SUM(F19:F26),"地上面积有误")</f>
        <v>3497.5499999999993</v>
      </c>
      <c r="G27" s="1389">
        <f>SUM(G19:G26)</f>
        <v>0</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0</v>
      </c>
      <c r="S27" s="1241">
        <f>IF(SUM(S19:S26)=$E$3,SUM(S19:S26),SUM(S19:S26)&amp;"误差"&amp;ROUND(SUM(S19:S26)-E3,2))</f>
        <v>3497.5499999999993</v>
      </c>
    </row>
    <row r="28" spans="1:19">
      <c r="A28" s="2257"/>
      <c r="B28" s="50" t="s">
        <v>1959</v>
      </c>
      <c r="C28" s="1253" t="s">
        <v>1960</v>
      </c>
      <c r="D28" s="48">
        <f>ROUND($D$3*E28/$E$3,2)</f>
        <v>0</v>
      </c>
      <c r="E28" s="56">
        <f>SUM(F28:G28)</f>
        <v>0</v>
      </c>
      <c r="F28" s="64">
        <f>'数据-基础表'!BQ5+'数据-基础表'!BS5</f>
        <v>0</v>
      </c>
      <c r="G28" s="65">
        <f>'数据-基础表'!BR5+'数据-基础表'!BT5</f>
        <v>0</v>
      </c>
      <c r="H28" s="1386"/>
      <c r="I28" s="1386"/>
      <c r="J28" s="1386"/>
      <c r="K28" s="1386"/>
      <c r="L28" s="1386"/>
      <c r="M28" s="1386"/>
      <c r="N28" s="1386"/>
      <c r="O28" s="1386"/>
      <c r="P28" s="1386"/>
    </row>
    <row r="29" spans="1:19">
      <c r="A29" s="2257"/>
      <c r="B29" s="50" t="s">
        <v>1959</v>
      </c>
      <c r="C29" s="2261" t="s">
        <v>1961</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7"/>
      <c r="B30" s="50"/>
      <c r="C30" s="2262" t="s">
        <v>1958</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63"/>
      <c r="B31" s="2264"/>
      <c r="C31" s="1003" t="s">
        <v>1962</v>
      </c>
      <c r="D31" s="725">
        <f>D27+D30</f>
        <v>0</v>
      </c>
      <c r="E31" s="725">
        <f>E27+E30</f>
        <v>3497.5499999999993</v>
      </c>
      <c r="F31" s="726">
        <f>F27+F30</f>
        <v>3497.5499999999993</v>
      </c>
      <c r="G31" s="727">
        <f>G27+G30</f>
        <v>0</v>
      </c>
      <c r="H31" s="1386"/>
      <c r="I31" s="1386"/>
      <c r="J31" s="1386"/>
      <c r="K31" s="1386"/>
      <c r="L31" s="1386"/>
      <c r="M31" s="1386"/>
      <c r="N31" s="1386"/>
      <c r="O31" s="1386"/>
      <c r="P31" s="1386"/>
    </row>
    <row r="32" spans="1:19">
      <c r="A32" s="2227"/>
      <c r="B32" s="2227" t="s">
        <v>1963</v>
      </c>
      <c r="C32" s="2227"/>
      <c r="D32" s="2227"/>
      <c r="E32" s="1268">
        <f>SUMIF(C19:C26,"*住宅*",E19:E26)</f>
        <v>0</v>
      </c>
      <c r="F32" s="2227"/>
      <c r="G32" s="2227"/>
      <c r="H32" s="1386"/>
      <c r="I32" s="1386"/>
      <c r="J32" s="1386"/>
      <c r="K32" s="1386"/>
      <c r="L32" s="1386"/>
      <c r="M32" s="1386"/>
      <c r="N32" s="1386"/>
      <c r="O32" s="1386"/>
      <c r="P32" s="1386"/>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28"/>
      <c r="C1" s="1575"/>
      <c r="D1" s="2267"/>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70" t="s">
        <v>1965</v>
      </c>
      <c r="B2" s="1260">
        <f>项目基本情况!D3</f>
        <v>43670</v>
      </c>
      <c r="C2" s="2271"/>
      <c r="D2" s="2272"/>
      <c r="E2" s="2271"/>
      <c r="F2" s="2271"/>
      <c r="G2" s="2271"/>
      <c r="H2" s="2271"/>
      <c r="I2" s="2271"/>
      <c r="J2" s="2271"/>
      <c r="K2" s="1421"/>
      <c r="L2" s="1421"/>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4" customFormat="1" ht="15" thickBot="1">
      <c r="A3" s="2022"/>
      <c r="B3" s="2274"/>
      <c r="C3" s="2271"/>
      <c r="D3" s="2272"/>
      <c r="E3" s="2271"/>
      <c r="F3" s="2271"/>
      <c r="G3" s="2271"/>
      <c r="H3" s="2271"/>
      <c r="I3" s="2271"/>
      <c r="J3" s="2271"/>
      <c r="K3" s="1421"/>
      <c r="L3" s="1421"/>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4"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8" t="s">
        <v>1970</v>
      </c>
      <c r="AA4" s="2238"/>
      <c r="AB4" s="2238"/>
      <c r="AC4" s="2238"/>
      <c r="AD4" s="2238"/>
      <c r="AE4" s="2236" t="s">
        <v>1971</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5" customFormat="1" ht="42">
      <c r="A5" s="2283" t="s">
        <v>1972</v>
      </c>
      <c r="B5" s="2284" t="s">
        <v>1973</v>
      </c>
      <c r="C5" s="2285" t="s">
        <v>1974</v>
      </c>
      <c r="D5" s="2286" t="s">
        <v>1975</v>
      </c>
      <c r="E5" s="1262" t="s">
        <v>1976</v>
      </c>
      <c r="F5" s="2287" t="s">
        <v>1977</v>
      </c>
      <c r="G5" s="1262" t="s">
        <v>1978</v>
      </c>
      <c r="H5" s="1262" t="s">
        <v>1979</v>
      </c>
      <c r="I5" s="1262" t="s">
        <v>1980</v>
      </c>
      <c r="J5" s="2288" t="s">
        <v>1981</v>
      </c>
      <c r="K5" s="2289" t="s">
        <v>1982</v>
      </c>
      <c r="L5" s="2290" t="s">
        <v>1983</v>
      </c>
      <c r="M5" s="2291" t="s">
        <v>1984</v>
      </c>
      <c r="N5" s="2292" t="s">
        <v>1985</v>
      </c>
      <c r="O5" s="2290" t="s">
        <v>1986</v>
      </c>
      <c r="P5" s="2293" t="s">
        <v>1987</v>
      </c>
      <c r="Q5" s="69" t="s">
        <v>1988</v>
      </c>
      <c r="R5" s="2294" t="s">
        <v>1989</v>
      </c>
      <c r="S5" s="2295" t="s">
        <v>1990</v>
      </c>
      <c r="T5" s="2296" t="s">
        <v>1991</v>
      </c>
      <c r="U5" s="1261" t="s">
        <v>1992</v>
      </c>
      <c r="V5" s="1262" t="s">
        <v>1993</v>
      </c>
      <c r="W5" s="1262" t="s">
        <v>1994</v>
      </c>
      <c r="X5" s="71"/>
      <c r="Y5" s="70" t="s">
        <v>1995</v>
      </c>
      <c r="Z5" s="2297" t="s">
        <v>1992</v>
      </c>
      <c r="AA5" s="1262" t="s">
        <v>1993</v>
      </c>
      <c r="AB5" s="1262" t="s">
        <v>1994</v>
      </c>
      <c r="AC5" s="71"/>
      <c r="AD5" s="71" t="s">
        <v>1995</v>
      </c>
      <c r="AE5" s="1261" t="s">
        <v>1996</v>
      </c>
      <c r="AF5" s="1262" t="s">
        <v>1997</v>
      </c>
      <c r="AG5" s="70" t="s">
        <v>1998</v>
      </c>
      <c r="AH5" s="1261" t="s">
        <v>1999</v>
      </c>
      <c r="AI5" s="2297" t="s">
        <v>2000</v>
      </c>
      <c r="AJ5" s="2297" t="s">
        <v>2001</v>
      </c>
      <c r="AK5" s="1262" t="s">
        <v>2002</v>
      </c>
      <c r="AL5" s="1262" t="s">
        <v>2003</v>
      </c>
      <c r="AM5" s="70" t="s">
        <v>2004</v>
      </c>
      <c r="AN5" s="2298" t="s">
        <v>2005</v>
      </c>
      <c r="AO5" s="2068" t="s">
        <v>2006</v>
      </c>
      <c r="AP5" s="1243" t="s">
        <v>2007</v>
      </c>
      <c r="AQ5" s="2299" t="s">
        <v>2008</v>
      </c>
      <c r="AR5" s="2299" t="s">
        <v>2009</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4" customFormat="1" ht="14.25">
      <c r="A6" s="2300" t="str">
        <f>'数据-汇总表'!C19</f>
        <v>1层商业</v>
      </c>
      <c r="B6" s="2301" t="str">
        <f>IF(A6=0,"","经营性")</f>
        <v>经营性</v>
      </c>
      <c r="C6" s="2302" t="s">
        <v>1373</v>
      </c>
      <c r="D6" s="1047">
        <f>SUMIF(项目基本情况!D$12:I$12,C6,项目基本情况!D$14:I$14)</f>
        <v>40</v>
      </c>
      <c r="E6" s="1044">
        <f>IF(B6="","",SUMIF(项目基本情况!D$12:I$12,C6,项目基本情况!D$13:I$13))</f>
        <v>54945</v>
      </c>
      <c r="F6" s="72">
        <f>SUMIF(项目基本情况!D$12:I$12,C6,项目基本情况!D$15:I$15)</f>
        <v>30.89</v>
      </c>
      <c r="G6" s="73">
        <f>IF(ISERROR(ROUND(POWER(1+H6,D6-F6)*(POWER(1+H6,F6)-1)/(POWER(1+H6,D6)-1),3)),0,ROUND(POWER(1+H6,D6-F6)*(POWER(1+H6,F6)-1)/(POWER(1+H6,D6)-1),3))</f>
        <v>0.90700000000000003</v>
      </c>
      <c r="H6" s="798">
        <v>0.05</v>
      </c>
      <c r="I6" s="798">
        <v>5.5E-2</v>
      </c>
      <c r="J6" s="74">
        <v>8.5000000000000006E-2</v>
      </c>
      <c r="K6" s="1245">
        <f>SUMIF('数据-汇总表'!C$19:C$33,A6,'数据-汇总表'!E$19:E$33)</f>
        <v>3497.5499999999993</v>
      </c>
      <c r="L6" s="799">
        <v>2200</v>
      </c>
      <c r="M6" s="75">
        <f t="shared" ref="M6:M14" si="0">ROUND(K6*L6/10000,0)</f>
        <v>769</v>
      </c>
      <c r="N6" s="797">
        <f>ROUND(1-(2019-2013)/60,2)</f>
        <v>0.9</v>
      </c>
      <c r="O6" s="75">
        <f>IF($N$5="成新度","——",ROUND(M6*N6,0))</f>
        <v>692</v>
      </c>
      <c r="P6" s="76">
        <f>IF($N$5="成新度","——",M6-O6)</f>
        <v>77</v>
      </c>
      <c r="Q6" s="800">
        <v>0.15</v>
      </c>
      <c r="R6" s="77">
        <f ca="1">SUMIF('数据-汇总表'!C$19:C$33,A6,'数据-汇总表'!R$19:R$27)</f>
        <v>0</v>
      </c>
      <c r="S6" s="54">
        <f>IF('数据-汇总表'!$I$17="按面积比例",SUMIF('数据-汇总表'!C$19:C$33,A6,'数据-汇总表'!K$19:K$33),SUMIF('数据-汇总表'!C$19:C$33,A6,'数据-汇总表'!N$19:N$33))</f>
        <v>0</v>
      </c>
      <c r="T6" s="1437">
        <f>ROUND($L$14*S6/10000,0)</f>
        <v>0</v>
      </c>
      <c r="U6" s="78">
        <v>3</v>
      </c>
      <c r="V6" s="79">
        <v>0.03</v>
      </c>
      <c r="W6" s="79">
        <v>0.1</v>
      </c>
      <c r="X6" s="1255"/>
      <c r="Y6" s="80">
        <f>N6</f>
        <v>0.9</v>
      </c>
      <c r="Z6" s="81"/>
      <c r="AA6" s="74"/>
      <c r="AB6" s="74"/>
      <c r="AC6" s="1255"/>
      <c r="AD6" s="82"/>
      <c r="AE6" s="1256">
        <f ca="1">IF(AN6="",0,SUMIF(INDIRECT("'"&amp;AN6&amp;"'"&amp;"!E:E"),$AE$5,INDIRECT("'"&amp;AN6&amp;"'"&amp;"!F:F")))</f>
        <v>30.89</v>
      </c>
      <c r="AF6" s="1798"/>
      <c r="AG6" s="147">
        <f>IF(AF6="",0,AE6-AF6)</f>
        <v>0</v>
      </c>
      <c r="AH6" s="83"/>
      <c r="AI6" s="85">
        <v>365</v>
      </c>
      <c r="AJ6" s="86"/>
      <c r="AK6" s="87">
        <v>1.4999999999999999E-2</v>
      </c>
      <c r="AL6" s="88">
        <v>1.5E-3</v>
      </c>
      <c r="AM6" s="89">
        <v>0.01</v>
      </c>
      <c r="AN6" s="2303" t="s">
        <v>3458</v>
      </c>
      <c r="AO6" s="55">
        <f ca="1">SUMIF(INDIRECT("'"&amp;AN6&amp;"'"&amp;"!A:A"),"总价",INDIRECT("'"&amp;AN6&amp;"'"&amp;"!B:B"))</f>
        <v>5568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4" customFormat="1" ht="14.25" hidden="1">
      <c r="A7" s="2300">
        <f>'数据-汇总表'!C20</f>
        <v>0</v>
      </c>
      <c r="B7" s="2301" t="str">
        <f t="shared" ref="B7:B13" si="1">IF(A7=0,"","经营性")</f>
        <v/>
      </c>
      <c r="C7" s="2302"/>
      <c r="D7" s="1047">
        <f>SUMIF(项目基本情况!D$12:I$12,C7,项目基本情况!D$14:I$14)</f>
        <v>0</v>
      </c>
      <c r="E7" s="1044"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5">
        <f>SUMIF('数据-汇总表'!C$19:C$33,A7,'数据-汇总表'!E$19:E$33)</f>
        <v>0</v>
      </c>
      <c r="L7" s="799"/>
      <c r="M7" s="75">
        <f t="shared" si="0"/>
        <v>0</v>
      </c>
      <c r="N7" s="797"/>
      <c r="O7" s="75">
        <f t="shared" ref="O7:O14" si="3">IF($N$5="成新度","——",ROUND(M7*N7,0))</f>
        <v>0</v>
      </c>
      <c r="P7" s="76">
        <f t="shared" ref="P7:P14" si="4">IF($N$5="成新度","——",M7-O7)</f>
        <v>0</v>
      </c>
      <c r="Q7" s="800"/>
      <c r="R7" s="77">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78"/>
      <c r="V7" s="79"/>
      <c r="W7" s="79"/>
      <c r="X7" s="1255"/>
      <c r="Y7" s="80"/>
      <c r="Z7" s="81"/>
      <c r="AA7" s="74"/>
      <c r="AB7" s="74"/>
      <c r="AC7" s="1255"/>
      <c r="AD7" s="82"/>
      <c r="AE7" s="1256">
        <f t="shared" ref="AE7:AE13" ca="1" si="6">IF(AN7="",0,SUMIF(INDIRECT("'"&amp;AN7&amp;"'"&amp;"!E:E"),$AE$5,INDIRECT("'"&amp;AN7&amp;"'"&amp;"!F:F")))</f>
        <v>0</v>
      </c>
      <c r="AF7" s="1798"/>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4" customFormat="1" ht="14.25" hidden="1">
      <c r="A8" s="2300">
        <f>'数据-汇总表'!C21</f>
        <v>0</v>
      </c>
      <c r="B8" s="2301" t="str">
        <f t="shared" si="1"/>
        <v/>
      </c>
      <c r="C8" s="2302"/>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5">
        <f>SUMIF('数据-汇总表'!C$19:C$33,A8,'数据-汇总表'!E$19:E$33)</f>
        <v>0</v>
      </c>
      <c r="L8" s="799"/>
      <c r="M8" s="75">
        <f>ROUND(K8*L8/10000,0)</f>
        <v>0</v>
      </c>
      <c r="N8" s="797"/>
      <c r="O8" s="75">
        <f t="shared" si="3"/>
        <v>0</v>
      </c>
      <c r="P8" s="76">
        <f t="shared" si="4"/>
        <v>0</v>
      </c>
      <c r="Q8" s="800"/>
      <c r="R8" s="77">
        <f ca="1">SUMIF('数据-汇总表'!C$19:C$33,A8,'数据-汇总表'!R$19:R$27)</f>
        <v>0</v>
      </c>
      <c r="S8" s="54">
        <f>IF('数据-汇总表'!$I$17="按面积比例",SUMIF('数据-汇总表'!C$19:C$33,A8,'数据-汇总表'!K$19:K$33),SUMIF('数据-汇总表'!C$19:C$33,A8,'数据-汇总表'!N$19:N$33))</f>
        <v>0</v>
      </c>
      <c r="T8" s="1437">
        <f t="shared" si="5"/>
        <v>0</v>
      </c>
      <c r="U8" s="801"/>
      <c r="V8" s="802"/>
      <c r="W8" s="802"/>
      <c r="X8" s="1255"/>
      <c r="Y8" s="803"/>
      <c r="Z8" s="81"/>
      <c r="AA8" s="74"/>
      <c r="AB8" s="74"/>
      <c r="AC8" s="1255"/>
      <c r="AD8" s="82"/>
      <c r="AE8" s="1256">
        <f t="shared" ca="1" si="6"/>
        <v>0</v>
      </c>
      <c r="AF8" s="1798"/>
      <c r="AG8" s="147">
        <f t="shared" si="7"/>
        <v>0</v>
      </c>
      <c r="AH8" s="804"/>
      <c r="AI8" s="85"/>
      <c r="AJ8" s="86"/>
      <c r="AK8" s="805"/>
      <c r="AL8" s="806"/>
      <c r="AM8" s="807"/>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4" customFormat="1" ht="14.25" hidden="1">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8"/>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4" customFormat="1" ht="14.25" hidden="1">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8"/>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4" customFormat="1" ht="14.25" hidden="1">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8"/>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4" customFormat="1" ht="14.25" hidden="1">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8"/>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4" customFormat="1" ht="14.25" hidden="1">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8"/>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4" customFormat="1" ht="14.25" hidden="1">
      <c r="A14" s="2305" t="s">
        <v>2010</v>
      </c>
      <c r="B14" s="2301" t="s">
        <v>2011</v>
      </c>
      <c r="C14" s="2306" t="s">
        <v>2010</v>
      </c>
      <c r="D14" s="1047"/>
      <c r="E14" s="1044"/>
      <c r="F14" s="72"/>
      <c r="G14" s="73"/>
      <c r="H14" s="1244"/>
      <c r="I14" s="1244"/>
      <c r="J14" s="1244"/>
      <c r="K14" s="1245">
        <f>SUMIF('数据-汇总表'!C$19:C$33,A14,'数据-汇总表'!E$19:E$33)</f>
        <v>0</v>
      </c>
      <c r="L14" s="91"/>
      <c r="M14" s="75">
        <f t="shared" si="0"/>
        <v>0</v>
      </c>
      <c r="N14" s="92"/>
      <c r="O14" s="75">
        <f t="shared" si="3"/>
        <v>0</v>
      </c>
      <c r="P14" s="76">
        <f t="shared" si="4"/>
        <v>0</v>
      </c>
      <c r="Q14" s="1248"/>
      <c r="R14" s="77"/>
      <c r="S14" s="54"/>
      <c r="T14" s="1437"/>
      <c r="U14" s="719"/>
      <c r="V14" s="1250"/>
      <c r="W14" s="1250"/>
      <c r="X14" s="1251"/>
      <c r="Y14" s="1252"/>
      <c r="Z14" s="1253"/>
      <c r="AA14" s="1254"/>
      <c r="AB14" s="1254"/>
      <c r="AC14" s="1255"/>
      <c r="AD14" s="1251"/>
      <c r="AE14" s="1256"/>
      <c r="AF14" s="55"/>
      <c r="AG14" s="147"/>
      <c r="AH14" s="1256"/>
      <c r="AI14" s="1809"/>
      <c r="AJ14" s="769"/>
      <c r="AK14" s="1257"/>
      <c r="AL14" s="1258"/>
      <c r="AM14" s="1259"/>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4" customFormat="1" ht="27">
      <c r="A15" s="2305" t="s">
        <v>2012</v>
      </c>
      <c r="B15" s="2301" t="s">
        <v>2011</v>
      </c>
      <c r="C15" s="2306" t="s">
        <v>2013</v>
      </c>
      <c r="D15" s="1047"/>
      <c r="E15" s="1044"/>
      <c r="F15" s="72"/>
      <c r="G15" s="73"/>
      <c r="H15" s="1244"/>
      <c r="I15" s="1244"/>
      <c r="J15" s="1244"/>
      <c r="K15" s="1245">
        <f>SUMIF('数据-汇总表'!C$19:C$33,A15,'数据-汇总表'!E$19:E$33)</f>
        <v>0</v>
      </c>
      <c r="L15" s="1246"/>
      <c r="M15" s="75"/>
      <c r="N15" s="1247"/>
      <c r="O15" s="75"/>
      <c r="P15" s="76"/>
      <c r="Q15" s="1248"/>
      <c r="R15" s="77"/>
      <c r="S15" s="54"/>
      <c r="T15" s="1437"/>
      <c r="U15" s="719"/>
      <c r="V15" s="1250"/>
      <c r="W15" s="1250"/>
      <c r="X15" s="1251"/>
      <c r="Y15" s="1252"/>
      <c r="Z15" s="1253"/>
      <c r="AA15" s="1254"/>
      <c r="AB15" s="1254"/>
      <c r="AC15" s="1255"/>
      <c r="AD15" s="1251"/>
      <c r="AE15" s="1256"/>
      <c r="AF15" s="55"/>
      <c r="AG15" s="147"/>
      <c r="AH15" s="1256"/>
      <c r="AI15" s="1809"/>
      <c r="AJ15" s="769"/>
      <c r="AK15" s="1257"/>
      <c r="AL15" s="1258"/>
      <c r="AM15" s="1259"/>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4" customFormat="1" ht="15.75" thickBot="1">
      <c r="A16" s="2307" t="s">
        <v>2014</v>
      </c>
      <c r="B16" s="97"/>
      <c r="C16" s="1001"/>
      <c r="D16" s="2308"/>
      <c r="E16" s="97"/>
      <c r="F16" s="97"/>
      <c r="G16" s="98">
        <f>ROUND(SUMPRODUCT(G6:G13,K6:K13)/SUMPRODUCT((G6:G13&gt;0)*(K6:K13)),3)</f>
        <v>0.90700000000000003</v>
      </c>
      <c r="H16" s="99">
        <f>ROUND(SUMPRODUCT(H6:H13,K6:K13)/SUMPRODUCT((H6:H13&gt;0)*(K6:K13)),3)</f>
        <v>0.05</v>
      </c>
      <c r="I16" s="100"/>
      <c r="J16" s="100"/>
      <c r="K16" s="101">
        <f>SUM(K6:K15)</f>
        <v>3497.5499999999993</v>
      </c>
      <c r="L16" s="102">
        <f>ROUND(M16*10000/SUM(K6:K14),0)</f>
        <v>2199</v>
      </c>
      <c r="M16" s="102">
        <f>SUM(M6:M14)</f>
        <v>769</v>
      </c>
      <c r="N16" s="103">
        <f>ROUND(SUMPRODUCT(M6:M14,N6:N14)/M16,3)</f>
        <v>0.9</v>
      </c>
      <c r="O16" s="102">
        <f>SUM(O6:O14)</f>
        <v>692</v>
      </c>
      <c r="P16" s="102">
        <f>SUM(P6:P14)</f>
        <v>77</v>
      </c>
      <c r="Q16" s="104">
        <f>ROUND(SUMPRODUCT(Q6:Q13,K6:K13)/SUMPRODUCT((Q6:Q13&gt;0)*(K6:K13)),2)</f>
        <v>0.15</v>
      </c>
      <c r="R16" s="124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8"/>
      <c r="C17" s="1575"/>
      <c r="D17" s="2267"/>
      <c r="E17" s="2267"/>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2015</v>
      </c>
      <c r="B18" s="2274"/>
      <c r="C18" s="2271"/>
      <c r="D18" s="2272"/>
      <c r="E18" s="2271"/>
      <c r="F18" s="2271"/>
      <c r="G18" s="2271"/>
      <c r="H18" s="2271"/>
      <c r="I18" s="2271"/>
      <c r="J18" s="2271"/>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10" t="s">
        <v>2016</v>
      </c>
      <c r="B19" s="112">
        <v>0</v>
      </c>
      <c r="C19" s="2271" t="s">
        <v>2017</v>
      </c>
      <c r="D19" s="2272"/>
      <c r="E19" s="2271"/>
      <c r="F19" s="2271"/>
      <c r="G19" s="2271"/>
      <c r="H19" s="2271"/>
      <c r="I19" s="2271"/>
      <c r="J19" s="2271"/>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1" t="s">
        <v>2018</v>
      </c>
      <c r="B20" s="113">
        <v>1</v>
      </c>
      <c r="C20" s="2271" t="s">
        <v>2019</v>
      </c>
      <c r="D20" s="2272"/>
      <c r="E20" s="2271"/>
      <c r="F20" s="2271"/>
      <c r="G20" s="2271"/>
      <c r="H20" s="2271"/>
      <c r="I20" s="2271"/>
      <c r="J20" s="2271"/>
      <c r="K20" s="168"/>
      <c r="L20" s="168"/>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2" t="s">
        <v>2020</v>
      </c>
      <c r="B21" s="113">
        <v>1</v>
      </c>
      <c r="C21" s="2271"/>
      <c r="D21" s="2272"/>
      <c r="E21" s="2271"/>
      <c r="F21" s="2271"/>
      <c r="G21" s="2271"/>
      <c r="H21" s="2271"/>
      <c r="I21" s="2271"/>
      <c r="J21" s="2271"/>
      <c r="K21" s="168"/>
      <c r="L21" s="168"/>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1" t="s">
        <v>2021</v>
      </c>
      <c r="B22" s="114">
        <f>B19+B20</f>
        <v>1</v>
      </c>
      <c r="C22" s="2271"/>
      <c r="D22" s="2272"/>
      <c r="E22" s="2271"/>
      <c r="F22" s="2271"/>
      <c r="G22" s="2271"/>
      <c r="H22" s="2271"/>
      <c r="I22" s="2271"/>
      <c r="J22" s="2271"/>
      <c r="K22" s="168"/>
      <c r="L22" s="168"/>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2" t="s">
        <v>2022</v>
      </c>
      <c r="B23" s="114">
        <f>B19+B21</f>
        <v>1</v>
      </c>
      <c r="C23" s="2271"/>
      <c r="D23" s="2272"/>
      <c r="E23" s="2271"/>
      <c r="F23" s="2271"/>
      <c r="G23" s="2271"/>
      <c r="H23" s="2271"/>
      <c r="I23" s="2271"/>
      <c r="J23" s="2271"/>
      <c r="K23" s="168"/>
      <c r="L23" s="168"/>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3" t="s">
        <v>2023</v>
      </c>
      <c r="B24" s="115">
        <f>B20-B21</f>
        <v>0</v>
      </c>
      <c r="C24" s="2271"/>
      <c r="D24" s="2272"/>
      <c r="E24" s="2271"/>
      <c r="F24" s="2271"/>
      <c r="G24" s="2271"/>
      <c r="H24" s="2271"/>
      <c r="I24" s="2271"/>
      <c r="J24" s="2271"/>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74"/>
      <c r="C25" s="2271"/>
      <c r="D25" s="2272"/>
      <c r="E25" s="2271"/>
      <c r="F25" s="2271"/>
      <c r="G25" s="2271"/>
      <c r="H25" s="2271"/>
      <c r="I25" s="2271"/>
      <c r="J25" s="2271"/>
      <c r="K25" s="168"/>
      <c r="L25" s="168"/>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70" t="s">
        <v>2024</v>
      </c>
      <c r="B26" s="2314" t="s">
        <v>2025</v>
      </c>
      <c r="C26" s="2315" t="s">
        <v>2026</v>
      </c>
      <c r="D26" s="2272"/>
      <c r="E26" s="2271"/>
      <c r="F26" s="2271"/>
      <c r="G26" s="2271"/>
      <c r="H26" s="2271"/>
      <c r="I26" s="2271"/>
      <c r="J26" s="2271"/>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8" customFormat="1" ht="27.75">
      <c r="A27" s="2316" t="s">
        <v>2027</v>
      </c>
      <c r="B27" s="116">
        <v>75</v>
      </c>
      <c r="C27" s="1758" t="s">
        <v>2028</v>
      </c>
      <c r="D27" s="2317"/>
      <c r="E27" s="1421"/>
      <c r="F27" s="1421"/>
      <c r="G27" s="2271"/>
      <c r="H27" s="2271"/>
      <c r="I27" s="2271"/>
      <c r="J27" s="2271"/>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2029</v>
      </c>
      <c r="B28" s="119">
        <v>75</v>
      </c>
      <c r="C28" s="2320"/>
      <c r="D28" s="2317"/>
      <c r="E28" s="1421"/>
      <c r="F28" s="1421"/>
      <c r="G28" s="2271"/>
      <c r="H28" s="2271"/>
      <c r="I28" s="2271"/>
      <c r="J28" s="2271"/>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2030</v>
      </c>
      <c r="B29" s="121"/>
      <c r="C29" s="1758" t="s">
        <v>2031</v>
      </c>
      <c r="D29" s="2317"/>
      <c r="E29" s="1421"/>
      <c r="F29" s="1421"/>
      <c r="G29" s="2271"/>
      <c r="H29" s="2271"/>
      <c r="I29" s="2271"/>
      <c r="J29" s="2271"/>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2032</v>
      </c>
      <c r="B30" s="720">
        <v>200</v>
      </c>
      <c r="C30" s="2320"/>
      <c r="D30" s="2317"/>
      <c r="E30" s="1421"/>
      <c r="F30" s="1421"/>
      <c r="G30" s="2271"/>
      <c r="H30" s="2271"/>
      <c r="I30" s="2271"/>
      <c r="J30" s="2271"/>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2033</v>
      </c>
      <c r="B31" s="120">
        <f>B30-B32</f>
        <v>200</v>
      </c>
      <c r="C31" s="1758"/>
      <c r="D31" s="2317"/>
      <c r="E31" s="1421"/>
      <c r="F31" s="1421"/>
      <c r="G31" s="2271"/>
      <c r="H31" s="2271"/>
      <c r="I31" s="2271"/>
      <c r="J31" s="2271"/>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2034</v>
      </c>
      <c r="B32" s="721">
        <v>0</v>
      </c>
      <c r="C32" s="2320"/>
      <c r="D32" s="2272"/>
      <c r="E32" s="2271"/>
      <c r="F32" s="2271"/>
      <c r="G32" s="2271"/>
      <c r="H32" s="2271"/>
      <c r="I32" s="2271"/>
      <c r="J32" s="2271"/>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2035</v>
      </c>
      <c r="B33" s="722">
        <v>0.05</v>
      </c>
      <c r="C33" s="1757" t="s">
        <v>2036</v>
      </c>
      <c r="D33" s="2272"/>
      <c r="E33" s="2271"/>
      <c r="F33" s="2271"/>
      <c r="G33" s="2271"/>
      <c r="H33" s="2271"/>
      <c r="I33" s="2271"/>
      <c r="J33" s="2271"/>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2037</v>
      </c>
      <c r="B34" s="122">
        <v>0</v>
      </c>
      <c r="C34" s="1757" t="s">
        <v>2038</v>
      </c>
      <c r="D34" s="2272" t="s">
        <v>2039</v>
      </c>
      <c r="E34" s="728"/>
      <c r="F34" s="2271"/>
      <c r="G34" s="2271"/>
      <c r="H34" s="2271"/>
      <c r="I34" s="2271"/>
      <c r="J34" s="2271"/>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2040</v>
      </c>
      <c r="B35" s="119">
        <v>200</v>
      </c>
      <c r="C35" s="1757" t="s">
        <v>2041</v>
      </c>
      <c r="D35" s="2317"/>
      <c r="E35" s="1421"/>
      <c r="F35" s="1421"/>
      <c r="G35" s="2271"/>
      <c r="H35" s="2271"/>
      <c r="I35" s="2271"/>
      <c r="J35" s="2271"/>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2042</v>
      </c>
      <c r="B36" s="123">
        <v>1.4999999999999999E-2</v>
      </c>
      <c r="C36" s="1757" t="s">
        <v>2043</v>
      </c>
      <c r="D36" s="2272"/>
      <c r="E36" s="2271"/>
      <c r="F36" s="2271"/>
      <c r="G36" s="2271"/>
      <c r="H36" s="2271"/>
      <c r="I36" s="2271"/>
      <c r="J36" s="2271"/>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2" t="s">
        <v>2044</v>
      </c>
      <c r="B37" s="124">
        <v>0.02</v>
      </c>
      <c r="C37" s="1757" t="s">
        <v>2045</v>
      </c>
      <c r="D37" s="2272"/>
      <c r="E37" s="2271"/>
      <c r="F37" s="2271"/>
      <c r="G37" s="2271"/>
      <c r="H37" s="2271"/>
      <c r="I37" s="2271"/>
      <c r="J37" s="2271"/>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9" t="s">
        <v>2046</v>
      </c>
      <c r="B38" s="122">
        <v>0.02</v>
      </c>
      <c r="C38" s="1757" t="s">
        <v>2045</v>
      </c>
      <c r="D38" s="2272"/>
      <c r="E38" s="2271"/>
      <c r="F38" s="2271"/>
      <c r="G38" s="2271"/>
      <c r="H38" s="2271"/>
      <c r="I38" s="2271"/>
      <c r="J38" s="2271"/>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3" t="s">
        <v>2047</v>
      </c>
      <c r="B39" s="362">
        <f ca="1">存贷款利率!I1</f>
        <v>1.4999999999999999E-2</v>
      </c>
      <c r="C39" s="1757"/>
      <c r="D39" s="2272"/>
      <c r="E39" s="2271"/>
      <c r="F39" s="2271"/>
      <c r="G39" s="2271"/>
      <c r="H39" s="2271"/>
      <c r="I39" s="2271"/>
      <c r="J39" s="2271"/>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3" t="s">
        <v>2048</v>
      </c>
      <c r="B40" s="1294">
        <f ca="1">存贷款利率!G1</f>
        <v>4.3499999999999997E-2</v>
      </c>
      <c r="C40" s="1757" t="s">
        <v>2049</v>
      </c>
      <c r="D40" s="1575"/>
      <c r="E40" s="2272"/>
      <c r="F40" s="2271"/>
      <c r="G40" s="2271"/>
      <c r="H40" s="2271"/>
      <c r="I40" s="2271"/>
      <c r="J40" s="2271"/>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6" t="s">
        <v>2050</v>
      </c>
      <c r="B41" s="125">
        <f>B42+B43</f>
        <v>5.5000000000000007E-2</v>
      </c>
      <c r="C41" s="1758"/>
      <c r="D41" s="1575"/>
      <c r="E41" s="2272"/>
      <c r="F41" s="2271"/>
      <c r="G41" s="2271"/>
      <c r="H41" s="2271"/>
      <c r="I41" s="2271"/>
      <c r="J41" s="2271"/>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4" t="s">
        <v>2051</v>
      </c>
      <c r="B42" s="126">
        <v>0.05</v>
      </c>
      <c r="C42" s="2325">
        <f>IF(B2&lt;DATE(2016,5,1),0,B42)</f>
        <v>0.05</v>
      </c>
      <c r="D42" s="2272"/>
      <c r="E42" s="2271"/>
      <c r="F42" s="2271"/>
      <c r="G42" s="2271"/>
      <c r="H42" s="2271"/>
      <c r="I42" s="2271"/>
      <c r="J42" s="2271"/>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4" t="s">
        <v>2052</v>
      </c>
      <c r="B43" s="127">
        <f>B42*(B44+B45+B46)+B47</f>
        <v>5.000000000000001E-3</v>
      </c>
      <c r="C43" s="1758"/>
      <c r="D43" s="2272"/>
      <c r="E43" s="2271"/>
      <c r="F43" s="2271"/>
      <c r="G43" s="2271"/>
      <c r="H43" s="2271"/>
      <c r="I43" s="2271"/>
      <c r="J43" s="2271"/>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6" t="s">
        <v>2053</v>
      </c>
      <c r="B44" s="128">
        <v>0.05</v>
      </c>
      <c r="C44" s="1757" t="s">
        <v>2054</v>
      </c>
      <c r="D44" s="2272"/>
      <c r="E44" s="2271"/>
      <c r="F44" s="2271"/>
      <c r="G44" s="2271"/>
      <c r="H44" s="2271"/>
      <c r="I44" s="2271"/>
      <c r="J44" s="2271"/>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6" t="s">
        <v>2055</v>
      </c>
      <c r="B45" s="126">
        <v>0.03</v>
      </c>
      <c r="C45" s="1758" t="s">
        <v>2056</v>
      </c>
      <c r="D45" s="2272"/>
      <c r="E45" s="2271"/>
      <c r="F45" s="2271"/>
      <c r="G45" s="2271"/>
      <c r="H45" s="2271"/>
      <c r="I45" s="2271"/>
      <c r="J45" s="2271"/>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6" t="s">
        <v>2057</v>
      </c>
      <c r="B46" s="126">
        <v>0.02</v>
      </c>
      <c r="C46" s="1758" t="s">
        <v>2058</v>
      </c>
      <c r="D46" s="2272"/>
      <c r="E46" s="2271"/>
      <c r="F46" s="2271"/>
      <c r="G46" s="2271"/>
      <c r="H46" s="2271"/>
      <c r="I46" s="2271"/>
      <c r="J46" s="2271"/>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7" t="s">
        <v>2059</v>
      </c>
      <c r="B47" s="129"/>
      <c r="C47" s="1758" t="s">
        <v>2060</v>
      </c>
      <c r="D47" s="2272"/>
      <c r="E47" s="2271"/>
      <c r="F47" s="2271"/>
      <c r="G47" s="2271"/>
      <c r="H47" s="2271"/>
      <c r="I47" s="2271"/>
      <c r="J47" s="2271"/>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8" t="s">
        <v>2061</v>
      </c>
      <c r="B48" s="130">
        <v>0.03</v>
      </c>
      <c r="C48" s="1765" t="s">
        <v>2062</v>
      </c>
      <c r="D48" s="2272"/>
      <c r="E48" s="2271"/>
      <c r="F48" s="2271"/>
      <c r="G48" s="2271"/>
      <c r="H48" s="2271"/>
      <c r="I48" s="2271"/>
      <c r="J48" s="2271"/>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3" t="s">
        <v>2063</v>
      </c>
      <c r="B49" s="126">
        <v>5.0000000000000001E-4</v>
      </c>
      <c r="C49" s="1765" t="s">
        <v>2064</v>
      </c>
      <c r="D49" s="2272"/>
      <c r="E49" s="2271"/>
      <c r="F49" s="2271"/>
      <c r="G49" s="2271"/>
      <c r="H49" s="2271"/>
      <c r="I49" s="2271"/>
      <c r="J49" s="2271"/>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9" t="s">
        <v>2065</v>
      </c>
      <c r="B50" s="131">
        <v>1.2E-2</v>
      </c>
      <c r="C50" s="1421"/>
      <c r="D50" s="2272"/>
      <c r="E50" s="2271"/>
      <c r="F50" s="2271"/>
      <c r="G50" s="2271"/>
      <c r="H50" s="2271"/>
      <c r="I50" s="2271"/>
      <c r="J50" s="2271"/>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1" t="s">
        <v>2066</v>
      </c>
      <c r="B51" s="132">
        <v>0.12</v>
      </c>
      <c r="C51" s="1421"/>
      <c r="D51" s="2272"/>
      <c r="E51" s="2271"/>
      <c r="F51" s="2271"/>
      <c r="G51" s="2271"/>
      <c r="H51" s="2271"/>
      <c r="I51" s="2271"/>
      <c r="J51" s="2271"/>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9" t="s">
        <v>2067</v>
      </c>
      <c r="B52" s="133">
        <f>SUMIF(A54:A63,B53,B54:B63)</f>
        <v>4</v>
      </c>
      <c r="C52" s="1421"/>
      <c r="D52" s="2272"/>
      <c r="E52" s="2271"/>
      <c r="F52" s="2271"/>
      <c r="G52" s="2271"/>
      <c r="H52" s="2271"/>
      <c r="I52" s="2271"/>
      <c r="J52" s="2271"/>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9" t="s">
        <v>2068</v>
      </c>
      <c r="B53" s="2330" t="s">
        <v>269</v>
      </c>
      <c r="C53" s="1421" t="s">
        <v>2069</v>
      </c>
      <c r="D53" s="2331" t="s">
        <v>2070</v>
      </c>
      <c r="E53" s="2271"/>
      <c r="F53" s="2271"/>
      <c r="G53" s="2271"/>
      <c r="H53" s="2271"/>
      <c r="I53" s="2271"/>
      <c r="J53" s="2271"/>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2" t="s">
        <v>2071</v>
      </c>
      <c r="B54" s="84"/>
      <c r="C54" s="1421">
        <v>30</v>
      </c>
      <c r="D54" s="2272"/>
      <c r="E54" s="2271"/>
      <c r="F54" s="2271"/>
      <c r="G54" s="2271"/>
      <c r="H54" s="2271"/>
      <c r="I54" s="2271"/>
      <c r="J54" s="2271"/>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2" t="s">
        <v>2072</v>
      </c>
      <c r="B55" s="84">
        <v>4</v>
      </c>
      <c r="C55" s="1421">
        <v>24</v>
      </c>
      <c r="D55" s="2272"/>
      <c r="E55" s="2271"/>
      <c r="F55" s="2271"/>
      <c r="G55" s="2271"/>
      <c r="H55" s="2271"/>
      <c r="I55" s="2333"/>
      <c r="J55" s="2271"/>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2" t="s">
        <v>2073</v>
      </c>
      <c r="B56" s="84"/>
      <c r="C56" s="1421">
        <v>18</v>
      </c>
      <c r="D56" s="2272"/>
      <c r="E56" s="2271"/>
      <c r="F56" s="2271"/>
      <c r="G56" s="2271"/>
      <c r="H56" s="2271"/>
      <c r="I56" s="2271"/>
      <c r="J56" s="2271"/>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2" t="s">
        <v>2074</v>
      </c>
      <c r="B57" s="84"/>
      <c r="C57" s="1421">
        <v>12</v>
      </c>
      <c r="D57" s="2272"/>
      <c r="E57" s="2271"/>
      <c r="F57" s="2271"/>
      <c r="G57" s="2271"/>
      <c r="H57" s="2271"/>
      <c r="I57" s="2271"/>
      <c r="J57" s="2271"/>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2" t="s">
        <v>2075</v>
      </c>
      <c r="B58" s="84"/>
      <c r="C58" s="1421">
        <v>3</v>
      </c>
      <c r="D58" s="2272"/>
      <c r="E58" s="2271"/>
      <c r="F58" s="2271"/>
      <c r="G58" s="2271"/>
      <c r="H58" s="2271"/>
      <c r="I58" s="2271"/>
      <c r="J58" s="2271"/>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2" t="s">
        <v>2076</v>
      </c>
      <c r="B59" s="84"/>
      <c r="C59" s="1421">
        <v>1.5</v>
      </c>
      <c r="D59" s="2272"/>
      <c r="E59" s="2271"/>
      <c r="F59" s="2271"/>
      <c r="G59" s="2271"/>
      <c r="H59" s="2271"/>
      <c r="I59" s="2271"/>
      <c r="J59" s="2271"/>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2" t="s">
        <v>2077</v>
      </c>
      <c r="B60" s="84"/>
      <c r="C60" s="2271"/>
      <c r="D60" s="2272"/>
      <c r="E60" s="2271"/>
      <c r="F60" s="2271"/>
      <c r="G60" s="2271"/>
      <c r="H60" s="2271"/>
      <c r="I60" s="2271"/>
      <c r="J60" s="2271"/>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2" t="s">
        <v>2078</v>
      </c>
      <c r="B61" s="84"/>
      <c r="C61" s="2271"/>
      <c r="D61" s="2272"/>
      <c r="E61" s="2271"/>
      <c r="F61" s="2271"/>
      <c r="G61" s="2271"/>
      <c r="H61" s="2271"/>
      <c r="I61" s="2271"/>
      <c r="J61" s="2271"/>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2" t="s">
        <v>2079</v>
      </c>
      <c r="B62" s="84"/>
      <c r="C62" s="2271"/>
      <c r="D62" s="2272"/>
      <c r="E62" s="2271"/>
      <c r="F62" s="2271"/>
      <c r="G62" s="2271"/>
      <c r="H62" s="2271"/>
      <c r="I62" s="2271"/>
      <c r="J62" s="2271"/>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4" t="s">
        <v>2080</v>
      </c>
      <c r="B63" s="134"/>
      <c r="C63" s="2271"/>
      <c r="D63" s="2272"/>
      <c r="E63" s="2271"/>
      <c r="F63" s="2271"/>
      <c r="G63" s="2271"/>
      <c r="H63" s="2271"/>
      <c r="I63" s="2271"/>
      <c r="J63" s="2271"/>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5"/>
      <c r="D64" s="2336"/>
      <c r="K64" s="794"/>
      <c r="L64" s="794"/>
    </row>
    <row r="65" spans="1:12" s="960" customFormat="1">
      <c r="A65" s="2335"/>
      <c r="D65" s="2336"/>
      <c r="K65" s="794"/>
      <c r="L65" s="794"/>
    </row>
    <row r="66" spans="1:12" s="960" customFormat="1">
      <c r="A66" s="2335"/>
      <c r="D66" s="2336"/>
      <c r="K66" s="794"/>
      <c r="L66" s="794"/>
    </row>
    <row r="67" spans="1:12" s="960" customFormat="1">
      <c r="A67" s="2335"/>
      <c r="D67" s="2336"/>
      <c r="K67" s="794"/>
      <c r="L67" s="794"/>
    </row>
    <row r="68" spans="1:12" s="960" customFormat="1">
      <c r="A68" s="2335"/>
      <c r="D68" s="2336"/>
      <c r="K68" s="794"/>
      <c r="L68" s="794"/>
    </row>
    <row r="69" spans="1:12" s="960" customFormat="1">
      <c r="A69" s="2335"/>
      <c r="D69" s="2336"/>
      <c r="K69" s="794"/>
      <c r="L69" s="794"/>
    </row>
    <row r="70" spans="1:12" s="960" customFormat="1">
      <c r="A70" s="2335"/>
      <c r="D70" s="2336"/>
      <c r="K70" s="794"/>
      <c r="L70" s="794"/>
    </row>
    <row r="71" spans="1:12" s="960" customFormat="1">
      <c r="A71" s="2335"/>
      <c r="D71" s="2336"/>
      <c r="K71" s="794"/>
      <c r="L71" s="794"/>
    </row>
    <row r="72" spans="1:12" s="960" customFormat="1">
      <c r="A72" s="2335"/>
      <c r="D72" s="2336"/>
      <c r="K72" s="794"/>
      <c r="L72" s="794"/>
    </row>
    <row r="73" spans="1:12" s="960" customFormat="1">
      <c r="A73" s="2335"/>
      <c r="D73" s="2336"/>
      <c r="K73" s="794"/>
      <c r="L73" s="794"/>
    </row>
    <row r="74" spans="1:12" s="960" customFormat="1">
      <c r="A74" s="2335"/>
      <c r="D74" s="2336"/>
      <c r="K74" s="794"/>
      <c r="L74" s="794"/>
    </row>
    <row r="75" spans="1:12" s="960" customFormat="1">
      <c r="A75" s="2335"/>
      <c r="D75" s="2336"/>
      <c r="K75" s="794"/>
      <c r="L75" s="794"/>
    </row>
    <row r="76" spans="1:12" s="960" customFormat="1">
      <c r="A76" s="2335"/>
      <c r="D76" s="2336"/>
      <c r="K76" s="794"/>
      <c r="L76" s="794"/>
    </row>
    <row r="77" spans="1:12" s="960" customFormat="1">
      <c r="A77" s="2335"/>
      <c r="D77" s="2336"/>
      <c r="K77" s="794"/>
      <c r="L77" s="794"/>
    </row>
    <row r="78" spans="1:12" s="960" customFormat="1">
      <c r="A78" s="2335"/>
      <c r="D78" s="2336"/>
      <c r="K78" s="794"/>
      <c r="L78" s="794"/>
    </row>
    <row r="79" spans="1:12" s="960" customFormat="1">
      <c r="A79" s="2335"/>
      <c r="D79" s="2336"/>
      <c r="K79" s="794"/>
      <c r="L79" s="794"/>
    </row>
    <row r="80" spans="1:12" s="960" customFormat="1">
      <c r="A80" s="2335"/>
      <c r="D80" s="2336"/>
      <c r="K80" s="794"/>
      <c r="L80" s="794"/>
    </row>
    <row r="81" spans="1:12" s="960" customFormat="1">
      <c r="A81" s="2335"/>
      <c r="D81" s="2336"/>
      <c r="K81" s="794"/>
      <c r="L81" s="794"/>
    </row>
    <row r="82" spans="1:12" s="960" customFormat="1">
      <c r="A82" s="2335"/>
      <c r="D82" s="2336"/>
      <c r="K82" s="794"/>
      <c r="L82" s="794"/>
    </row>
    <row r="83" spans="1:12" s="960" customFormat="1">
      <c r="A83" s="2335"/>
      <c r="D83" s="2336"/>
      <c r="K83" s="794"/>
      <c r="L83" s="794"/>
    </row>
    <row r="84" spans="1:12" s="960" customFormat="1">
      <c r="A84" s="2335"/>
      <c r="D84" s="2336"/>
      <c r="K84" s="794"/>
      <c r="L84" s="794"/>
    </row>
    <row r="85" spans="1:12" s="960" customFormat="1">
      <c r="A85" s="2335"/>
      <c r="D85" s="2336"/>
      <c r="K85" s="794"/>
      <c r="L85" s="794"/>
    </row>
    <row r="86" spans="1:12" s="960" customFormat="1">
      <c r="A86" s="2335"/>
      <c r="D86" s="2336"/>
      <c r="K86" s="794"/>
      <c r="L86" s="794"/>
    </row>
    <row r="87" spans="1:12" s="960" customFormat="1">
      <c r="A87" s="2335"/>
      <c r="D87" s="2336"/>
      <c r="K87" s="794"/>
      <c r="L87" s="794"/>
    </row>
    <row r="88" spans="1:12" s="960" customFormat="1">
      <c r="A88" s="2335"/>
      <c r="D88" s="2336"/>
      <c r="K88" s="794"/>
      <c r="L88" s="794"/>
    </row>
    <row r="89" spans="1:12" s="960" customFormat="1">
      <c r="A89" s="2335"/>
      <c r="D89" s="2336"/>
      <c r="K89" s="794"/>
      <c r="L89" s="794"/>
    </row>
    <row r="90" spans="1:12" s="960" customFormat="1">
      <c r="A90" s="2335"/>
      <c r="D90" s="2336"/>
      <c r="K90" s="794"/>
      <c r="L90" s="794"/>
    </row>
    <row r="91" spans="1:12" s="960" customFormat="1">
      <c r="A91" s="2335"/>
      <c r="D91" s="2336"/>
      <c r="K91" s="794"/>
      <c r="L91" s="794"/>
    </row>
    <row r="92" spans="1:12" s="960" customFormat="1">
      <c r="A92" s="2335"/>
      <c r="D92" s="2336"/>
      <c r="K92" s="794"/>
      <c r="L92" s="794"/>
    </row>
    <row r="93" spans="1:12" s="960" customFormat="1">
      <c r="A93" s="2335"/>
      <c r="D93" s="2336"/>
      <c r="K93" s="794"/>
      <c r="L93" s="794"/>
    </row>
    <row r="94" spans="1:12" s="960" customFormat="1">
      <c r="A94" s="2335"/>
      <c r="D94" s="2336"/>
      <c r="K94" s="794"/>
      <c r="L94" s="794"/>
    </row>
    <row r="95" spans="1:12" s="960" customFormat="1">
      <c r="A95" s="2335"/>
      <c r="D95" s="2336"/>
      <c r="K95" s="794"/>
      <c r="L95" s="794"/>
    </row>
    <row r="96" spans="1:12" s="960" customFormat="1">
      <c r="A96" s="2335"/>
      <c r="D96" s="2336"/>
      <c r="K96" s="794"/>
      <c r="L96" s="794"/>
    </row>
    <row r="97" spans="1:12" s="960" customFormat="1">
      <c r="A97" s="2335"/>
      <c r="D97" s="2336"/>
      <c r="K97" s="794"/>
      <c r="L97" s="794"/>
    </row>
    <row r="98" spans="1:12" s="960" customFormat="1">
      <c r="A98" s="2335"/>
      <c r="D98" s="2336"/>
      <c r="K98" s="794"/>
      <c r="L98" s="794"/>
    </row>
    <row r="99" spans="1:12" s="960" customFormat="1">
      <c r="A99" s="2335"/>
      <c r="D99" s="2336"/>
      <c r="K99" s="794"/>
      <c r="L99" s="794"/>
    </row>
    <row r="100" spans="1:12" s="960" customFormat="1">
      <c r="A100" s="2335"/>
      <c r="D100" s="2336"/>
      <c r="K100" s="794"/>
      <c r="L100" s="794"/>
    </row>
    <row r="101" spans="1:12" s="960" customFormat="1">
      <c r="A101" s="2335"/>
      <c r="D101" s="2336"/>
      <c r="K101" s="794"/>
      <c r="L101" s="794"/>
    </row>
    <row r="102" spans="1:12" s="960" customFormat="1">
      <c r="A102" s="2335"/>
      <c r="D102" s="2336"/>
      <c r="K102" s="794"/>
      <c r="L102" s="794"/>
    </row>
    <row r="103" spans="1:12" s="960" customFormat="1">
      <c r="A103" s="2335"/>
      <c r="D103" s="2336"/>
      <c r="K103" s="794"/>
      <c r="L103" s="794"/>
    </row>
    <row r="104" spans="1:12" s="960" customFormat="1">
      <c r="A104" s="2335"/>
      <c r="D104" s="2336"/>
      <c r="K104" s="794"/>
      <c r="L104" s="794"/>
    </row>
    <row r="105" spans="1:12" s="960" customFormat="1">
      <c r="A105" s="2335"/>
      <c r="D105" s="2336"/>
      <c r="K105" s="794"/>
      <c r="L105" s="794"/>
    </row>
    <row r="106" spans="1:12" s="960" customFormat="1">
      <c r="A106" s="2335"/>
      <c r="D106" s="2336"/>
      <c r="K106" s="794"/>
      <c r="L106" s="794"/>
    </row>
    <row r="107" spans="1:12" s="960" customFormat="1">
      <c r="A107" s="2335"/>
      <c r="D107" s="2336"/>
      <c r="K107" s="794"/>
      <c r="L107" s="794"/>
    </row>
    <row r="108" spans="1:12" s="960" customFormat="1">
      <c r="A108" s="2335"/>
      <c r="D108" s="2336"/>
      <c r="K108" s="794"/>
      <c r="L108" s="794"/>
    </row>
    <row r="109" spans="1:12" s="960" customFormat="1">
      <c r="A109" s="2335"/>
      <c r="D109" s="2336"/>
      <c r="K109" s="794"/>
      <c r="L109" s="794"/>
    </row>
    <row r="110" spans="1:12" s="960" customFormat="1">
      <c r="A110" s="2335"/>
      <c r="D110" s="2336"/>
      <c r="K110" s="794"/>
      <c r="L110" s="794"/>
    </row>
    <row r="111" spans="1:12" s="960" customFormat="1">
      <c r="A111" s="2335"/>
      <c r="D111" s="2336"/>
      <c r="K111" s="794"/>
      <c r="L111" s="794"/>
    </row>
    <row r="112" spans="1:12" s="960" customFormat="1">
      <c r="A112" s="2335"/>
      <c r="D112" s="2336"/>
      <c r="K112" s="794"/>
      <c r="L112" s="794"/>
    </row>
    <row r="113" spans="1:12" s="960" customFormat="1">
      <c r="A113" s="2335"/>
      <c r="D113" s="2336"/>
      <c r="K113" s="794"/>
      <c r="L113" s="794"/>
    </row>
    <row r="114" spans="1:12" s="960" customFormat="1">
      <c r="A114" s="2335"/>
      <c r="D114" s="2336"/>
      <c r="K114" s="794"/>
      <c r="L114" s="794"/>
    </row>
    <row r="115" spans="1:12" s="960" customFormat="1">
      <c r="A115" s="2335"/>
      <c r="D115" s="2336"/>
      <c r="K115" s="794"/>
      <c r="L115" s="794"/>
    </row>
    <row r="116" spans="1:12" s="960" customFormat="1">
      <c r="A116" s="2335"/>
      <c r="D116" s="2336"/>
      <c r="K116" s="794"/>
      <c r="L116" s="794"/>
    </row>
    <row r="117" spans="1:12" s="960" customFormat="1">
      <c r="A117" s="2335"/>
      <c r="D117" s="2336"/>
      <c r="K117" s="794"/>
      <c r="L117" s="794"/>
    </row>
    <row r="118" spans="1:12" s="960" customFormat="1">
      <c r="A118" s="2335"/>
      <c r="D118" s="2336"/>
      <c r="K118" s="794"/>
      <c r="L118" s="794"/>
    </row>
    <row r="119" spans="1:12" s="960" customFormat="1">
      <c r="A119" s="2335"/>
      <c r="D119" s="2336"/>
      <c r="K119" s="794"/>
      <c r="L119" s="794"/>
    </row>
    <row r="120" spans="1:12" s="960" customFormat="1">
      <c r="A120" s="2335"/>
      <c r="D120" s="2336"/>
      <c r="K120" s="794"/>
      <c r="L120" s="794"/>
    </row>
    <row r="121" spans="1:12" s="960" customFormat="1">
      <c r="A121" s="2335"/>
      <c r="D121" s="2336"/>
      <c r="K121" s="794"/>
      <c r="L121" s="794"/>
    </row>
    <row r="122" spans="1:12" s="960" customFormat="1">
      <c r="A122" s="2335"/>
      <c r="D122" s="2336"/>
      <c r="K122" s="794"/>
      <c r="L122" s="794"/>
    </row>
    <row r="123" spans="1:12" s="960" customFormat="1">
      <c r="A123" s="2335"/>
      <c r="D123" s="2336"/>
      <c r="K123" s="794"/>
      <c r="L123" s="794"/>
    </row>
    <row r="124" spans="1:12" s="960" customFormat="1">
      <c r="A124" s="2335"/>
      <c r="D124" s="2336"/>
      <c r="K124" s="794"/>
      <c r="L124" s="794"/>
    </row>
    <row r="125" spans="1:12" s="960" customFormat="1">
      <c r="A125" s="2335"/>
      <c r="D125" s="2336"/>
      <c r="K125" s="794"/>
      <c r="L125" s="794"/>
    </row>
    <row r="126" spans="1:12" s="960" customFormat="1">
      <c r="A126" s="2335"/>
      <c r="D126" s="2336"/>
      <c r="K126" s="794"/>
      <c r="L126" s="794"/>
    </row>
    <row r="127" spans="1:12" s="960" customFormat="1">
      <c r="A127" s="2335"/>
      <c r="D127" s="2336"/>
      <c r="K127" s="794"/>
      <c r="L127" s="794"/>
    </row>
    <row r="128" spans="1:12" s="960" customFormat="1">
      <c r="A128" s="2335"/>
      <c r="D128" s="2336"/>
      <c r="K128" s="794"/>
      <c r="L128" s="794"/>
    </row>
    <row r="129" spans="1:12" s="960" customFormat="1">
      <c r="A129" s="2335"/>
      <c r="D129" s="2336"/>
      <c r="K129" s="794"/>
      <c r="L129" s="794"/>
    </row>
    <row r="130" spans="1:12" s="960" customFormat="1">
      <c r="A130" s="2335"/>
      <c r="D130" s="2336"/>
      <c r="K130" s="794"/>
      <c r="L130" s="794"/>
    </row>
    <row r="131" spans="1:12" s="960" customFormat="1">
      <c r="A131" s="2335"/>
      <c r="D131" s="2336"/>
      <c r="K131" s="794"/>
      <c r="L131" s="794"/>
    </row>
    <row r="132" spans="1:12" s="960" customFormat="1">
      <c r="A132" s="2335"/>
      <c r="D132" s="2336"/>
      <c r="K132" s="794"/>
      <c r="L132" s="794"/>
    </row>
    <row r="133" spans="1:12" s="960" customFormat="1">
      <c r="A133" s="2335"/>
      <c r="D133" s="2336"/>
      <c r="K133" s="794"/>
      <c r="L133" s="794"/>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59" t="s">
        <v>2081</v>
      </c>
      <c r="B1" s="3160"/>
      <c r="C1" s="3160"/>
      <c r="D1" s="3160"/>
      <c r="E1" s="3160"/>
      <c r="F1" s="3160"/>
      <c r="G1" s="316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2082</v>
      </c>
      <c r="D2" s="2360"/>
      <c r="E2" s="2361"/>
      <c r="F2" s="2280"/>
      <c r="G2" s="2359" t="s">
        <v>2083</v>
      </c>
      <c r="H2" s="2362"/>
      <c r="I2" s="2362"/>
      <c r="J2" s="2362"/>
      <c r="K2" s="2362"/>
      <c r="L2" s="2362"/>
      <c r="M2" s="2362"/>
      <c r="N2" s="2362"/>
      <c r="O2" s="2362"/>
      <c r="P2" s="2362"/>
      <c r="Q2" s="2362"/>
      <c r="R2" s="2362"/>
    </row>
    <row r="3" spans="1:29" ht="27">
      <c r="A3" s="415" t="s">
        <v>2084</v>
      </c>
      <c r="B3" s="1262" t="s">
        <v>2085</v>
      </c>
      <c r="C3" s="2364"/>
      <c r="D3" s="2365"/>
      <c r="E3" s="431" t="s">
        <v>2084</v>
      </c>
      <c r="F3" s="2366" t="s">
        <v>2086</v>
      </c>
      <c r="G3" s="2367"/>
      <c r="H3" s="2362"/>
      <c r="I3" s="2362"/>
      <c r="J3" s="2362"/>
      <c r="K3" s="2362"/>
      <c r="L3" s="2362"/>
      <c r="M3" s="2362"/>
      <c r="N3" s="2362"/>
      <c r="O3" s="2362"/>
      <c r="P3" s="2362"/>
      <c r="Q3" s="2362"/>
      <c r="R3" s="2362"/>
    </row>
    <row r="4" spans="1:29" ht="15">
      <c r="A4" s="431"/>
      <c r="B4" s="1789" t="s">
        <v>2087</v>
      </c>
      <c r="C4" s="2368"/>
      <c r="D4" s="2365"/>
      <c r="E4" s="2369"/>
      <c r="F4" s="42" t="s">
        <v>2088</v>
      </c>
      <c r="G4" s="2370"/>
      <c r="H4" s="2362"/>
      <c r="I4" s="2362"/>
      <c r="J4" s="2362"/>
      <c r="K4" s="2362"/>
      <c r="L4" s="2362"/>
      <c r="M4" s="2362"/>
      <c r="N4" s="2362"/>
      <c r="O4" s="2362"/>
      <c r="P4" s="2362"/>
      <c r="Q4" s="2362"/>
      <c r="R4" s="2362"/>
    </row>
    <row r="5" spans="1:29" ht="15">
      <c r="A5" s="431"/>
      <c r="B5" s="1789" t="s">
        <v>2089</v>
      </c>
      <c r="C5" s="2368"/>
      <c r="D5" s="2365"/>
      <c r="E5" s="2369"/>
      <c r="F5" s="1789" t="s">
        <v>2090</v>
      </c>
      <c r="G5" s="2370"/>
      <c r="H5" s="2362"/>
      <c r="I5" s="2362"/>
      <c r="J5" s="2362"/>
      <c r="K5" s="2362"/>
      <c r="L5" s="2362"/>
      <c r="M5" s="2362"/>
      <c r="N5" s="2362"/>
      <c r="O5" s="2362"/>
      <c r="P5" s="2362"/>
      <c r="Q5" s="2362"/>
      <c r="R5" s="2362"/>
    </row>
    <row r="6" spans="1:29" ht="15">
      <c r="A6" s="431"/>
      <c r="B6" s="1789" t="s">
        <v>2091</v>
      </c>
      <c r="C6" s="2370"/>
      <c r="D6" s="2365"/>
      <c r="E6" s="2369"/>
      <c r="F6" s="1789" t="s">
        <v>2092</v>
      </c>
      <c r="G6" s="2370"/>
      <c r="H6" s="2362"/>
      <c r="I6" s="2362"/>
      <c r="J6" s="2362"/>
      <c r="K6" s="2362"/>
      <c r="L6" s="2362"/>
      <c r="M6" s="2362"/>
      <c r="N6" s="2362"/>
      <c r="O6" s="2362"/>
      <c r="P6" s="2362"/>
      <c r="Q6" s="2362"/>
      <c r="R6" s="2362"/>
    </row>
    <row r="7" spans="1:29" ht="15.75" thickBot="1">
      <c r="A7" s="431"/>
      <c r="B7" s="1789" t="s">
        <v>2090</v>
      </c>
      <c r="C7" s="2370"/>
      <c r="D7" s="2371"/>
      <c r="E7" s="2372"/>
      <c r="F7" s="2373" t="s">
        <v>2093</v>
      </c>
      <c r="G7" s="2374"/>
      <c r="H7" s="2362"/>
      <c r="I7" s="2362"/>
      <c r="J7" s="2362"/>
      <c r="K7" s="2362"/>
      <c r="L7" s="2362"/>
      <c r="M7" s="2362"/>
      <c r="N7" s="2362"/>
      <c r="O7" s="2362"/>
      <c r="P7" s="2362"/>
      <c r="Q7" s="2362"/>
      <c r="R7" s="2362"/>
    </row>
    <row r="8" spans="1:29" ht="15">
      <c r="A8" s="431"/>
      <c r="B8" s="1789" t="s">
        <v>2092</v>
      </c>
      <c r="C8" s="2370"/>
      <c r="D8" s="2371"/>
      <c r="E8" s="2371"/>
      <c r="F8" s="1129"/>
      <c r="G8" s="1129"/>
      <c r="H8" s="2362"/>
      <c r="I8" s="2362"/>
      <c r="J8" s="2362"/>
      <c r="K8" s="2362"/>
      <c r="L8" s="2362"/>
      <c r="M8" s="2362"/>
      <c r="N8" s="2362"/>
      <c r="O8" s="2362"/>
      <c r="P8" s="2362"/>
      <c r="Q8" s="2362"/>
      <c r="R8" s="2362"/>
    </row>
    <row r="9" spans="1:29" ht="15">
      <c r="A9" s="431"/>
      <c r="B9" s="1789" t="s">
        <v>2094</v>
      </c>
      <c r="C9" s="2368"/>
      <c r="D9" s="2365"/>
      <c r="E9" s="2371"/>
      <c r="F9" s="1129"/>
      <c r="G9" s="1129"/>
      <c r="H9" s="2362"/>
      <c r="I9" s="2362"/>
      <c r="J9" s="2362"/>
      <c r="K9" s="2362"/>
      <c r="L9" s="2362"/>
      <c r="M9" s="2362"/>
      <c r="N9" s="2362"/>
      <c r="O9" s="2362"/>
      <c r="P9" s="2362"/>
      <c r="Q9" s="2362"/>
      <c r="R9" s="2362"/>
    </row>
    <row r="10" spans="1:29" s="117" customFormat="1" ht="15.75" thickBot="1">
      <c r="A10" s="2375"/>
      <c r="B10" s="2376" t="s">
        <v>2095</v>
      </c>
      <c r="C10" s="2377"/>
      <c r="D10" s="2365"/>
      <c r="E10" s="2365"/>
      <c r="F10" s="1129"/>
      <c r="G10" s="1129"/>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7"/>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7"/>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2096</v>
      </c>
      <c r="B13" s="2382"/>
      <c r="C13" s="2382"/>
      <c r="D13" s="2389"/>
      <c r="E13" s="2382"/>
      <c r="F13" s="2382"/>
      <c r="G13" s="2382"/>
    </row>
    <row r="14" spans="1:29" ht="15.75" thickBot="1">
      <c r="A14" s="2393"/>
      <c r="B14" s="2394"/>
      <c r="C14" s="2395" t="s">
        <v>2097</v>
      </c>
      <c r="D14" s="2365"/>
      <c r="E14" s="2396"/>
      <c r="F14" s="2396"/>
      <c r="G14" s="2359" t="s">
        <v>2098</v>
      </c>
    </row>
    <row r="15" spans="1:29" ht="27">
      <c r="A15" s="68" t="s">
        <v>2099</v>
      </c>
      <c r="B15" s="1261" t="s">
        <v>2085</v>
      </c>
      <c r="C15" s="2397">
        <f>C3</f>
        <v>0</v>
      </c>
      <c r="D15" s="2365"/>
      <c r="E15" s="2398" t="s">
        <v>2100</v>
      </c>
      <c r="F15" s="1261" t="s">
        <v>2101</v>
      </c>
      <c r="G15" s="135">
        <f>G3</f>
        <v>0</v>
      </c>
    </row>
    <row r="16" spans="1:29" ht="15">
      <c r="A16" s="644"/>
      <c r="B16" s="2399" t="s">
        <v>2087</v>
      </c>
      <c r="C16" s="2400">
        <f>C4</f>
        <v>0</v>
      </c>
      <c r="D16" s="2365"/>
      <c r="E16" s="2401"/>
      <c r="F16" s="2402" t="s">
        <v>2088</v>
      </c>
      <c r="G16" s="136">
        <f>G4</f>
        <v>0</v>
      </c>
    </row>
    <row r="17" spans="1:18" ht="15">
      <c r="A17" s="644"/>
      <c r="B17" s="2399" t="s">
        <v>2089</v>
      </c>
      <c r="C17" s="2400">
        <f>C5</f>
        <v>0</v>
      </c>
      <c r="D17" s="2371"/>
      <c r="E17" s="2401"/>
      <c r="F17" s="2402" t="s">
        <v>2102</v>
      </c>
      <c r="G17" s="1563"/>
    </row>
    <row r="18" spans="1:18" ht="15">
      <c r="A18" s="644"/>
      <c r="B18" s="2402" t="s">
        <v>2091</v>
      </c>
      <c r="C18" s="136">
        <f>C6</f>
        <v>0</v>
      </c>
      <c r="D18" s="2371"/>
      <c r="E18" s="2401"/>
      <c r="F18" s="2402" t="s">
        <v>2093</v>
      </c>
      <c r="G18" s="136">
        <f>G7</f>
        <v>0</v>
      </c>
    </row>
    <row r="19" spans="1:18" ht="15">
      <c r="A19" s="644"/>
      <c r="B19" s="2402" t="s">
        <v>2103</v>
      </c>
      <c r="C19" s="1563"/>
      <c r="D19" s="2365"/>
      <c r="E19" s="2401"/>
      <c r="F19" s="1789" t="s">
        <v>2090</v>
      </c>
      <c r="G19" s="136">
        <f>G5</f>
        <v>0</v>
      </c>
    </row>
    <row r="20" spans="1:18" ht="15">
      <c r="A20" s="644"/>
      <c r="B20" s="2402" t="s">
        <v>2104</v>
      </c>
      <c r="C20" s="2400">
        <f>C9</f>
        <v>0</v>
      </c>
      <c r="D20" s="2371"/>
      <c r="E20" s="2401"/>
      <c r="F20" s="1789" t="s">
        <v>2105</v>
      </c>
      <c r="G20" s="136">
        <f>G6</f>
        <v>0</v>
      </c>
    </row>
    <row r="21" spans="1:18" ht="15">
      <c r="A21" s="644"/>
      <c r="B21" s="1789" t="s">
        <v>2090</v>
      </c>
      <c r="C21" s="136">
        <f>C7</f>
        <v>0</v>
      </c>
      <c r="D21" s="2365"/>
      <c r="E21" s="2401"/>
      <c r="F21" s="2402" t="s">
        <v>2106</v>
      </c>
      <c r="G21" s="2403"/>
    </row>
    <row r="22" spans="1:18" ht="13.5" customHeight="1">
      <c r="A22" s="644"/>
      <c r="B22" s="1789" t="s">
        <v>2092</v>
      </c>
      <c r="C22" s="136">
        <f>C8</f>
        <v>0</v>
      </c>
      <c r="D22" s="2365"/>
      <c r="E22" s="2401"/>
      <c r="F22" s="2402" t="s">
        <v>2095</v>
      </c>
      <c r="G22" s="1563"/>
    </row>
    <row r="23" spans="1:18" s="2362" customFormat="1" ht="15.75" thickBot="1">
      <c r="A23" s="644"/>
      <c r="B23" s="2402" t="s">
        <v>2106</v>
      </c>
      <c r="C23" s="2403"/>
      <c r="D23" s="2390"/>
      <c r="E23" s="2404"/>
      <c r="F23" s="2405" t="s">
        <v>2107</v>
      </c>
      <c r="G23" s="2406"/>
      <c r="H23" s="2390"/>
      <c r="I23" s="2391"/>
      <c r="J23" s="2390"/>
      <c r="K23" s="2390"/>
      <c r="L23" s="2391"/>
      <c r="M23" s="2390"/>
      <c r="N23" s="2390"/>
      <c r="O23" s="2391"/>
      <c r="P23" s="2390"/>
      <c r="Q23" s="2390"/>
      <c r="R23" s="2392"/>
    </row>
    <row r="24" spans="1:18" s="2362" customFormat="1" ht="15.75" thickBot="1">
      <c r="A24" s="2407"/>
      <c r="B24" s="2405" t="s">
        <v>2108</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3497.5499999999993</v>
      </c>
      <c r="C1" s="1736"/>
      <c r="D1" s="1736"/>
      <c r="E1" s="1736"/>
      <c r="F1" s="1736"/>
      <c r="G1" s="1734"/>
    </row>
    <row r="2" spans="1:10" ht="16.5">
      <c r="A2" s="1737" t="s">
        <v>1349</v>
      </c>
      <c r="B2" s="1737">
        <f>SUM(C14:C23)</f>
        <v>0</v>
      </c>
      <c r="C2" s="1736"/>
      <c r="D2" s="1736"/>
      <c r="E2" s="1736"/>
      <c r="F2" s="1736"/>
      <c r="G2" s="1734"/>
    </row>
    <row r="3" spans="1:10" ht="16.5">
      <c r="A3" s="1737" t="s">
        <v>1358</v>
      </c>
      <c r="B3" s="1738">
        <f>项目基本情况!D3</f>
        <v>43670</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11361</v>
      </c>
      <c r="C5" s="1737">
        <f ca="1">ROUND(B5*10000/$B$1,0)</f>
        <v>32483</v>
      </c>
      <c r="D5" s="1737" t="e">
        <f ca="1">ROUND(B5*10000/$B$2,0)</f>
        <v>#DIV/0!</v>
      </c>
      <c r="E5" s="1736"/>
      <c r="F5" s="1734"/>
      <c r="G5" s="1734"/>
    </row>
    <row r="6" spans="1:10" ht="16.5">
      <c r="A6" s="1737" t="s">
        <v>1352</v>
      </c>
      <c r="B6" s="1737">
        <f ca="1">SUM(G14:G23)</f>
        <v>11361</v>
      </c>
      <c r="C6" s="1737">
        <f ca="1">ROUND(B6*10000/$B$1,0)</f>
        <v>32483</v>
      </c>
      <c r="D6" s="1737" t="e">
        <f ca="1">ROUND(B6*10000/$B$2,0)</f>
        <v>#DIV/0!</v>
      </c>
      <c r="E6" s="1736"/>
      <c r="F6" s="1734"/>
      <c r="G6" s="1734"/>
    </row>
    <row r="7" spans="1:10" ht="16.5">
      <c r="A7" s="1737" t="s">
        <v>1360</v>
      </c>
      <c r="B7" s="1737">
        <f>SUM(H14:H23)</f>
        <v>0</v>
      </c>
      <c r="C7" s="1737">
        <f>ROUND(B7*10000/$B$1,0)</f>
        <v>0</v>
      </c>
      <c r="D7" s="1737" t="e">
        <f>ROUND(B7*10000/$B$2,0)</f>
        <v>#DIV/0!</v>
      </c>
      <c r="E7" s="1736"/>
      <c r="F7" s="1734"/>
      <c r="G7" s="1734"/>
    </row>
    <row r="8" spans="1:10" ht="16.5">
      <c r="A8" s="1737" t="s">
        <v>1281</v>
      </c>
      <c r="B8" s="1737">
        <f>SUM(I14:I23)</f>
        <v>0</v>
      </c>
      <c r="C8" s="1737">
        <f>ROUND(B8*10000/$B$1,0)</f>
        <v>0</v>
      </c>
      <c r="D8" s="1737" t="e">
        <f>ROUND(B8*10000/$B$2,0)</f>
        <v>#DIV/0!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3497.5499999999993</v>
      </c>
      <c r="C14" s="1735">
        <f>结果表!C118</f>
        <v>0</v>
      </c>
      <c r="D14" s="1735">
        <f ca="1">结果表!H118</f>
        <v>11361</v>
      </c>
      <c r="E14" s="1735">
        <f ca="1">ROUND(D14*10000/B14,0)</f>
        <v>32483</v>
      </c>
      <c r="F14" s="1735" t="e">
        <f ca="1">ROUND(D14*10000/C14,0)</f>
        <v>#DIV/0!</v>
      </c>
      <c r="G14" s="1735">
        <f ca="1">结果表!D122</f>
        <v>11361</v>
      </c>
      <c r="H14" s="1735" t="str">
        <f>结果表!D124</f>
        <v>——</v>
      </c>
      <c r="I14" s="1735" t="str">
        <f>结果表!D126</f>
        <v>——</v>
      </c>
      <c r="J14" s="1734"/>
    </row>
    <row r="15" spans="1:10" ht="16.5">
      <c r="A15" s="1733" t="s">
        <v>1345</v>
      </c>
      <c r="B15" s="1740"/>
      <c r="C15" s="1740"/>
      <c r="D15" s="1740"/>
      <c r="E15" s="1735" t="e">
        <f t="shared" ref="E15:E23" si="0">ROUND(D15*10000/B15,0)</f>
        <v>#DIV/0!</v>
      </c>
      <c r="F15" s="1735" t="e">
        <f t="shared" ref="F15:F23" si="1">ROUND(D15*10000/C15,0)</f>
        <v>#DIV/0!</v>
      </c>
      <c r="G15" s="1741"/>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8" sqref="K28"/>
    </sheetView>
  </sheetViews>
  <sheetFormatPr defaultColWidth="12.625" defaultRowHeight="21.75" customHeight="1"/>
  <cols>
    <col min="1" max="2" width="12.625" style="2419"/>
    <col min="3" max="4" width="12.625" style="2419" customWidth="1"/>
    <col min="5" max="9" width="12.625" style="2419"/>
    <col min="10" max="11" width="12.625" style="791" customWidth="1"/>
    <col min="12" max="12" width="12.625" style="791"/>
    <col min="13" max="13" width="14.125" style="791" bestFit="1" customWidth="1"/>
    <col min="14" max="26" width="12.625" style="791"/>
    <col min="27" max="35" width="12.625" style="2418"/>
    <col min="36" max="16384" width="12.625" style="2419"/>
  </cols>
  <sheetData>
    <row r="1" spans="1:12" ht="21.75" customHeight="1" thickBot="1">
      <c r="A1" s="2219" t="s">
        <v>2109</v>
      </c>
      <c r="B1" s="2413"/>
      <c r="C1" s="2414"/>
      <c r="D1" s="2413"/>
      <c r="E1" s="2413"/>
      <c r="F1" s="2415" t="s">
        <v>2110</v>
      </c>
      <c r="G1" s="2064" t="s">
        <v>3497</v>
      </c>
      <c r="H1" s="2416" t="str">
        <f>IF(G1="现房","——","估价对象范围")</f>
        <v>——</v>
      </c>
      <c r="I1" s="2417" t="s">
        <v>3498</v>
      </c>
    </row>
    <row r="2" spans="1:12" ht="21.75" customHeight="1" thickBot="1">
      <c r="A2" s="3194" t="str">
        <f>项目基本情况!S2</f>
        <v>房地产</v>
      </c>
      <c r="B2" s="3195"/>
      <c r="C2" s="3195"/>
      <c r="D2" s="3195"/>
      <c r="E2" s="3195"/>
      <c r="F2" s="3195"/>
      <c r="G2" s="3195"/>
      <c r="H2" s="3195"/>
      <c r="I2" s="3196"/>
    </row>
    <row r="3" spans="1:12" ht="12.75">
      <c r="A3" s="3198" t="s">
        <v>2111</v>
      </c>
      <c r="B3" s="3199"/>
      <c r="C3" s="3199"/>
      <c r="D3" s="3199"/>
      <c r="E3" s="3199"/>
      <c r="F3" s="3199"/>
      <c r="G3" s="3199"/>
      <c r="H3" s="3199"/>
      <c r="I3" s="3199"/>
    </row>
    <row r="4" spans="1:12" ht="14.25">
      <c r="A4" s="2420" t="s">
        <v>2112</v>
      </c>
      <c r="B4" s="2421" t="s">
        <v>2113</v>
      </c>
      <c r="C4" s="2422" t="s">
        <v>3499</v>
      </c>
      <c r="D4" s="2422" t="s">
        <v>3458</v>
      </c>
      <c r="E4" s="3191" t="s">
        <v>2114</v>
      </c>
      <c r="F4" s="3192"/>
      <c r="G4" s="3192"/>
      <c r="H4" s="3192"/>
      <c r="I4" s="3200"/>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74" t="s">
        <v>2115</v>
      </c>
      <c r="B5" s="3112">
        <v>25</v>
      </c>
      <c r="C5" s="3177"/>
      <c r="D5" s="3197"/>
      <c r="E5" s="140" t="s">
        <v>2116</v>
      </c>
      <c r="F5" s="2424"/>
      <c r="G5" s="2424"/>
      <c r="H5" s="2424"/>
      <c r="I5" s="1825"/>
    </row>
    <row r="6" spans="1:12" ht="12.75">
      <c r="A6" s="3174"/>
      <c r="B6" s="3112"/>
      <c r="C6" s="3178"/>
      <c r="D6" s="3197"/>
      <c r="E6" s="140" t="s">
        <v>2117</v>
      </c>
      <c r="F6" s="2424"/>
      <c r="G6" s="2424"/>
      <c r="H6" s="2424"/>
      <c r="I6" s="1825"/>
    </row>
    <row r="7" spans="1:12" ht="12.75">
      <c r="A7" s="3174"/>
      <c r="B7" s="3112"/>
      <c r="C7" s="3179"/>
      <c r="D7" s="3197"/>
      <c r="E7" s="140" t="s">
        <v>2118</v>
      </c>
      <c r="F7" s="2424"/>
      <c r="G7" s="2424"/>
      <c r="H7" s="2424"/>
      <c r="I7" s="1825"/>
    </row>
    <row r="8" spans="1:12" ht="12.75">
      <c r="A8" s="3174" t="s">
        <v>2119</v>
      </c>
      <c r="B8" s="3112">
        <v>15</v>
      </c>
      <c r="C8" s="3177"/>
      <c r="D8" s="3197"/>
      <c r="E8" s="140" t="s">
        <v>2120</v>
      </c>
      <c r="F8" s="2424"/>
      <c r="G8" s="2424"/>
      <c r="H8" s="2424"/>
      <c r="I8" s="1825"/>
    </row>
    <row r="9" spans="1:12" ht="12.75">
      <c r="A9" s="3174"/>
      <c r="B9" s="3112"/>
      <c r="C9" s="3179"/>
      <c r="D9" s="3197"/>
      <c r="E9" s="140" t="s">
        <v>2121</v>
      </c>
      <c r="F9" s="2424"/>
      <c r="G9" s="2424"/>
      <c r="H9" s="2424"/>
      <c r="I9" s="1825"/>
    </row>
    <row r="10" spans="1:12" ht="12.75">
      <c r="A10" s="3174" t="s">
        <v>2122</v>
      </c>
      <c r="B10" s="3112">
        <v>15</v>
      </c>
      <c r="C10" s="3177"/>
      <c r="D10" s="3197"/>
      <c r="E10" s="140" t="s">
        <v>2123</v>
      </c>
      <c r="F10" s="2424"/>
      <c r="G10" s="2424"/>
      <c r="H10" s="2424"/>
      <c r="I10" s="1825"/>
    </row>
    <row r="11" spans="1:12" ht="12.75">
      <c r="A11" s="3174"/>
      <c r="B11" s="3112"/>
      <c r="C11" s="3179"/>
      <c r="D11" s="3197"/>
      <c r="E11" s="140" t="s">
        <v>2124</v>
      </c>
      <c r="F11" s="2424"/>
      <c r="G11" s="2424"/>
      <c r="H11" s="2424"/>
      <c r="I11" s="1825"/>
    </row>
    <row r="12" spans="1:12" ht="12.75">
      <c r="A12" s="3174" t="s">
        <v>2125</v>
      </c>
      <c r="B12" s="3112">
        <v>15</v>
      </c>
      <c r="C12" s="3177"/>
      <c r="D12" s="3197"/>
      <c r="E12" s="140" t="s">
        <v>2126</v>
      </c>
      <c r="F12" s="2424"/>
      <c r="G12" s="2424"/>
      <c r="H12" s="2424"/>
      <c r="I12" s="1825"/>
    </row>
    <row r="13" spans="1:12" ht="12.75">
      <c r="A13" s="3174"/>
      <c r="B13" s="3112"/>
      <c r="C13" s="3179"/>
      <c r="D13" s="3197"/>
      <c r="E13" s="140" t="s">
        <v>2127</v>
      </c>
      <c r="F13" s="2424"/>
      <c r="G13" s="2424"/>
      <c r="H13" s="2424"/>
      <c r="I13" s="1825"/>
    </row>
    <row r="14" spans="1:12" ht="12.75">
      <c r="A14" s="3174" t="s">
        <v>2128</v>
      </c>
      <c r="B14" s="3112">
        <v>30</v>
      </c>
      <c r="C14" s="3177">
        <v>7</v>
      </c>
      <c r="D14" s="3197">
        <v>3</v>
      </c>
      <c r="E14" s="140" t="s">
        <v>2129</v>
      </c>
      <c r="F14" s="2424"/>
      <c r="G14" s="2424"/>
      <c r="H14" s="2424"/>
      <c r="I14" s="1825"/>
    </row>
    <row r="15" spans="1:12" ht="12.75">
      <c r="A15" s="3174"/>
      <c r="B15" s="3112"/>
      <c r="C15" s="3178"/>
      <c r="D15" s="3197"/>
      <c r="E15" s="140" t="s">
        <v>2130</v>
      </c>
      <c r="F15" s="2424"/>
      <c r="G15" s="2424"/>
      <c r="H15" s="2424"/>
      <c r="I15" s="1825"/>
    </row>
    <row r="16" spans="1:12" ht="12.75">
      <c r="A16" s="3174"/>
      <c r="B16" s="3112"/>
      <c r="C16" s="3179"/>
      <c r="D16" s="3197"/>
      <c r="E16" s="140" t="s">
        <v>2131</v>
      </c>
      <c r="F16" s="2424"/>
      <c r="G16" s="2424"/>
      <c r="H16" s="2424"/>
      <c r="I16" s="1825"/>
    </row>
    <row r="17" spans="1:35" ht="15">
      <c r="A17" s="2425" t="s">
        <v>2132</v>
      </c>
      <c r="B17" s="64"/>
      <c r="C17" s="141">
        <f>SUM(C5:C16)</f>
        <v>7</v>
      </c>
      <c r="D17" s="141">
        <f>SUM(D5:D16)</f>
        <v>3</v>
      </c>
      <c r="E17" s="138"/>
      <c r="F17" s="138"/>
      <c r="G17" s="138"/>
      <c r="H17" s="138"/>
      <c r="I17" s="138"/>
      <c r="K17" s="2423"/>
      <c r="L17" s="2426" t="s">
        <v>2133</v>
      </c>
      <c r="M17" s="2426" t="s">
        <v>2134</v>
      </c>
    </row>
    <row r="18" spans="1:35" ht="15.75" thickBot="1">
      <c r="A18" s="2427" t="s">
        <v>2135</v>
      </c>
      <c r="B18" s="2428"/>
      <c r="C18" s="142">
        <f>ROUND(C17/SUM(C17:D17),2)</f>
        <v>0.7</v>
      </c>
      <c r="D18" s="142">
        <f>1-C18</f>
        <v>0.30000000000000004</v>
      </c>
      <c r="E18" s="138"/>
      <c r="F18" s="138"/>
      <c r="G18" s="138"/>
      <c r="H18" s="138"/>
      <c r="I18" s="138"/>
      <c r="K18" s="2423" t="s">
        <v>2136</v>
      </c>
      <c r="L18" s="2423">
        <f>IF(C1="",'数据-汇总表'!E3,SUMIF(项目类型,C1,'数据-汇总表'!E17:E26)+SUMIF(项目类型,C1,'数据-汇总表'!I17:I26))</f>
        <v>3497.5499999999993</v>
      </c>
      <c r="M18" s="2423">
        <f>IF(C1="",'数据-汇总表'!E3,SUMIF(项目类型,C1,'数据-汇总表'!E17:E26))</f>
        <v>3497.5499999999993</v>
      </c>
    </row>
    <row r="19" spans="1:35" ht="15">
      <c r="A19" s="2429" t="s">
        <v>2137</v>
      </c>
      <c r="B19" s="2430" t="s">
        <v>2138</v>
      </c>
      <c r="C19" s="143">
        <f ca="1">SUMIF(INDIRECT("'"&amp;C4&amp;"'"&amp;"!A:A"),结果表!B19,INDIRECT("'"&amp;C4&amp;"'"&amp;"!B:B"))</f>
        <v>13843</v>
      </c>
      <c r="D19" s="144">
        <f ca="1">SUMIF(INDIRECT("'"&amp;D4&amp;"'"&amp;"!A:A"),结果表!B19,INDIRECT("'"&amp;D4&amp;"'"&amp;"!B:B"))</f>
        <v>5568</v>
      </c>
      <c r="E19" s="2429" t="s">
        <v>2139</v>
      </c>
      <c r="F19" s="2430" t="s">
        <v>2138</v>
      </c>
      <c r="G19" s="145">
        <f ca="1">ROUND(C19*$C$18+D19*$D$18,0)</f>
        <v>11361</v>
      </c>
      <c r="H19" s="2431" t="s">
        <v>2140</v>
      </c>
      <c r="I19" s="138"/>
      <c r="K19" s="2423" t="s">
        <v>2141</v>
      </c>
      <c r="L19" s="2423">
        <f>IF(C1="",'数据-汇总表'!D3,SUMIF(项目类型,C1,'数据-汇总表'!D17:D26)+SUMIF(项目类型,C1,'数据-汇总表'!H17:H27))</f>
        <v>0</v>
      </c>
      <c r="M19" s="2423">
        <f>IF(C1="",'数据-汇总表'!D3,SUMIF(项目类型,C1,'数据-汇总表'!D17:D26))</f>
        <v>0</v>
      </c>
    </row>
    <row r="20" spans="1:35" ht="15">
      <c r="A20" s="2432"/>
      <c r="B20" s="1241" t="s">
        <v>2142</v>
      </c>
      <c r="C20" s="146">
        <f ca="1">SUMIF(INDIRECT("'"&amp;C4&amp;"'"&amp;"!A:A"),结果表!B20,INDIRECT("'"&amp;C4&amp;"'"&amp;"!B:B"))</f>
        <v>39578</v>
      </c>
      <c r="D20" s="147">
        <f ca="1">SUMIF(INDIRECT("'"&amp;D4&amp;"'"&amp;"!A:A"),结果表!B20,INDIRECT("'"&amp;D4&amp;"'"&amp;"!B:B"))</f>
        <v>15920</v>
      </c>
      <c r="E20" s="2432"/>
      <c r="F20" s="1241" t="s">
        <v>2142</v>
      </c>
      <c r="G20" s="148">
        <f ca="1">ROUND(C20*$C$18+D20*$D$18,0)</f>
        <v>32481</v>
      </c>
      <c r="H20" s="976" t="s">
        <v>2143</v>
      </c>
      <c r="I20" s="138"/>
    </row>
    <row r="21" spans="1:35" ht="15" customHeight="1" thickBot="1">
      <c r="A21" s="996"/>
      <c r="B21" s="2433" t="s">
        <v>2144</v>
      </c>
      <c r="C21" s="785" t="e">
        <f ca="1">ROUND(C19*10000/L19,0)</f>
        <v>#DIV/0!</v>
      </c>
      <c r="D21" s="786" t="e">
        <f ca="1">ROUND(D19*10000/L19,0)</f>
        <v>#DIV/0!</v>
      </c>
      <c r="E21" s="996"/>
      <c r="F21" s="2433" t="s">
        <v>2144</v>
      </c>
      <c r="G21" s="149" t="e">
        <f ca="1">ROUND(G19*10000/L19,0)</f>
        <v>#DIV/0!</v>
      </c>
      <c r="H21" s="2434" t="s">
        <v>2143</v>
      </c>
      <c r="I21" s="138"/>
    </row>
    <row r="22" spans="1:35" ht="15" thickBot="1">
      <c r="A22" s="2275" t="s">
        <v>2145</v>
      </c>
      <c r="B22" s="2435"/>
      <c r="C22" s="2436"/>
      <c r="D22" s="787">
        <f ca="1">IF(C19&lt;D19,D19/C19-1,C19/D19-1)</f>
        <v>1.4861709770114944</v>
      </c>
      <c r="E22" s="138"/>
      <c r="F22" s="138"/>
      <c r="G22" s="138"/>
      <c r="H22" s="138"/>
      <c r="I22" s="138"/>
    </row>
    <row r="23" spans="1:35" ht="13.5" thickBot="1">
      <c r="A23" s="2413"/>
      <c r="B23" s="2413"/>
      <c r="C23" s="2413"/>
      <c r="D23" s="2413"/>
      <c r="E23" s="138"/>
      <c r="F23" s="138"/>
      <c r="G23" s="138"/>
      <c r="H23" s="138"/>
      <c r="I23" s="138"/>
    </row>
    <row r="24" spans="1:35" ht="14.25">
      <c r="A24" s="3168" t="s">
        <v>2146</v>
      </c>
      <c r="B24" s="2430" t="s">
        <v>2138</v>
      </c>
      <c r="C24" s="145">
        <f>IF(B30=0,0,D30)</f>
        <v>0</v>
      </c>
      <c r="D24" s="2437"/>
      <c r="E24" s="138"/>
      <c r="F24" s="138"/>
      <c r="G24" s="138"/>
      <c r="H24" s="138"/>
      <c r="I24" s="138"/>
    </row>
    <row r="25" spans="1:35" ht="14.25">
      <c r="A25" s="3169"/>
      <c r="B25" s="1241" t="s">
        <v>2142</v>
      </c>
      <c r="C25" s="150">
        <f>IF(B30=0,0,C30)</f>
        <v>0</v>
      </c>
      <c r="D25" s="2438"/>
      <c r="E25" s="138"/>
      <c r="F25" s="138"/>
      <c r="G25" s="138"/>
      <c r="H25" s="138"/>
      <c r="I25" s="138"/>
    </row>
    <row r="26" spans="1:35" ht="13.5" customHeight="1">
      <c r="A26" s="2439" t="s">
        <v>2147</v>
      </c>
      <c r="B26" s="151" t="s">
        <v>2148</v>
      </c>
      <c r="C26" s="151" t="s">
        <v>2149</v>
      </c>
      <c r="D26" s="152" t="s">
        <v>2150</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2151</v>
      </c>
      <c r="B30" s="151"/>
      <c r="C30" s="151"/>
      <c r="D30" s="151"/>
      <c r="E30" s="2912" t="s">
        <v>3026</v>
      </c>
      <c r="F30" s="138"/>
      <c r="G30" s="138"/>
      <c r="H30" s="138"/>
      <c r="I30" s="138"/>
    </row>
    <row r="31" spans="1:35" s="2441" customFormat="1" ht="15" thickBot="1">
      <c r="A31" s="2440"/>
      <c r="B31" s="2440"/>
      <c r="C31" s="2440"/>
      <c r="D31" s="2440"/>
      <c r="E31" s="138"/>
      <c r="F31" s="138"/>
      <c r="G31" s="138"/>
      <c r="H31" s="138"/>
      <c r="I31" s="138"/>
      <c r="J31" s="791"/>
      <c r="K31" s="791"/>
      <c r="L31" s="791"/>
      <c r="M31" s="791"/>
      <c r="N31" s="791"/>
      <c r="O31" s="791"/>
      <c r="P31" s="791"/>
      <c r="Q31" s="791"/>
      <c r="R31" s="791"/>
      <c r="S31" s="791"/>
      <c r="T31" s="791"/>
      <c r="U31" s="791"/>
      <c r="V31" s="791"/>
      <c r="W31" s="791"/>
      <c r="X31" s="791"/>
      <c r="Y31" s="791"/>
      <c r="Z31" s="791"/>
      <c r="AA31" s="2418"/>
      <c r="AB31" s="2418"/>
      <c r="AC31" s="2418"/>
      <c r="AD31" s="2418"/>
      <c r="AE31" s="2418"/>
      <c r="AF31" s="2418"/>
      <c r="AG31" s="2418"/>
      <c r="AH31" s="2418"/>
      <c r="AI31" s="2418"/>
    </row>
    <row r="32" spans="1:35" ht="15.75" thickBot="1">
      <c r="A32" s="2442" t="s">
        <v>2152</v>
      </c>
      <c r="B32" s="2443"/>
      <c r="C32" s="153">
        <f ca="1">IF(D32="总价",G19-C24,G20-C25)</f>
        <v>11361</v>
      </c>
      <c r="D32" s="2444" t="s">
        <v>2153</v>
      </c>
      <c r="E32" s="138"/>
      <c r="F32" s="138"/>
      <c r="G32" s="138"/>
      <c r="H32" s="138"/>
      <c r="I32" s="138"/>
    </row>
    <row r="33" spans="1:15" ht="15">
      <c r="A33" s="953" t="s">
        <v>2154</v>
      </c>
      <c r="B33" s="2445"/>
      <c r="C33" s="2446"/>
      <c r="D33" s="2447"/>
      <c r="E33" s="2448" t="s">
        <v>2155</v>
      </c>
      <c r="F33" s="2449" t="str">
        <f>IF(D32="楼面单价","取值（单价）","取值（总价）")</f>
        <v>取值（总价）</v>
      </c>
      <c r="G33" s="138"/>
      <c r="H33" s="138"/>
      <c r="I33" s="138"/>
    </row>
    <row r="34" spans="1:15" ht="15">
      <c r="A34" s="2450"/>
      <c r="B34" s="2451" t="s">
        <v>2156</v>
      </c>
      <c r="C34" s="157" t="e">
        <f ca="1">IF(C33="自定义",F34,C32-C35)</f>
        <v>#REF!</v>
      </c>
      <c r="D34" s="1051" t="e">
        <f ca="1">IF(C33="自定义",ROUND(C34/C32,3),IF(C33="收益比率",SUMIF(INDIRECT("'"&amp;D33&amp;"'"&amp;"!b:b"),"土地收益比率",INDIRECT("'"&amp;D33&amp;"'"&amp;"!c:c")),SUMIF(INDIRECT("'"&amp;D33&amp;"'"&amp;"!b:b"),"土地成本比率",INDIRECT("'"&amp;D33&amp;"'"&amp;"!c:c"))))</f>
        <v>#REF!</v>
      </c>
      <c r="E34" s="2452" t="s">
        <v>2157</v>
      </c>
      <c r="F34" s="1730"/>
      <c r="G34" s="138"/>
      <c r="H34" s="138"/>
      <c r="I34" s="138"/>
    </row>
    <row r="35" spans="1:15" ht="15.75" thickBot="1">
      <c r="A35" s="2453"/>
      <c r="B35" s="2454" t="s">
        <v>2158</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55" t="s">
        <v>2159</v>
      </c>
      <c r="F35" s="163"/>
      <c r="G35" s="138"/>
      <c r="H35" s="138"/>
      <c r="I35" s="138"/>
    </row>
    <row r="36" spans="1:15" ht="15.75" thickBot="1">
      <c r="A36" s="3186" t="s">
        <v>2160</v>
      </c>
      <c r="B36" s="2456" t="s">
        <v>2161</v>
      </c>
      <c r="C36" s="154"/>
      <c r="D36" s="2457"/>
      <c r="E36" s="2458"/>
      <c r="F36" s="2459"/>
      <c r="G36" s="138"/>
      <c r="H36" s="138"/>
      <c r="I36" s="138"/>
    </row>
    <row r="37" spans="1:15" ht="15.75" thickBot="1">
      <c r="A37" s="3187"/>
      <c r="B37" s="2261" t="s">
        <v>2162</v>
      </c>
      <c r="C37" s="156"/>
      <c r="D37" s="1386"/>
      <c r="E37" s="1386"/>
      <c r="F37" s="2459"/>
      <c r="G37" s="138"/>
      <c r="H37" s="138"/>
      <c r="I37" s="138"/>
    </row>
    <row r="38" spans="1:15" ht="15.75" thickBot="1">
      <c r="A38" s="3188"/>
      <c r="B38" s="2460" t="s">
        <v>2163</v>
      </c>
      <c r="C38" s="723"/>
      <c r="D38" s="2461" t="s">
        <v>2164</v>
      </c>
      <c r="E38" s="1386"/>
      <c r="F38" s="2459"/>
      <c r="G38" s="138"/>
      <c r="H38" s="138"/>
      <c r="I38" s="138"/>
    </row>
    <row r="39" spans="1:15" ht="15">
      <c r="A39" s="2432" t="s">
        <v>2165</v>
      </c>
      <c r="B39" s="2462" t="s">
        <v>2166</v>
      </c>
      <c r="C39" s="2463" t="s">
        <v>2167</v>
      </c>
      <c r="D39" s="2463" t="s">
        <v>2168</v>
      </c>
      <c r="E39" s="2464" t="s">
        <v>2169</v>
      </c>
      <c r="F39" s="2459"/>
      <c r="G39" s="138"/>
      <c r="H39" s="138"/>
      <c r="I39" s="138"/>
    </row>
    <row r="40" spans="1:15" ht="14.25">
      <c r="A40" s="2465" t="s">
        <v>2170</v>
      </c>
      <c r="B40" s="158"/>
      <c r="C40" s="159"/>
      <c r="D40" s="159"/>
      <c r="E40" s="160"/>
      <c r="F40" s="2459"/>
      <c r="G40" s="138"/>
      <c r="H40" s="138"/>
      <c r="I40" s="138"/>
    </row>
    <row r="41" spans="1:15" ht="14.25">
      <c r="A41" s="2465" t="s">
        <v>2171</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2172</v>
      </c>
      <c r="B44" s="2470"/>
      <c r="C44" s="2470"/>
      <c r="D44" s="2471"/>
      <c r="E44" s="2471"/>
      <c r="F44" s="2472"/>
      <c r="G44" s="2472"/>
      <c r="H44" s="2472"/>
      <c r="I44" s="2472"/>
      <c r="J44" s="2473" t="s">
        <v>2173</v>
      </c>
      <c r="K44" s="2474"/>
      <c r="L44" s="2474"/>
      <c r="M44" s="2474"/>
      <c r="N44" s="2474"/>
      <c r="O44" s="2474"/>
    </row>
    <row r="45" spans="1:15" ht="14.25" customHeight="1" thickBot="1">
      <c r="A45" s="3165" t="s">
        <v>2174</v>
      </c>
      <c r="B45" s="3166"/>
      <c r="C45" s="3167"/>
      <c r="D45" s="164">
        <f ca="1">ROUND(H101*F45,0)</f>
        <v>11361</v>
      </c>
      <c r="E45" s="165" t="s">
        <v>2175</v>
      </c>
      <c r="F45" s="166">
        <v>1</v>
      </c>
      <c r="G45" s="167" t="s">
        <v>2176</v>
      </c>
      <c r="H45" s="138"/>
      <c r="I45" s="138"/>
      <c r="J45" s="3225" t="s">
        <v>2177</v>
      </c>
      <c r="K45" s="3225"/>
      <c r="L45" s="3225"/>
      <c r="M45" s="3225"/>
      <c r="N45" s="3225"/>
      <c r="O45" s="3225"/>
    </row>
    <row r="46" spans="1:15" ht="14.25" customHeight="1">
      <c r="A46" s="3162" t="s">
        <v>2178</v>
      </c>
      <c r="B46" s="3163"/>
      <c r="C46" s="3163"/>
      <c r="D46" s="3163"/>
      <c r="E46" s="3163"/>
      <c r="F46" s="3163"/>
      <c r="G46" s="3164"/>
      <c r="H46" s="2475"/>
      <c r="I46" s="168"/>
      <c r="J46" s="1803">
        <v>1</v>
      </c>
      <c r="K46" s="3225" t="s">
        <v>2179</v>
      </c>
      <c r="L46" s="3225"/>
      <c r="M46" s="3245"/>
      <c r="N46" s="3245"/>
      <c r="O46" s="3245"/>
    </row>
    <row r="47" spans="1:15" ht="12" customHeight="1">
      <c r="A47" s="169" t="s">
        <v>2180</v>
      </c>
      <c r="B47" s="170"/>
      <c r="C47" s="171"/>
      <c r="D47" s="172" t="s">
        <v>2181</v>
      </c>
      <c r="E47" s="24" t="s">
        <v>2182</v>
      </c>
      <c r="F47" s="173" t="s">
        <v>2183</v>
      </c>
      <c r="G47" s="174" t="s">
        <v>2184</v>
      </c>
      <c r="H47" s="2475"/>
      <c r="I47" s="168"/>
      <c r="J47" s="1803">
        <v>2</v>
      </c>
      <c r="K47" s="3225" t="s">
        <v>2185</v>
      </c>
      <c r="L47" s="3225"/>
      <c r="M47" s="3246">
        <f>'数据-取费表'!B2</f>
        <v>43670</v>
      </c>
      <c r="N47" s="3246"/>
      <c r="O47" s="3246"/>
    </row>
    <row r="48" spans="1:15" ht="25.5">
      <c r="A48" s="3193" t="s">
        <v>2186</v>
      </c>
      <c r="B48" s="3176"/>
      <c r="C48" s="3176"/>
      <c r="D48" s="140">
        <f>IF(H48="情况1",0,IF(H48="情况2",D52,IF(H48="情况3",D53,IF(H48="情况4",D54))))</f>
        <v>0</v>
      </c>
      <c r="E48" s="1792" t="str">
        <f>IF(H48="情况4","(销售额-原购置价)×税（费）率","销售额×税（费）率")</f>
        <v>销售额×税（费）率</v>
      </c>
      <c r="F48" s="175" t="str">
        <f>IF(H48="情况1","免征",'数据-取费表'!B41)</f>
        <v>免征</v>
      </c>
      <c r="G48" s="2476" t="s">
        <v>2187</v>
      </c>
      <c r="H48" s="2477" t="s">
        <v>2188</v>
      </c>
      <c r="I48" s="2475"/>
      <c r="J48" s="1803">
        <v>3</v>
      </c>
      <c r="K48" s="3225" t="s">
        <v>2189</v>
      </c>
      <c r="L48" s="3225"/>
      <c r="M48" s="3247">
        <f ca="1">H101</f>
        <v>11361</v>
      </c>
      <c r="N48" s="3247"/>
      <c r="O48" s="3247"/>
    </row>
    <row r="49" spans="1:35" ht="25.5" customHeight="1">
      <c r="A49" s="176" t="s">
        <v>2190</v>
      </c>
      <c r="B49" s="3161" t="s">
        <v>2191</v>
      </c>
      <c r="C49" s="3161"/>
      <c r="D49" s="177">
        <v>0</v>
      </c>
      <c r="E49" s="23" t="s">
        <v>2192</v>
      </c>
      <c r="F49" s="28" t="s">
        <v>34</v>
      </c>
      <c r="G49" s="3231"/>
      <c r="H49" s="138"/>
      <c r="I49" s="2478"/>
      <c r="J49" s="1803">
        <v>4</v>
      </c>
      <c r="K49" s="3225" t="str">
        <f>IF(项目基本情况!E8="房地产抵押价值","房地产抵押价值","抵押担保权已注销时的房地产抵押价值")</f>
        <v>抵押担保权已注销时的房地产抵押价值</v>
      </c>
      <c r="L49" s="3225"/>
      <c r="M49" s="3247" t="str">
        <f>IF(项目基本情况!E8="房地产抵押价值",H107,H109)</f>
        <v>——</v>
      </c>
      <c r="N49" s="3247"/>
      <c r="O49" s="3247"/>
    </row>
    <row r="50" spans="1:35" ht="25.5" customHeight="1">
      <c r="A50" s="178"/>
      <c r="B50" s="3161" t="s">
        <v>2193</v>
      </c>
      <c r="C50" s="3161"/>
      <c r="D50" s="179"/>
      <c r="E50" s="31"/>
      <c r="F50" s="180"/>
      <c r="G50" s="3232"/>
      <c r="H50" s="138"/>
      <c r="I50" s="2478"/>
      <c r="J50" s="3225" t="s">
        <v>2194</v>
      </c>
      <c r="K50" s="3225"/>
      <c r="L50" s="3225"/>
      <c r="M50" s="3225"/>
      <c r="N50" s="3225"/>
      <c r="O50" s="3225"/>
    </row>
    <row r="51" spans="1:35" ht="12" customHeight="1">
      <c r="A51" s="181"/>
      <c r="B51" s="3161" t="s">
        <v>2195</v>
      </c>
      <c r="C51" s="3161"/>
      <c r="D51" s="182"/>
      <c r="E51" s="30"/>
      <c r="F51" s="180"/>
      <c r="G51" s="3233"/>
      <c r="H51" s="138"/>
      <c r="I51" s="2478"/>
      <c r="J51" s="2479" t="s">
        <v>2196</v>
      </c>
      <c r="K51" s="3225" t="s">
        <v>2197</v>
      </c>
      <c r="L51" s="3225"/>
      <c r="M51" s="2479" t="s">
        <v>2198</v>
      </c>
      <c r="N51" s="2479" t="s">
        <v>2199</v>
      </c>
      <c r="O51" s="2479" t="s">
        <v>2200</v>
      </c>
    </row>
    <row r="52" spans="1:35" ht="24" customHeight="1">
      <c r="A52" s="183" t="s">
        <v>2201</v>
      </c>
      <c r="B52" s="3161" t="s">
        <v>2202</v>
      </c>
      <c r="C52" s="3161"/>
      <c r="D52" s="182">
        <f ca="1">ROUND(D45*'数据-取费表'!B41/(1+'数据-取费表'!C42),0)</f>
        <v>595</v>
      </c>
      <c r="E52" s="11" t="s">
        <v>2203</v>
      </c>
      <c r="F52" s="184">
        <f>'数据-取费表'!B41</f>
        <v>5.5000000000000007E-2</v>
      </c>
      <c r="G52" s="2480"/>
      <c r="H52" s="138"/>
      <c r="I52" s="2478"/>
      <c r="J52" s="1803">
        <v>1</v>
      </c>
      <c r="K52" s="3226" t="s">
        <v>2204</v>
      </c>
      <c r="L52" s="3226"/>
      <c r="M52" s="1745">
        <f>D48</f>
        <v>0</v>
      </c>
      <c r="N52" s="1803" t="str">
        <f>E48</f>
        <v>销售额×税（费）率</v>
      </c>
      <c r="O52" s="1746" t="str">
        <f>F48</f>
        <v>免征</v>
      </c>
    </row>
    <row r="53" spans="1:35" ht="12" customHeight="1">
      <c r="A53" s="183" t="s">
        <v>2205</v>
      </c>
      <c r="B53" s="3184" t="s">
        <v>2206</v>
      </c>
      <c r="C53" s="3185"/>
      <c r="D53" s="182">
        <f ca="1">ROUND(D45*'数据-取费表'!B41/(1+'数据-取费表'!C42),0)</f>
        <v>595</v>
      </c>
      <c r="E53" s="11" t="s">
        <v>2203</v>
      </c>
      <c r="F53" s="184">
        <f>'数据-取费表'!B41</f>
        <v>5.5000000000000007E-2</v>
      </c>
      <c r="G53" s="2480"/>
      <c r="H53" s="138"/>
      <c r="I53" s="2478"/>
      <c r="J53" s="1803">
        <v>2</v>
      </c>
      <c r="K53" s="3226" t="s">
        <v>2207</v>
      </c>
      <c r="L53" s="3226"/>
      <c r="M53" s="1745">
        <f t="shared" ref="M53:O54" ca="1" si="0">D55</f>
        <v>6</v>
      </c>
      <c r="N53" s="1803" t="str">
        <f t="shared" si="0"/>
        <v>销售额×税（费）率</v>
      </c>
      <c r="O53" s="1746">
        <f t="shared" si="0"/>
        <v>5.0000000000000001E-4</v>
      </c>
    </row>
    <row r="54" spans="1:35" ht="12" customHeight="1">
      <c r="A54" s="183" t="s">
        <v>2208</v>
      </c>
      <c r="B54" s="3184" t="s">
        <v>2209</v>
      </c>
      <c r="C54" s="3185"/>
      <c r="D54" s="182">
        <f ca="1">C68</f>
        <v>595</v>
      </c>
      <c r="E54" s="30" t="s">
        <v>2210</v>
      </c>
      <c r="F54" s="184">
        <f>'数据-取费表'!B41</f>
        <v>5.5000000000000007E-2</v>
      </c>
      <c r="G54" s="2480"/>
      <c r="H54" s="2481"/>
      <c r="I54" s="2478"/>
      <c r="J54" s="1803">
        <v>3</v>
      </c>
      <c r="K54" s="3226" t="s">
        <v>2211</v>
      </c>
      <c r="L54" s="3226"/>
      <c r="M54" s="1745">
        <f t="shared" ca="1" si="0"/>
        <v>6441</v>
      </c>
      <c r="N54" s="1803" t="str">
        <f t="shared" si="0"/>
        <v>增值额×税（费）率</v>
      </c>
      <c r="O54" s="1747" t="str">
        <f t="shared" si="0"/>
        <v>——</v>
      </c>
    </row>
    <row r="55" spans="1:35" ht="24" customHeight="1">
      <c r="A55" s="3175" t="s">
        <v>2212</v>
      </c>
      <c r="B55" s="3176"/>
      <c r="C55" s="3176"/>
      <c r="D55" s="185">
        <f ca="1">IF(H55="个人住宅",0,ROUND(D45*I55,0))</f>
        <v>6</v>
      </c>
      <c r="E55" s="11" t="s">
        <v>2213</v>
      </c>
      <c r="F55" s="184">
        <f>IF(H55="正常",I55,"免征")</f>
        <v>5.0000000000000001E-4</v>
      </c>
      <c r="G55" s="2480"/>
      <c r="H55" s="2477" t="s">
        <v>2214</v>
      </c>
      <c r="I55" s="186">
        <f>'数据-取费表'!B49</f>
        <v>5.0000000000000001E-4</v>
      </c>
      <c r="J55" s="1803" t="str">
        <f>IF(H59="非个人房产","",4)</f>
        <v/>
      </c>
      <c r="K55" s="3226" t="str">
        <f>IF(H59="非个人房产","——","个人所得税")</f>
        <v>——</v>
      </c>
      <c r="L55" s="3226"/>
      <c r="M55" s="1748" t="str">
        <f>D59</f>
        <v>——</v>
      </c>
      <c r="N55" s="1801" t="str">
        <f>E59</f>
        <v>——</v>
      </c>
      <c r="O55" s="1749" t="str">
        <f>F59</f>
        <v>——</v>
      </c>
    </row>
    <row r="56" spans="1:35" ht="24.75">
      <c r="A56" s="3175" t="s">
        <v>2215</v>
      </c>
      <c r="B56" s="3176"/>
      <c r="C56" s="3176"/>
      <c r="D56" s="185">
        <f ca="1">IF(H56="个人住宅",D57,D58)</f>
        <v>6441</v>
      </c>
      <c r="E56" s="11" t="s">
        <v>2216</v>
      </c>
      <c r="F56" s="184" t="str">
        <f>IF(H56="正常",F58,"免征")</f>
        <v>——</v>
      </c>
      <c r="G56" s="2482" t="s">
        <v>2217</v>
      </c>
      <c r="H56" s="2483" t="s">
        <v>2214</v>
      </c>
      <c r="I56" s="2484"/>
      <c r="J56" s="1803" t="str">
        <f>IF(项目基本情况!K6="上海银行",IF(J55="",4,J55+1),"")</f>
        <v/>
      </c>
      <c r="K56" s="3249" t="str">
        <f>IF(项目基本情况!K6="上海银行","其他处置费用","")</f>
        <v/>
      </c>
      <c r="L56" s="3250"/>
      <c r="M56" s="1745" t="str">
        <f>IF(项目基本情况!K6="上海银行",M69,"")</f>
        <v/>
      </c>
      <c r="N56" s="3252" t="str">
        <f>IF(项目基本情况!K6="上海银行","包含处置中涉及的律师、诉讼、拍卖、评估等费用","")</f>
        <v/>
      </c>
      <c r="O56" s="3253"/>
    </row>
    <row r="57" spans="1:35" ht="12.75">
      <c r="A57" s="183" t="s">
        <v>2190</v>
      </c>
      <c r="B57" s="3191" t="s">
        <v>2218</v>
      </c>
      <c r="C57" s="3200"/>
      <c r="D57" s="187">
        <v>0</v>
      </c>
      <c r="E57" s="23" t="s">
        <v>2192</v>
      </c>
      <c r="F57" s="155"/>
      <c r="G57" s="2480"/>
      <c r="H57" s="2484"/>
      <c r="I57" s="2484"/>
      <c r="J57" s="3226">
        <f>IF(AND(J55="",J56=""),4,IF(项目基本情况!K6="上海银行",结果表!J56+1,结果表!J55+1))</f>
        <v>4</v>
      </c>
      <c r="K57" s="3226" t="s">
        <v>2219</v>
      </c>
      <c r="L57" s="2485" t="s">
        <v>2220</v>
      </c>
      <c r="M57" s="1750"/>
      <c r="N57" s="1751">
        <f ca="1">SUMIF(M52:M56,"&lt;9e307")</f>
        <v>6447</v>
      </c>
      <c r="O57" s="2486"/>
      <c r="P57" s="1744" t="e">
        <f ca="1">N57/M49</f>
        <v>#VALUE!</v>
      </c>
    </row>
    <row r="58" spans="1:35" ht="24.75">
      <c r="A58" s="183" t="s">
        <v>2201</v>
      </c>
      <c r="B58" s="3191" t="s">
        <v>2221</v>
      </c>
      <c r="C58" s="3192"/>
      <c r="D58" s="185">
        <f ca="1">IF(H58="转让取得",C81,C97)</f>
        <v>6441</v>
      </c>
      <c r="E58" s="11" t="s">
        <v>2216</v>
      </c>
      <c r="F58" s="24" t="s">
        <v>34</v>
      </c>
      <c r="G58" s="2480"/>
      <c r="H58" s="2483" t="s">
        <v>2222</v>
      </c>
      <c r="I58" s="2484"/>
      <c r="J58" s="3226"/>
      <c r="K58" s="3226"/>
      <c r="L58" s="2485" t="s">
        <v>2223</v>
      </c>
      <c r="M58" s="1752"/>
      <c r="N58" s="2487" t="str">
        <f ca="1">NUMBERSTRING(INT(N57*10000),2)&amp;"元整"</f>
        <v>陆仟肆佰肆拾柒万元整</v>
      </c>
      <c r="O58" s="2488"/>
    </row>
    <row r="59" spans="1:35" ht="24.75" thickBot="1">
      <c r="A59" s="3229" t="s">
        <v>2224</v>
      </c>
      <c r="B59" s="3230"/>
      <c r="C59" s="3230"/>
      <c r="D59" s="188" t="str">
        <f>IF(H59="非个人房产","——",IF(H59="个人住宅",0,ROUND(D45*I59,0)))</f>
        <v>——</v>
      </c>
      <c r="E59" s="189" t="str">
        <f>IF(H59="非个人房产","——","销售额×税（费）率")</f>
        <v>——</v>
      </c>
      <c r="F59" s="190" t="str">
        <f>IF(H59="非个人房产","——",IF(H59="个人住宅","免征",I59))</f>
        <v>——</v>
      </c>
      <c r="G59" s="2489" t="s">
        <v>2217</v>
      </c>
      <c r="H59" s="2483" t="s">
        <v>2225</v>
      </c>
      <c r="I59" s="191">
        <v>0.01</v>
      </c>
      <c r="J59" s="3227">
        <f>J57+1</f>
        <v>5</v>
      </c>
      <c r="K59" s="3226" t="s">
        <v>2226</v>
      </c>
      <c r="L59" s="1803" t="s">
        <v>2220</v>
      </c>
      <c r="M59" s="1753"/>
      <c r="N59" s="1754" t="e">
        <f ca="1">M49-N57</f>
        <v>#VALUE!</v>
      </c>
      <c r="O59" s="2490"/>
    </row>
    <row r="60" spans="1:35" ht="12" customHeight="1">
      <c r="A60" s="2491"/>
      <c r="B60" s="2413"/>
      <c r="C60" s="2413"/>
      <c r="D60" s="2413"/>
      <c r="E60" s="2160"/>
      <c r="F60" s="2484"/>
      <c r="G60" s="2484"/>
      <c r="H60" s="2492"/>
      <c r="I60" s="138"/>
      <c r="J60" s="3228"/>
      <c r="K60" s="3226"/>
      <c r="L60" s="2485" t="s">
        <v>2223</v>
      </c>
      <c r="M60" s="1752"/>
      <c r="N60" s="2487" t="e">
        <f ca="1">NUMBERSTRING(INT(N59*10000),2)&amp;"元整"</f>
        <v>#VALUE!</v>
      </c>
      <c r="O60" s="2488"/>
    </row>
    <row r="61" spans="1:35" ht="13.5" thickBot="1">
      <c r="A61" s="3173" t="s">
        <v>2227</v>
      </c>
      <c r="B61" s="3173"/>
      <c r="C61" s="3173"/>
      <c r="D61" s="3173"/>
      <c r="E61" s="3173"/>
      <c r="F61" s="2484"/>
      <c r="G61" s="2484"/>
      <c r="H61" s="2492"/>
      <c r="I61" s="138"/>
      <c r="J61" s="1803">
        <f>J59+1</f>
        <v>6</v>
      </c>
      <c r="K61" s="3226" t="s">
        <v>2228</v>
      </c>
      <c r="L61" s="3226"/>
      <c r="M61" s="1755"/>
      <c r="N61" s="1756" t="e">
        <f ca="1">ROUND(N59*10000/'数据-汇总表'!E3,0)</f>
        <v>#VALUE!</v>
      </c>
      <c r="O61" s="2493"/>
    </row>
    <row r="62" spans="1:35" ht="12.75">
      <c r="A62" s="3189" t="s">
        <v>2229</v>
      </c>
      <c r="B62" s="3190"/>
      <c r="C62" s="1795"/>
      <c r="D62" s="1795" t="s">
        <v>2230</v>
      </c>
      <c r="E62" s="192" t="s">
        <v>2231</v>
      </c>
      <c r="F62" s="2484"/>
      <c r="G62" s="2484"/>
      <c r="H62" s="2492"/>
      <c r="I62" s="138"/>
    </row>
    <row r="63" spans="1:35" ht="12.75">
      <c r="A63" s="203" t="s">
        <v>775</v>
      </c>
      <c r="B63" s="193" t="s">
        <v>2232</v>
      </c>
      <c r="C63" s="194">
        <f ca="1">ROUND((C64+C65)/(1+'数据-取费表'!C42),0)</f>
        <v>10820</v>
      </c>
      <c r="D63" s="195"/>
      <c r="E63" s="196"/>
      <c r="F63" s="2484"/>
      <c r="G63" s="2484"/>
      <c r="H63" s="2492"/>
      <c r="I63" s="138"/>
      <c r="J63" s="3251" t="s">
        <v>2233</v>
      </c>
      <c r="K63" s="2494" t="s">
        <v>2234</v>
      </c>
      <c r="L63" s="1743" t="e">
        <f>IF(M49&gt;10000,M49*0.5%,IF(AND(M49&gt;1000,M49&lt;=10000),M49*1%,IF(AND(M49&gt;100,M49&lt;=1000),M49*3%,IF(AND(M49&gt;10,M49&lt;=100),M49*5%,M49*8%))))</f>
        <v>#VALUE!</v>
      </c>
      <c r="M63" s="24" t="e">
        <f>ROUND(L63,1)</f>
        <v>#VALUE!</v>
      </c>
      <c r="Z63" s="2418"/>
      <c r="AI63" s="2419"/>
    </row>
    <row r="64" spans="1:35" ht="14.25" customHeight="1">
      <c r="A64" s="197" t="s">
        <v>770</v>
      </c>
      <c r="B64" s="198" t="s">
        <v>2235</v>
      </c>
      <c r="C64" s="199">
        <f ca="1">D45</f>
        <v>11361</v>
      </c>
      <c r="D64" s="200" t="s">
        <v>32</v>
      </c>
      <c r="E64" s="201"/>
      <c r="F64" s="2484"/>
      <c r="G64" s="2484"/>
      <c r="H64" s="2492"/>
      <c r="I64" s="138"/>
      <c r="J64" s="3251"/>
      <c r="K64" s="2494" t="s">
        <v>2236</v>
      </c>
      <c r="L64" s="174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2237</v>
      </c>
      <c r="Z64" s="2418"/>
      <c r="AI64" s="2419"/>
    </row>
    <row r="65" spans="1:35" ht="14.25" customHeight="1">
      <c r="A65" s="197" t="s">
        <v>771</v>
      </c>
      <c r="B65" s="198" t="s">
        <v>2238</v>
      </c>
      <c r="C65" s="202"/>
      <c r="D65" s="200"/>
      <c r="E65" s="201"/>
      <c r="F65" s="2484"/>
      <c r="G65" s="2484"/>
      <c r="H65" s="2492"/>
      <c r="I65" s="138"/>
      <c r="J65" s="3251"/>
      <c r="K65" s="2494" t="s">
        <v>2239</v>
      </c>
      <c r="L65" s="1743" t="e">
        <f>IF(M49&gt;1000,M49*0.1%,IF(AND(M49&gt;500,M49&lt;=1000),M49*0.5%,IF(AND(M49&gt;50,M49&lt;=500),M49*1%,IF(AND(M49&gt;1,M49&lt;=50),M49*1.5%))))</f>
        <v>#VALUE!</v>
      </c>
      <c r="M65" s="24" t="e">
        <f t="shared" si="1"/>
        <v>#VALUE!</v>
      </c>
      <c r="N65" s="138" t="s">
        <v>2237</v>
      </c>
      <c r="Z65" s="2418"/>
      <c r="AI65" s="2419"/>
    </row>
    <row r="66" spans="1:35" ht="14.25" customHeight="1">
      <c r="A66" s="203" t="s">
        <v>772</v>
      </c>
      <c r="B66" s="204" t="s">
        <v>2240</v>
      </c>
      <c r="C66" s="205"/>
      <c r="D66" s="206" t="s">
        <v>32</v>
      </c>
      <c r="E66" s="1767" t="s">
        <v>1367</v>
      </c>
      <c r="F66" s="2484"/>
      <c r="G66" s="2484"/>
      <c r="H66" s="2492"/>
      <c r="I66" s="138"/>
      <c r="J66" s="3251"/>
      <c r="K66" s="2494" t="s">
        <v>2241</v>
      </c>
      <c r="L66" s="1743" t="e">
        <f>M49*0.5%</f>
        <v>#VALUE!</v>
      </c>
      <c r="M66" s="24" t="e">
        <f>IF(L66&gt;0.5,0.5,ROUND(L66,0))</f>
        <v>#VALUE!</v>
      </c>
      <c r="N66" s="138" t="s">
        <v>2242</v>
      </c>
      <c r="Z66" s="2418"/>
      <c r="AI66" s="2419"/>
    </row>
    <row r="67" spans="1:35" ht="14.25" customHeight="1">
      <c r="A67" s="203" t="s">
        <v>773</v>
      </c>
      <c r="B67" s="204" t="s">
        <v>2243</v>
      </c>
      <c r="C67" s="207">
        <f ca="1">C63-C66</f>
        <v>10820</v>
      </c>
      <c r="D67" s="200" t="s">
        <v>32</v>
      </c>
      <c r="E67" s="201"/>
      <c r="F67" s="2484"/>
      <c r="G67" s="2484"/>
      <c r="H67" s="2492"/>
      <c r="I67" s="138"/>
      <c r="J67" s="3251"/>
      <c r="K67" s="2494" t="s">
        <v>2244</v>
      </c>
      <c r="L67" s="174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2245</v>
      </c>
      <c r="C68" s="210">
        <f ca="1">IF(C67&lt;=0,0,ROUND(C67*D68,0))</f>
        <v>595</v>
      </c>
      <c r="D68" s="211">
        <f>'数据-取费表'!B41</f>
        <v>5.5000000000000007E-2</v>
      </c>
      <c r="E68" s="212"/>
      <c r="F68" s="2484"/>
      <c r="G68" s="2484"/>
      <c r="H68" s="2492"/>
      <c r="I68" s="138"/>
      <c r="J68" s="3251"/>
      <c r="K68" s="2494" t="s">
        <v>2246</v>
      </c>
      <c r="L68" s="1743"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251"/>
      <c r="K69" s="2494" t="s">
        <v>2247</v>
      </c>
      <c r="L69" s="2500"/>
      <c r="M69" s="24" t="e">
        <f>ROUND(SUM(M63:M68),0)</f>
        <v>#VALUE!</v>
      </c>
      <c r="N69" s="1744" t="e">
        <f>M69/M49</f>
        <v>#VALUE!</v>
      </c>
      <c r="O69" s="791"/>
      <c r="P69" s="791"/>
      <c r="Q69" s="791"/>
      <c r="R69" s="791"/>
      <c r="S69" s="791"/>
      <c r="T69" s="791"/>
      <c r="U69" s="791"/>
      <c r="V69" s="791"/>
      <c r="W69" s="791"/>
      <c r="X69" s="791"/>
      <c r="Y69" s="791"/>
      <c r="Z69" s="2418"/>
      <c r="AA69" s="2418"/>
      <c r="AB69" s="2418"/>
      <c r="AC69" s="2418"/>
      <c r="AD69" s="2418"/>
      <c r="AE69" s="2418"/>
      <c r="AF69" s="2418"/>
      <c r="AG69" s="2418"/>
      <c r="AH69" s="2418"/>
    </row>
    <row r="70" spans="1:35" s="2502" customFormat="1" ht="15" thickBot="1">
      <c r="A70" s="3210" t="s">
        <v>2248</v>
      </c>
      <c r="B70" s="3211"/>
      <c r="C70" s="3211"/>
      <c r="D70" s="3211"/>
      <c r="E70" s="3211"/>
      <c r="F70" s="3211"/>
      <c r="G70" s="3211"/>
      <c r="H70" s="321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89" t="s">
        <v>2229</v>
      </c>
      <c r="B71" s="3190"/>
      <c r="C71" s="1795"/>
      <c r="D71" s="1795"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10820</v>
      </c>
      <c r="D72" s="200" t="s">
        <v>32</v>
      </c>
      <c r="E72" s="1794"/>
      <c r="F72" s="1788"/>
      <c r="G72" s="1788"/>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54</v>
      </c>
      <c r="D73" s="200" t="s">
        <v>32</v>
      </c>
      <c r="E73" s="1794"/>
      <c r="F73" s="1788"/>
      <c r="G73" s="1788"/>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0</v>
      </c>
      <c r="D74" s="200" t="s">
        <v>32</v>
      </c>
      <c r="E74" s="1794"/>
      <c r="F74" s="1788"/>
      <c r="G74" s="1788"/>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184" t="s">
        <v>2257</v>
      </c>
      <c r="F76" s="3161"/>
      <c r="G76" s="3161"/>
      <c r="H76" s="320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8" t="s">
        <v>2260</v>
      </c>
      <c r="H77" s="1799"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54</v>
      </c>
      <c r="D78" s="226">
        <f>'数据-取费表'!B43</f>
        <v>5.000000000000001E-3</v>
      </c>
      <c r="E78" s="3170" t="s">
        <v>2262</v>
      </c>
      <c r="F78" s="3171"/>
      <c r="G78" s="3171"/>
      <c r="H78" s="318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2263</v>
      </c>
      <c r="C79" s="207">
        <f ca="1">C72-C73</f>
        <v>10766</v>
      </c>
      <c r="D79" s="200" t="s">
        <v>32</v>
      </c>
      <c r="E79" s="1794"/>
      <c r="F79" s="1788"/>
      <c r="G79" s="1788"/>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199.37037037037038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6441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29"/>
      <c r="B82" s="730"/>
      <c r="C82" s="7"/>
      <c r="D82" s="7"/>
      <c r="E82" s="730"/>
      <c r="F82" s="730"/>
      <c r="G82" s="730"/>
      <c r="H82" s="731"/>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10" t="s">
        <v>2266</v>
      </c>
      <c r="B83" s="3211"/>
      <c r="C83" s="3211"/>
      <c r="D83" s="3211"/>
      <c r="E83" s="3211"/>
      <c r="F83" s="3211"/>
      <c r="G83" s="3211"/>
      <c r="H83" s="321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89" t="s">
        <v>2229</v>
      </c>
      <c r="B84" s="3190"/>
      <c r="C84" s="1795"/>
      <c r="D84" s="1795"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10820</v>
      </c>
      <c r="D85" s="200" t="s">
        <v>32</v>
      </c>
      <c r="E85" s="1794"/>
      <c r="F85" s="1788"/>
      <c r="G85" s="1788"/>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54</v>
      </c>
      <c r="D86" s="235"/>
      <c r="E86" s="1794"/>
      <c r="F86" s="1788"/>
      <c r="G86" s="1788"/>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1790"/>
      <c r="F87" s="1791"/>
      <c r="G87" s="1791"/>
      <c r="H87" s="1793"/>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1791"/>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1791"/>
      <c r="G89" s="1791"/>
      <c r="H89" s="1793"/>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1791"/>
      <c r="G90" s="1791"/>
      <c r="H90" s="1793"/>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170" t="s">
        <v>2275</v>
      </c>
      <c r="F91" s="3171"/>
      <c r="G91" s="3171"/>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170" t="s">
        <v>2279</v>
      </c>
      <c r="F92" s="3171"/>
      <c r="G92" s="3171"/>
      <c r="H92" s="318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54</v>
      </c>
      <c r="D93" s="226">
        <f>'数据-取费表'!B43</f>
        <v>5.000000000000001E-3</v>
      </c>
      <c r="E93" s="3170" t="s">
        <v>2262</v>
      </c>
      <c r="F93" s="3171"/>
      <c r="G93" s="3171"/>
      <c r="H93" s="318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181" t="s">
        <v>2283</v>
      </c>
      <c r="F94" s="3182"/>
      <c r="G94" s="3182"/>
      <c r="H94" s="318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2263</v>
      </c>
      <c r="C95" s="207">
        <f ca="1">ROUND(C85-C86,0)</f>
        <v>10766</v>
      </c>
      <c r="D95" s="200" t="s">
        <v>32</v>
      </c>
      <c r="E95" s="1794"/>
      <c r="F95" s="1788"/>
      <c r="G95" s="1788"/>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199.37037037037038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6441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2284</v>
      </c>
      <c r="B99" s="2413"/>
      <c r="C99" s="2413"/>
      <c r="D99" s="2413"/>
      <c r="E99" s="2160"/>
      <c r="F99" s="2160"/>
      <c r="G99" s="2160"/>
      <c r="H99" s="2159"/>
      <c r="I99" s="138"/>
    </row>
    <row r="100" spans="1:35" ht="18.75" customHeight="1">
      <c r="A100" s="3155" t="s">
        <v>2285</v>
      </c>
      <c r="B100" s="3156"/>
      <c r="C100" s="3156"/>
      <c r="D100" s="3172"/>
      <c r="E100" s="3156" t="s">
        <v>2286</v>
      </c>
      <c r="F100" s="3156"/>
      <c r="G100" s="3156"/>
      <c r="H100" s="3172"/>
      <c r="I100" s="138"/>
    </row>
    <row r="101" spans="1:35" ht="18.75" customHeight="1">
      <c r="A101" s="3234" t="s">
        <v>2287</v>
      </c>
      <c r="B101" s="3235"/>
      <c r="C101" s="732" t="str">
        <f>C4</f>
        <v>比较法-商业</v>
      </c>
      <c r="D101" s="733" t="str">
        <f>D4</f>
        <v>收益法</v>
      </c>
      <c r="E101" s="3248" t="s">
        <v>2288</v>
      </c>
      <c r="F101" s="3202"/>
      <c r="G101" s="2515" t="s">
        <v>2289</v>
      </c>
      <c r="H101" s="1041">
        <f ca="1">H118</f>
        <v>11361</v>
      </c>
      <c r="I101" s="138"/>
    </row>
    <row r="102" spans="1:35" ht="18.75" customHeight="1">
      <c r="A102" s="3204" t="s">
        <v>2290</v>
      </c>
      <c r="B102" s="2515" t="s">
        <v>2289</v>
      </c>
      <c r="C102" s="732">
        <f ca="1">C19</f>
        <v>13843</v>
      </c>
      <c r="D102" s="733">
        <f ca="1">D19</f>
        <v>5568</v>
      </c>
      <c r="E102" s="3248"/>
      <c r="F102" s="3202"/>
      <c r="G102" s="2515" t="s">
        <v>2291</v>
      </c>
      <c r="H102" s="371">
        <f ca="1">I118</f>
        <v>32483</v>
      </c>
      <c r="I102" s="138"/>
    </row>
    <row r="103" spans="1:35" ht="42.75" customHeight="1">
      <c r="A103" s="3204"/>
      <c r="B103" s="2515" t="s">
        <v>2291</v>
      </c>
      <c r="C103" s="734">
        <f ca="1">C20</f>
        <v>39578</v>
      </c>
      <c r="D103" s="735">
        <f ca="1">D20</f>
        <v>15920</v>
      </c>
      <c r="E103" s="3243" t="s">
        <v>2292</v>
      </c>
      <c r="F103" s="3244"/>
      <c r="G103" s="2516" t="s">
        <v>2293</v>
      </c>
      <c r="H103" s="1041">
        <f>IF(D36="正常操作",H104+H105+H106,H105+H106)</f>
        <v>0</v>
      </c>
      <c r="I103" s="138"/>
    </row>
    <row r="104" spans="1:35" ht="18.75" customHeight="1">
      <c r="A104" s="3204" t="s">
        <v>2294</v>
      </c>
      <c r="B104" s="2517" t="s">
        <v>2289</v>
      </c>
      <c r="C104" s="736">
        <f ca="1">H118</f>
        <v>11361</v>
      </c>
      <c r="D104" s="737"/>
      <c r="E104" s="2261" t="s">
        <v>2295</v>
      </c>
      <c r="F104" s="2252"/>
      <c r="G104" s="2516" t="s">
        <v>2293</v>
      </c>
      <c r="H104" s="1042">
        <f>IF(D36="同一抵押权人同一抵押物续贷",C36&amp;"（未扣减，详见特别提示）",C36)</f>
        <v>0</v>
      </c>
      <c r="I104" s="138"/>
    </row>
    <row r="105" spans="1:35" ht="18.75" customHeight="1" thickBot="1">
      <c r="A105" s="3205"/>
      <c r="B105" s="2518" t="s">
        <v>2291</v>
      </c>
      <c r="C105" s="738">
        <f ca="1">I118</f>
        <v>32483</v>
      </c>
      <c r="D105" s="739"/>
      <c r="E105" s="2261" t="s">
        <v>2296</v>
      </c>
      <c r="F105" s="2252"/>
      <c r="G105" s="2516" t="s">
        <v>2293</v>
      </c>
      <c r="H105" s="1042">
        <f>C37</f>
        <v>0</v>
      </c>
      <c r="I105" s="138"/>
    </row>
    <row r="106" spans="1:35" ht="18.75" customHeight="1">
      <c r="A106" s="2413" t="s">
        <v>2297</v>
      </c>
      <c r="B106" s="2413"/>
      <c r="C106" s="2413"/>
      <c r="D106" s="2413"/>
      <c r="E106" s="2519" t="s">
        <v>2298</v>
      </c>
      <c r="F106" s="2252"/>
      <c r="G106" s="2516" t="s">
        <v>2293</v>
      </c>
      <c r="H106" s="1042">
        <f>C38</f>
        <v>0</v>
      </c>
      <c r="I106" s="138"/>
    </row>
    <row r="107" spans="1:35" ht="18.75" customHeight="1">
      <c r="A107" s="138"/>
      <c r="B107" s="138"/>
      <c r="C107" s="138"/>
      <c r="D107" s="138"/>
      <c r="E107" s="3201" t="str">
        <f>IF(项目基本情况!E8="已注销","——","3.房地产抵押价值")</f>
        <v>3.房地产抵押价值</v>
      </c>
      <c r="F107" s="3202"/>
      <c r="G107" s="2515" t="s">
        <v>2289</v>
      </c>
      <c r="H107" s="1041">
        <f ca="1">IF(E107="——","——",H101-H103)</f>
        <v>11361</v>
      </c>
      <c r="I107" s="138"/>
    </row>
    <row r="108" spans="1:35" ht="18.75" customHeight="1">
      <c r="A108" s="138"/>
      <c r="B108" s="138"/>
      <c r="C108" s="138"/>
      <c r="D108" s="138"/>
      <c r="E108" s="3201"/>
      <c r="F108" s="3202"/>
      <c r="G108" s="2515" t="s">
        <v>2291</v>
      </c>
      <c r="H108" s="371">
        <f ca="1">ROUND(H107*10000/'数据-汇总表'!E3,0)</f>
        <v>32483</v>
      </c>
      <c r="I108" s="138"/>
    </row>
    <row r="109" spans="1:35" ht="18.75" customHeight="1">
      <c r="A109" s="138"/>
      <c r="B109" s="138"/>
      <c r="C109" s="138"/>
      <c r="D109" s="138"/>
      <c r="E109" s="3201" t="str">
        <f>IF(项目基本情况!E8="已注销及未注销","4.抵押担保权已注销时的房地产抵押价值",IF(项目基本情况!E8="已注销","3.抵押担保权已注销时的房地产抵押价值","——"))</f>
        <v>——</v>
      </c>
      <c r="F109" s="3202"/>
      <c r="G109" s="2515" t="s">
        <v>2289</v>
      </c>
      <c r="H109" s="348" t="str">
        <f>IF(E109="——","——",H101-H105-H106)</f>
        <v>——</v>
      </c>
      <c r="I109" s="138"/>
    </row>
    <row r="110" spans="1:35" ht="18.75" customHeight="1">
      <c r="A110" s="138"/>
      <c r="B110" s="138"/>
      <c r="C110" s="138"/>
      <c r="D110" s="138"/>
      <c r="E110" s="3201"/>
      <c r="F110" s="3202"/>
      <c r="G110" s="2515" t="s">
        <v>2291</v>
      </c>
      <c r="H110" s="371" t="str">
        <f>IF(H109="——","——",ROUND(H109*10000/'数据-汇总表'!E3,0))</f>
        <v>——</v>
      </c>
      <c r="I110" s="138"/>
    </row>
    <row r="111" spans="1:35" ht="18.75" customHeight="1">
      <c r="A111" s="138"/>
      <c r="B111" s="138"/>
      <c r="C111" s="138"/>
      <c r="D111" s="138"/>
      <c r="E111" s="3236" t="str">
        <f>IF(项目基本情况!E9="抵押净值",IF(OR(项目基本情况!E8="已注销",项目基本情况!E8="房地产抵押价值"),"4.抵押净值","5.抵押净值"),"——")</f>
        <v>——</v>
      </c>
      <c r="F111" s="3237"/>
      <c r="G111" s="2515" t="s">
        <v>2289</v>
      </c>
      <c r="H111" s="1041" t="str">
        <f>IF(E111="——","——",N59)</f>
        <v>——</v>
      </c>
      <c r="I111" s="138"/>
    </row>
    <row r="112" spans="1:35" ht="18.75" customHeight="1" thickBot="1">
      <c r="A112" s="138"/>
      <c r="B112" s="138"/>
      <c r="C112" s="138"/>
      <c r="D112" s="138"/>
      <c r="E112" s="3238"/>
      <c r="F112" s="3239"/>
      <c r="G112" s="2520" t="s">
        <v>2291</v>
      </c>
      <c r="H112" s="786" t="str">
        <f>IF(E111="——","——",N61)</f>
        <v>——</v>
      </c>
      <c r="I112" s="138"/>
    </row>
    <row r="113" spans="1:11" ht="18.75" customHeight="1">
      <c r="A113" s="138"/>
      <c r="B113" s="138"/>
      <c r="C113" s="138"/>
      <c r="D113" s="138"/>
      <c r="E113" s="3206" t="s">
        <v>2297</v>
      </c>
      <c r="F113" s="3206"/>
      <c r="G113" s="3206"/>
      <c r="H113" s="3206"/>
      <c r="I113" s="138"/>
    </row>
    <row r="114" spans="1:11" ht="3.75" customHeight="1">
      <c r="A114" s="2413"/>
      <c r="B114" s="2413"/>
      <c r="C114" s="2413"/>
      <c r="D114" s="2413"/>
      <c r="E114" s="2491"/>
      <c r="F114" s="2491"/>
      <c r="G114" s="2491"/>
      <c r="H114" s="2491"/>
      <c r="I114" s="2413"/>
    </row>
    <row r="115" spans="1:11" ht="18.75" customHeight="1">
      <c r="A115" s="3219" t="s">
        <v>2299</v>
      </c>
      <c r="B115" s="3220"/>
      <c r="C115" s="3220"/>
      <c r="D115" s="3220"/>
      <c r="E115" s="3220"/>
      <c r="F115" s="3220"/>
      <c r="G115" s="3220"/>
      <c r="H115" s="3220"/>
      <c r="I115" s="3221"/>
    </row>
    <row r="116" spans="1:11" ht="27" customHeight="1">
      <c r="A116" s="3112" t="s">
        <v>2300</v>
      </c>
      <c r="B116" s="3207" t="s">
        <v>2301</v>
      </c>
      <c r="C116" s="3207" t="s">
        <v>2302</v>
      </c>
      <c r="D116" s="3223" t="s">
        <v>2303</v>
      </c>
      <c r="E116" s="3224"/>
      <c r="F116" s="3215" t="s">
        <v>2304</v>
      </c>
      <c r="G116" s="3215"/>
      <c r="H116" s="3112" t="s">
        <v>2305</v>
      </c>
      <c r="I116" s="3112"/>
    </row>
    <row r="117" spans="1:11" ht="18.75" customHeight="1">
      <c r="A117" s="3112"/>
      <c r="B117" s="3208"/>
      <c r="C117" s="3208"/>
      <c r="D117" s="1789" t="s">
        <v>2306</v>
      </c>
      <c r="E117" s="1789" t="s">
        <v>2307</v>
      </c>
      <c r="F117" s="1789" t="s">
        <v>2306</v>
      </c>
      <c r="G117" s="1789" t="s">
        <v>2308</v>
      </c>
      <c r="H117" s="1789" t="s">
        <v>2306</v>
      </c>
      <c r="I117" s="1789" t="s">
        <v>2308</v>
      </c>
    </row>
    <row r="118" spans="1:11" ht="24.75" customHeight="1">
      <c r="A118" s="2521" t="str">
        <f>项目基本情况!S2</f>
        <v>房地产</v>
      </c>
      <c r="B118" s="1789">
        <f>M18</f>
        <v>3497.5499999999993</v>
      </c>
      <c r="C118" s="1789">
        <f>M19</f>
        <v>0</v>
      </c>
      <c r="D118" s="1789" t="e">
        <f ca="1">ROUND(IF(D32="总价",C34,E118*B118/10000),0)</f>
        <v>#REF!</v>
      </c>
      <c r="E118" s="1789" t="e">
        <f ca="1">ROUND(IF(C33="自定义",IF(D32="楼面单价",C34,D118*10000/B118),I118-G118),0)</f>
        <v>#REF!</v>
      </c>
      <c r="F118" s="1789" t="e">
        <f ca="1">ROUND(IF(D32="总价",C35,G118*B118/10000),0)</f>
        <v>#REF!</v>
      </c>
      <c r="G118" s="1789" t="e">
        <f ca="1">ROUND(IF(D32="楼面单价",C35,F118*10000/B118),0)</f>
        <v>#REF!</v>
      </c>
      <c r="H118" s="1789">
        <f ca="1">ROUND(IF(D32="总价",C32,I118*B118/10000),0)</f>
        <v>11361</v>
      </c>
      <c r="I118" s="1789">
        <f ca="1">ROUND(IF(D32="楼面单价",C32,H118*10000/B118),0)</f>
        <v>32483</v>
      </c>
    </row>
    <row r="119" spans="1:11" ht="18.75" customHeight="1">
      <c r="A119" s="3112" t="s">
        <v>2309</v>
      </c>
      <c r="B119" s="3112"/>
      <c r="C119" s="3112"/>
      <c r="D119" s="3212" t="e">
        <f ca="1">NUMBERSTRING(INT(D118*10000),2)&amp;"元整"</f>
        <v>#REF!</v>
      </c>
      <c r="E119" s="3214"/>
      <c r="F119" s="3212" t="e">
        <f ca="1">NUMBERSTRING(INT(F118*10000),2)&amp;"元整"</f>
        <v>#REF!</v>
      </c>
      <c r="G119" s="3214"/>
      <c r="H119" s="3212" t="str">
        <f ca="1">NUMBERSTRING(INT(H118*10000),2)&amp;"元整"</f>
        <v>壹亿壹仟叁佰陆拾壹万元整</v>
      </c>
      <c r="I119" s="3214"/>
    </row>
    <row r="120" spans="1:11" ht="18.75" customHeight="1">
      <c r="A120" s="3240" t="str">
        <f>IF(项目基本情况!B9="房地产市场价值","",MID(E103,3,LEN(E103)-2))</f>
        <v>估价师知悉的法定优先受偿款</v>
      </c>
      <c r="B120" s="3241"/>
      <c r="C120" s="3242"/>
      <c r="D120" s="3240">
        <f>H103</f>
        <v>0</v>
      </c>
      <c r="E120" s="3241"/>
      <c r="F120" s="3241"/>
      <c r="G120" s="3241"/>
      <c r="H120" s="3241"/>
      <c r="I120" s="3242"/>
      <c r="K120" s="2418" t="str">
        <f>IF(D120=0,"故，本次评估不存在"&amp;A120,"故，本次评估"&amp;A120&amp;"为人民币"&amp;D120&amp;"万元整。")</f>
        <v>故，本次评估不存在估价师知悉的法定优先受偿款</v>
      </c>
    </row>
    <row r="121" spans="1:11" ht="18.75" customHeight="1">
      <c r="A121" s="3216" t="s">
        <v>2309</v>
      </c>
      <c r="B121" s="3217"/>
      <c r="C121" s="3218"/>
      <c r="D121" s="3212" t="str">
        <f>IF(D120=0,"零元整",NUMBERSTRING(INT(D120*10000),2)&amp;"元整")</f>
        <v>零元整</v>
      </c>
      <c r="E121" s="3213"/>
      <c r="F121" s="3213"/>
      <c r="G121" s="3213"/>
      <c r="H121" s="3213"/>
      <c r="I121" s="3214"/>
    </row>
    <row r="122" spans="1:11" ht="18.75" customHeight="1">
      <c r="A122" s="3203" t="str">
        <f>IF(项目基本情况!B9="房地产市场价值","",MID(E107,3,LEN(E107)-2))</f>
        <v>房地产抵押价值</v>
      </c>
      <c r="B122" s="3203"/>
      <c r="C122" s="3203"/>
      <c r="D122" s="3240">
        <f ca="1">H107</f>
        <v>11361</v>
      </c>
      <c r="E122" s="3241"/>
      <c r="F122" s="3241"/>
      <c r="G122" s="3241"/>
      <c r="H122" s="3241"/>
      <c r="I122" s="3242"/>
    </row>
    <row r="123" spans="1:11" ht="18.75" customHeight="1">
      <c r="A123" s="3112" t="s">
        <v>2309</v>
      </c>
      <c r="B123" s="3112"/>
      <c r="C123" s="3112"/>
      <c r="D123" s="3212" t="str">
        <f ca="1">NUMBERSTRING(INT(D122*10000),2)&amp;"元整"</f>
        <v>壹亿壹仟叁佰陆拾壹万元整</v>
      </c>
      <c r="E123" s="3213"/>
      <c r="F123" s="3213"/>
      <c r="G123" s="3213"/>
      <c r="H123" s="3213"/>
      <c r="I123" s="3214"/>
    </row>
    <row r="124" spans="1:11" ht="18.75" customHeight="1">
      <c r="A124" s="3203" t="str">
        <f>IF(项目基本情况!B9="房地产市场价值","",MID(E109,3,LEN(E109)-2))</f>
        <v/>
      </c>
      <c r="B124" s="3203"/>
      <c r="C124" s="3203"/>
      <c r="D124" s="3240" t="str">
        <f>H109</f>
        <v>——</v>
      </c>
      <c r="E124" s="3241"/>
      <c r="F124" s="3241"/>
      <c r="G124" s="3241"/>
      <c r="H124" s="3241"/>
      <c r="I124" s="3242"/>
    </row>
    <row r="125" spans="1:11" ht="18.75" customHeight="1">
      <c r="A125" s="3112" t="s">
        <v>2309</v>
      </c>
      <c r="B125" s="3112"/>
      <c r="C125" s="3112"/>
      <c r="D125" s="3212" t="e">
        <f>NUMBERSTRING(INT(D124*10000),2)&amp;"元整"</f>
        <v>#VALUE!</v>
      </c>
      <c r="E125" s="3213"/>
      <c r="F125" s="3213"/>
      <c r="G125" s="3213"/>
      <c r="H125" s="3213"/>
      <c r="I125" s="3214"/>
    </row>
    <row r="126" spans="1:11" ht="18.75" customHeight="1">
      <c r="A126" s="3203" t="str">
        <f>IF(项目基本情况!B9="房地产市场价值","",MID(E111,3,LEN(E111)-2))</f>
        <v/>
      </c>
      <c r="B126" s="3203"/>
      <c r="C126" s="3203"/>
      <c r="D126" s="3240" t="str">
        <f>H111</f>
        <v>——</v>
      </c>
      <c r="E126" s="3241"/>
      <c r="F126" s="3241"/>
      <c r="G126" s="3241"/>
      <c r="H126" s="3241"/>
      <c r="I126" s="3242"/>
    </row>
    <row r="127" spans="1:11" ht="18.75" customHeight="1">
      <c r="A127" s="3112" t="s">
        <v>2309</v>
      </c>
      <c r="B127" s="3112"/>
      <c r="C127" s="3112"/>
      <c r="D127" s="3212" t="e">
        <f>NUMBERSTRING(INT(D126*10000),2)&amp;"元整"</f>
        <v>#VALUE!</v>
      </c>
      <c r="E127" s="3213"/>
      <c r="F127" s="3213"/>
      <c r="G127" s="3213"/>
      <c r="H127" s="3213"/>
      <c r="I127" s="3214"/>
    </row>
    <row r="128" spans="1:11" ht="21.75" customHeight="1">
      <c r="A128" s="3222" t="s">
        <v>2310</v>
      </c>
      <c r="B128" s="3222"/>
      <c r="C128" s="3222"/>
      <c r="D128" s="3222"/>
      <c r="E128" s="3222"/>
      <c r="F128" s="3222"/>
      <c r="G128" s="3222"/>
      <c r="H128" s="3222"/>
      <c r="I128" s="3222"/>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1"/>
    </row>
    <row r="135" spans="1:35" ht="21.75" customHeight="1">
      <c r="A135" s="791"/>
      <c r="B135" s="791"/>
      <c r="C135" s="791"/>
      <c r="D135" s="791"/>
      <c r="E135" s="791"/>
      <c r="F135" s="2538" t="s">
        <v>2313</v>
      </c>
      <c r="G135" s="2539"/>
      <c r="H135" s="2539"/>
      <c r="I135" s="2540" t="s">
        <v>2314</v>
      </c>
    </row>
    <row r="136" spans="1:35" ht="21.75" customHeight="1">
      <c r="A136" s="791"/>
      <c r="B136" s="2541" t="s">
        <v>2315</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9"/>
      <c r="C138" s="2539"/>
      <c r="D138" s="2539"/>
      <c r="E138" s="2539"/>
      <c r="F138" s="2539"/>
      <c r="G138" s="2539"/>
      <c r="H138" s="2539"/>
      <c r="I138" s="2540" t="s">
        <v>2316</v>
      </c>
    </row>
    <row r="139" spans="1:35" ht="21.75" customHeight="1">
      <c r="A139" s="791"/>
      <c r="B139" s="2541" t="s">
        <v>2317</v>
      </c>
      <c r="C139" s="791"/>
      <c r="D139" s="791"/>
      <c r="E139" s="791"/>
      <c r="F139" s="791"/>
      <c r="G139" s="791"/>
      <c r="H139" s="791"/>
      <c r="I139" s="791"/>
    </row>
    <row r="140" spans="1:35" ht="21.75" customHeight="1">
      <c r="A140" s="791"/>
      <c r="B140" s="2541"/>
      <c r="C140" s="791"/>
      <c r="D140" s="791"/>
      <c r="E140" s="791"/>
      <c r="F140" s="791"/>
      <c r="G140" s="791"/>
      <c r="H140" s="791"/>
      <c r="I140" s="791"/>
    </row>
    <row r="141" spans="1:35" ht="21.75" customHeight="1">
      <c r="A141" s="791"/>
      <c r="B141" s="2539"/>
      <c r="C141" s="2539"/>
      <c r="D141" s="2539"/>
      <c r="E141" s="2539"/>
      <c r="F141" s="2539"/>
      <c r="G141" s="2539"/>
      <c r="H141" s="2539"/>
      <c r="I141" s="2540" t="s">
        <v>2316</v>
      </c>
    </row>
    <row r="142" spans="1:35" ht="21.75" customHeight="1">
      <c r="A142" s="791"/>
      <c r="B142" s="2541"/>
      <c r="C142" s="2542"/>
      <c r="D142" s="2543"/>
      <c r="E142" s="2543"/>
      <c r="F142" s="2335"/>
      <c r="G142" s="791"/>
      <c r="H142" s="791"/>
      <c r="I142" s="791"/>
    </row>
    <row r="143" spans="1:35" s="139" customFormat="1" ht="21.75" customHeight="1">
      <c r="A143" s="791"/>
      <c r="B143" s="2541"/>
      <c r="C143" s="2542"/>
      <c r="D143" s="2543"/>
      <c r="E143" s="2543"/>
      <c r="F143" s="2335"/>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0"/>
      <c r="C1" s="242"/>
      <c r="D1" s="242"/>
      <c r="E1" s="242"/>
      <c r="F1" s="242"/>
      <c r="G1" s="1373">
        <f>MATCH(B1,'数据-取费表'!A6:A16,0)+5</f>
        <v>7</v>
      </c>
    </row>
    <row r="2" spans="1:9" s="244" customFormat="1" ht="18" customHeight="1">
      <c r="A2" s="245" t="s">
        <v>2319</v>
      </c>
      <c r="B2" s="246">
        <f ca="1">IF(D2="——",C52,C52-E2)</f>
        <v>1126</v>
      </c>
      <c r="C2" s="243" t="s">
        <v>2320</v>
      </c>
      <c r="D2" s="2544" t="s">
        <v>70</v>
      </c>
      <c r="E2" s="1434" t="e">
        <f ca="1">SUMIF(INDIRECT("'"&amp;G2&amp;"'"&amp;"!A:A"),"承租人权益价值",INDIRECT("'"&amp;G2&amp;"'"&amp;"!c:c"))</f>
        <v>#REF!</v>
      </c>
      <c r="F2" s="2545" t="s">
        <v>2320</v>
      </c>
      <c r="G2" s="2546"/>
    </row>
    <row r="3" spans="1:9" s="244" customFormat="1" ht="18" customHeight="1" thickBot="1">
      <c r="A3" s="247" t="s">
        <v>2321</v>
      </c>
      <c r="B3" s="248">
        <f ca="1">ROUND(B2*10000/(IF(B1="",'数据-汇总表'!E3,INDIRECT("'数据-取费表'!k"&amp;$G$1))),0)</f>
        <v>3219</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0</v>
      </c>
      <c r="D5" s="255" t="s">
        <v>2326</v>
      </c>
      <c r="E5" s="256" t="s">
        <v>2327</v>
      </c>
      <c r="F5" s="256" t="s">
        <v>2328</v>
      </c>
      <c r="G5" s="257"/>
    </row>
    <row r="6" spans="1:9" s="258" customFormat="1" ht="13.5" customHeight="1">
      <c r="A6" s="945" t="s">
        <v>2329</v>
      </c>
      <c r="B6" s="259" t="s">
        <v>2330</v>
      </c>
      <c r="C6" s="260"/>
      <c r="D6" s="261"/>
      <c r="E6" s="262"/>
      <c r="F6" s="262"/>
      <c r="G6" s="263"/>
    </row>
    <row r="7" spans="1:9" s="258" customFormat="1" ht="13.5" customHeight="1">
      <c r="A7" s="945" t="s">
        <v>2331</v>
      </c>
      <c r="B7" s="259" t="s">
        <v>2332</v>
      </c>
      <c r="C7" s="264">
        <f>ROUND(C6*F7,0)</f>
        <v>0</v>
      </c>
      <c r="D7" s="264"/>
      <c r="E7" s="262"/>
      <c r="F7" s="265">
        <f>IF(项目基本情况!B8="出让",0,'数据-取费表'!B48+'数据-取费表'!B49)</f>
        <v>3.0499999999999999E-2</v>
      </c>
      <c r="G7" s="263"/>
    </row>
    <row r="8" spans="1:9" s="267" customFormat="1">
      <c r="A8" s="945" t="s">
        <v>2333</v>
      </c>
      <c r="B8" s="259" t="s">
        <v>2334</v>
      </c>
      <c r="C8" s="264">
        <f>IF(G8="已包含在土地购买价格中","0",IF(B1="",'数据-取费表'!B29,IF(G9="全部缴纳",C9+C10,H9)))</f>
        <v>0</v>
      </c>
      <c r="D8" s="266"/>
      <c r="E8" s="264"/>
      <c r="F8" s="265"/>
      <c r="G8" s="2547"/>
    </row>
    <row r="9" spans="1:9" s="258" customFormat="1" ht="13.5" customHeight="1">
      <c r="A9" s="946" t="s">
        <v>800</v>
      </c>
      <c r="B9" s="268" t="s">
        <v>2335</v>
      </c>
      <c r="C9" s="269">
        <f ca="1">ROUND(D9*E9/10000,0)</f>
        <v>0</v>
      </c>
      <c r="D9" s="1028">
        <f ca="1">IF(B1="",'数据-汇总表'!E5,IF(INDIRECT("'数据-取费表'!c"&amp;$G$1)="住宅",INDIRECT("'数据-取费表'!k"&amp;$G$1),0))</f>
        <v>0</v>
      </c>
      <c r="E9" s="269">
        <f>'数据-取费表'!B27</f>
        <v>75</v>
      </c>
      <c r="F9" s="265"/>
      <c r="G9" s="2548"/>
      <c r="H9" s="1384"/>
      <c r="I9" s="2549" t="s">
        <v>2336</v>
      </c>
    </row>
    <row r="10" spans="1:9" s="258" customFormat="1" ht="13.5" customHeight="1">
      <c r="A10" s="946" t="s">
        <v>801</v>
      </c>
      <c r="B10" s="268" t="s">
        <v>2337</v>
      </c>
      <c r="C10" s="269">
        <f ca="1">ROUND(D10*E10/10000,0)</f>
        <v>26</v>
      </c>
      <c r="D10" s="1028">
        <f ca="1">IF(B1="",'数据-汇总表'!E6,IF(INDIRECT("'数据-取费表'!c"&amp;$G$1)="住宅",INDIRECT("'数据-取费表'!s"&amp;$G$1),INDIRECT("'数据-取费表'!k"&amp;$G$1)+INDIRECT("'数据-取费表'!s"&amp;$G$1)))</f>
        <v>3497.5499999999993</v>
      </c>
      <c r="E10" s="269">
        <f>'数据-取费表'!B28</f>
        <v>75</v>
      </c>
      <c r="F10" s="265"/>
      <c r="G10" s="270"/>
    </row>
    <row r="11" spans="1:9" s="258" customFormat="1" ht="13.5" hidden="1" customHeight="1">
      <c r="A11" s="271" t="s">
        <v>7</v>
      </c>
      <c r="B11" s="259" t="s">
        <v>2338</v>
      </c>
      <c r="C11" s="255"/>
      <c r="D11" s="1030"/>
      <c r="E11" s="262"/>
      <c r="F11" s="262"/>
      <c r="G11" s="263"/>
    </row>
    <row r="12" spans="1:9" s="258" customFormat="1" ht="13.5" hidden="1" customHeight="1">
      <c r="A12" s="271" t="s">
        <v>8</v>
      </c>
      <c r="B12" s="259" t="s">
        <v>2339</v>
      </c>
      <c r="C12" s="255">
        <v>0</v>
      </c>
      <c r="D12" s="1030"/>
      <c r="E12" s="272"/>
      <c r="F12" s="265">
        <v>3.0499999999999999E-2</v>
      </c>
      <c r="G12" s="263"/>
    </row>
    <row r="13" spans="1:9" s="258" customFormat="1" ht="13.5" hidden="1" customHeight="1">
      <c r="A13" s="271" t="s">
        <v>9</v>
      </c>
      <c r="B13" s="259" t="s">
        <v>2340</v>
      </c>
      <c r="C13" s="255"/>
      <c r="D13" s="1030"/>
      <c r="E13" s="262"/>
      <c r="F13" s="262"/>
      <c r="G13" s="263"/>
    </row>
    <row r="14" spans="1:9" s="258" customFormat="1" ht="13.5" hidden="1" customHeight="1">
      <c r="A14" s="271" t="s">
        <v>10</v>
      </c>
      <c r="B14" s="259" t="s">
        <v>2341</v>
      </c>
      <c r="C14" s="255"/>
      <c r="D14" s="1030"/>
      <c r="E14" s="262"/>
      <c r="F14" s="262"/>
      <c r="G14" s="263" t="s">
        <v>2342</v>
      </c>
    </row>
    <row r="15" spans="1:9" s="258" customFormat="1" ht="13.5" hidden="1" customHeight="1">
      <c r="A15" s="271" t="s">
        <v>11</v>
      </c>
      <c r="B15" s="259" t="s">
        <v>2343</v>
      </c>
      <c r="C15" s="264"/>
      <c r="D15" s="1030"/>
      <c r="E15" s="262"/>
      <c r="F15" s="262"/>
      <c r="G15" s="263" t="s">
        <v>2344</v>
      </c>
    </row>
    <row r="16" spans="1:9" s="258" customFormat="1" ht="13.5" hidden="1" customHeight="1">
      <c r="A16" s="271" t="s">
        <v>12</v>
      </c>
      <c r="B16" s="259" t="s">
        <v>2341</v>
      </c>
      <c r="C16" s="264"/>
      <c r="D16" s="1030"/>
      <c r="E16" s="262"/>
      <c r="F16" s="262"/>
      <c r="G16" s="263"/>
    </row>
    <row r="17" spans="1:7" s="258" customFormat="1" ht="13.5" hidden="1" customHeight="1">
      <c r="A17" s="271" t="s">
        <v>13</v>
      </c>
      <c r="B17" s="259" t="s">
        <v>2345</v>
      </c>
      <c r="C17" s="273"/>
      <c r="D17" s="1031"/>
      <c r="E17" s="273"/>
      <c r="F17" s="273"/>
      <c r="G17" s="263" t="s">
        <v>2344</v>
      </c>
    </row>
    <row r="18" spans="1:7" s="258" customFormat="1" ht="13.5" hidden="1" customHeight="1">
      <c r="A18" s="271" t="s">
        <v>14</v>
      </c>
      <c r="B18" s="259" t="s">
        <v>2346</v>
      </c>
      <c r="C18" s="264">
        <v>0</v>
      </c>
      <c r="D18" s="1030"/>
      <c r="E18" s="262"/>
      <c r="F18" s="265">
        <v>3.0499999999999999E-2</v>
      </c>
      <c r="G18" s="263" t="s">
        <v>2347</v>
      </c>
    </row>
    <row r="19" spans="1:7" s="267" customFormat="1" ht="13.5" customHeight="1">
      <c r="A19" s="299" t="s">
        <v>2348</v>
      </c>
      <c r="B19" s="254" t="s">
        <v>2349</v>
      </c>
      <c r="C19" s="255">
        <f ca="1">IF(G19="已包含在土地取得成本中","0",ROUND(D19*E19/10000,0))</f>
        <v>70</v>
      </c>
      <c r="D19" s="1032">
        <f ca="1">D9+D10</f>
        <v>3497.5499999999993</v>
      </c>
      <c r="E19" s="255">
        <f>'数据-取费表'!B31</f>
        <v>200</v>
      </c>
      <c r="F19" s="275"/>
      <c r="G19" s="2547"/>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48">
        <f ca="1">ROUND(SUM(C23:C25),0)</f>
        <v>3</v>
      </c>
      <c r="D22" s="279">
        <f ca="1">C26</f>
        <v>4.0000000000000002E-4</v>
      </c>
      <c r="E22" s="280" t="s">
        <v>2355</v>
      </c>
      <c r="F22" s="281">
        <f ca="1">'数据-取费表'!B40</f>
        <v>4.3499999999999997E-2</v>
      </c>
      <c r="G22" s="278" t="str">
        <f>IF('数据-取费表'!B22&lt;=1,"单利计息","复利计息")</f>
        <v>单利计息</v>
      </c>
    </row>
    <row r="23" spans="1:7" s="258" customFormat="1" ht="13.5" customHeight="1">
      <c r="A23" s="947" t="s">
        <v>2359</v>
      </c>
      <c r="B23" s="259" t="s">
        <v>2360</v>
      </c>
      <c r="C23" s="1349">
        <f ca="1">ROUND(IF('数据-取费表'!B22&lt;=1,C5*F22*'数据-取费表'!B23,C5*(POWER((1+F22),'数据-取费表'!B23)-1)),0)</f>
        <v>0</v>
      </c>
      <c r="D23" s="282"/>
      <c r="E23" s="282"/>
      <c r="F23" s="283"/>
      <c r="G23" s="284" t="s">
        <v>2361</v>
      </c>
    </row>
    <row r="24" spans="1:7" s="258" customFormat="1" ht="13.5" customHeight="1">
      <c r="A24" s="947" t="s">
        <v>2362</v>
      </c>
      <c r="B24" s="259" t="s">
        <v>2363</v>
      </c>
      <c r="C24" s="1349">
        <f ca="1">ROUND(IF('数据-取费表'!B22&lt;=1,C19*F22*('数据-取费表'!B19/2+'数据-取费表'!B21),C19*(POWER((1+F22),('数据-取费表'!B19/2+'数据-取费表'!B21))-1)),0)</f>
        <v>3</v>
      </c>
      <c r="D24" s="282"/>
      <c r="E24" s="282"/>
      <c r="F24" s="283"/>
      <c r="G24" s="284" t="s">
        <v>2364</v>
      </c>
    </row>
    <row r="25" spans="1:7" s="258" customFormat="1" ht="24">
      <c r="A25" s="947" t="s">
        <v>2365</v>
      </c>
      <c r="B25" s="259" t="s">
        <v>2366</v>
      </c>
      <c r="C25" s="1349">
        <f ca="1">ROUND(IF('数据-取费表'!B22&lt;=1,C20*F22*'数据-取费表'!B23/2,C20*(POWER((1+F22),'数据-取费表'!B23/2)-1)),0)</f>
        <v>0</v>
      </c>
      <c r="D25" s="282"/>
      <c r="E25" s="285"/>
      <c r="F25" s="283"/>
      <c r="G25" s="286" t="s">
        <v>2367</v>
      </c>
    </row>
    <row r="26" spans="1:7" s="258" customFormat="1">
      <c r="A26" s="947" t="s">
        <v>795</v>
      </c>
      <c r="B26" s="259" t="s">
        <v>2368</v>
      </c>
      <c r="C26" s="282">
        <f ca="1">ROUND(IF('数据-取费表'!B22&lt;=1,F21*F22*'数据-取费表'!B23/2,F21*(POWER((1+F22),'数据-取费表'!B23/2)-1)),4)</f>
        <v>4.0000000000000002E-4</v>
      </c>
      <c r="D26" s="282"/>
      <c r="E26" s="285"/>
      <c r="F26" s="283"/>
      <c r="G26" s="287"/>
    </row>
    <row r="27" spans="1:7" s="258" customFormat="1" ht="24.75">
      <c r="A27" s="299" t="s">
        <v>2369</v>
      </c>
      <c r="B27" s="288" t="s">
        <v>2370</v>
      </c>
      <c r="C27" s="289">
        <f ca="1">C28</f>
        <v>11</v>
      </c>
      <c r="D27" s="279">
        <f ca="1">C29</f>
        <v>3.0000000000000001E-3</v>
      </c>
      <c r="E27" s="280" t="s">
        <v>2371</v>
      </c>
      <c r="F27" s="290">
        <f ca="1">IF(B1="",'数据-取费表'!Q16,INDIRECT("'数据-取费表'!q"&amp;$G$1))</f>
        <v>0.15</v>
      </c>
      <c r="G27" s="291" t="s">
        <v>2372</v>
      </c>
    </row>
    <row r="28" spans="1:7" s="258" customFormat="1" ht="13.5" customHeight="1">
      <c r="A28" s="947" t="s">
        <v>791</v>
      </c>
      <c r="B28" s="292" t="s">
        <v>2373</v>
      </c>
      <c r="C28" s="293">
        <f ca="1">ROUND((C5+C19+C20)*F27*'数据-取费表'!B21/'数据-取费表'!B20,0)</f>
        <v>11</v>
      </c>
      <c r="D28" s="279"/>
      <c r="E28" s="280"/>
      <c r="F28" s="290"/>
      <c r="G28" s="291"/>
    </row>
    <row r="29" spans="1:7" s="258" customFormat="1" ht="13.5" customHeight="1">
      <c r="A29" s="947" t="s">
        <v>792</v>
      </c>
      <c r="B29" s="292" t="s">
        <v>2374</v>
      </c>
      <c r="C29" s="282">
        <f ca="1">ROUND(C21*F27*'数据-取费表'!B21/'数据-取费表'!B20,4)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92</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889</v>
      </c>
      <c r="D33" s="276"/>
      <c r="E33" s="256"/>
      <c r="F33" s="285"/>
      <c r="G33" s="278"/>
    </row>
    <row r="34" spans="1:7" s="302" customFormat="1" ht="13.5" customHeight="1">
      <c r="A34" s="947" t="s">
        <v>791</v>
      </c>
      <c r="B34" s="259" t="s">
        <v>2382</v>
      </c>
      <c r="C34" s="264">
        <f ca="1">IF(B1="",IF(F34=100%,'数据-取费表'!M16,'数据-取费表'!O16),IF(F34=100%,INDIRECT("'数据-取费表'!m"&amp;$G$1)+INDIRECT("'数据-取费表'!t"&amp;$G$1),INDIRECT("'数据-取费表'!o"&amp;$G$1)+INDIRECT("'数据-取费表'!aq"&amp;$G$1)))</f>
        <v>769</v>
      </c>
      <c r="D34" s="261"/>
      <c r="E34" s="264"/>
      <c r="F34" s="301">
        <f ca="1">IF('数据-取费表'!B24=0,1,IF(B1="",'数据-取费表'!N16,INDIRECT("'数据-取费表'!n"&amp;$G$1)))</f>
        <v>1</v>
      </c>
      <c r="G34" s="263" t="s">
        <v>2383</v>
      </c>
    </row>
    <row r="35" spans="1:7" ht="13.5" customHeight="1">
      <c r="A35" s="947" t="s">
        <v>796</v>
      </c>
      <c r="B35" s="259" t="s">
        <v>2384</v>
      </c>
      <c r="C35" s="264">
        <f ca="1">ROUND(C34*F35,0)</f>
        <v>38</v>
      </c>
      <c r="D35" s="264"/>
      <c r="E35" s="264"/>
      <c r="F35" s="303">
        <f>'数据-取费表'!B33</f>
        <v>0.05</v>
      </c>
      <c r="G35" s="263" t="s">
        <v>2385</v>
      </c>
    </row>
    <row r="36" spans="1:7" ht="24">
      <c r="A36" s="947"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7" t="s">
        <v>798</v>
      </c>
      <c r="B37" s="259" t="s">
        <v>2388</v>
      </c>
      <c r="C37" s="293">
        <f ca="1">ROUND(E37*D37*F34/10000,0)</f>
        <v>70</v>
      </c>
      <c r="D37" s="261">
        <f ca="1">D19</f>
        <v>3497.5499999999993</v>
      </c>
      <c r="E37" s="293">
        <f>'数据-取费表'!B35</f>
        <v>200</v>
      </c>
      <c r="F37" s="303"/>
      <c r="G37" s="305" t="s">
        <v>2389</v>
      </c>
    </row>
    <row r="38" spans="1:7" ht="13.5" customHeight="1">
      <c r="A38" s="947" t="s">
        <v>799</v>
      </c>
      <c r="B38" s="259" t="s">
        <v>2390</v>
      </c>
      <c r="C38" s="264">
        <f ca="1">ROUND(C34*F38,0)</f>
        <v>12</v>
      </c>
      <c r="D38" s="264"/>
      <c r="E38" s="264"/>
      <c r="F38" s="303">
        <f>'数据-取费表'!B36</f>
        <v>1.4999999999999999E-2</v>
      </c>
      <c r="G38" s="263" t="s">
        <v>2385</v>
      </c>
    </row>
    <row r="39" spans="1:7" s="258" customFormat="1" ht="13.5" customHeight="1">
      <c r="A39" s="299" t="s">
        <v>2391</v>
      </c>
      <c r="B39" s="254" t="s">
        <v>2392</v>
      </c>
      <c r="C39" s="276">
        <f ca="1">ROUND(C33*F20,0)</f>
        <v>18</v>
      </c>
      <c r="D39" s="276"/>
      <c r="E39" s="276"/>
      <c r="F39" s="277"/>
      <c r="G39" s="278" t="s">
        <v>2393</v>
      </c>
    </row>
    <row r="40" spans="1:7" s="258" customFormat="1" ht="13.5" customHeight="1">
      <c r="A40" s="299" t="s">
        <v>2394</v>
      </c>
      <c r="B40" s="254" t="s">
        <v>2395</v>
      </c>
      <c r="C40" s="1722">
        <f>F21</f>
        <v>0.02</v>
      </c>
      <c r="D40" s="280" t="s">
        <v>2396</v>
      </c>
      <c r="E40" s="276"/>
      <c r="F40" s="277"/>
      <c r="G40" s="278" t="s">
        <v>2397</v>
      </c>
    </row>
    <row r="41" spans="1:7" s="258" customFormat="1" ht="13.5" customHeight="1">
      <c r="A41" s="299" t="s">
        <v>2398</v>
      </c>
      <c r="B41" s="254" t="s">
        <v>2399</v>
      </c>
      <c r="C41" s="276">
        <f ca="1">ROUND(SUM(C42:C43),0)</f>
        <v>19</v>
      </c>
      <c r="D41" s="279">
        <f ca="1">C44</f>
        <v>4.0000000000000002E-4</v>
      </c>
      <c r="E41" s="280" t="s">
        <v>2396</v>
      </c>
      <c r="F41" s="281"/>
      <c r="G41" s="278" t="str">
        <f>IF('数据-取费表'!B22&lt;=1,"单利计息","复利计息")</f>
        <v>单利计息</v>
      </c>
    </row>
    <row r="42" spans="1:7" ht="13.5" customHeight="1">
      <c r="A42" s="947" t="s">
        <v>791</v>
      </c>
      <c r="B42" s="259" t="s">
        <v>2400</v>
      </c>
      <c r="C42" s="282">
        <f ca="1">ROUND(IF('数据-取费表'!B22&lt;=1,C33*F22*'数据-取费表'!B21/2,C33*(POWER((1+F22),'数据-取费表'!B21/2)-1)),0)</f>
        <v>19</v>
      </c>
      <c r="D42" s="282"/>
      <c r="E42" s="282"/>
      <c r="F42" s="283"/>
      <c r="G42" s="3254" t="s">
        <v>2401</v>
      </c>
    </row>
    <row r="43" spans="1:7" ht="13.5" customHeight="1">
      <c r="A43" s="947" t="s">
        <v>792</v>
      </c>
      <c r="B43" s="259" t="s">
        <v>2402</v>
      </c>
      <c r="C43" s="282">
        <f ca="1">ROUND(IF('数据-取费表'!B22&lt;=1,C39*F22*'数据-取费表'!B21/2,C39*(POWER((1+F22),'数据-取费表'!B21/2)-1)),0)</f>
        <v>0</v>
      </c>
      <c r="D43" s="282"/>
      <c r="E43" s="282"/>
      <c r="F43" s="283"/>
      <c r="G43" s="3255"/>
    </row>
    <row r="44" spans="1:7" ht="13.5" customHeight="1">
      <c r="A44" s="947" t="s">
        <v>793</v>
      </c>
      <c r="B44" s="259" t="s">
        <v>2403</v>
      </c>
      <c r="C44" s="282">
        <f ca="1">ROUND(IF('数据-取费表'!B22&lt;=1,C40*F22*'数据-取费表'!B21/2,C40*(POWER((1+F22),'数据-取费表'!B21/2)-1)),4)</f>
        <v>4.0000000000000002E-4</v>
      </c>
      <c r="D44" s="282"/>
      <c r="E44" s="282"/>
      <c r="F44" s="283"/>
      <c r="G44" s="3256"/>
    </row>
    <row r="45" spans="1:7" s="258" customFormat="1" ht="13.5" customHeight="1">
      <c r="A45" s="299" t="s">
        <v>2404</v>
      </c>
      <c r="B45" s="288" t="s">
        <v>2370</v>
      </c>
      <c r="C45" s="289">
        <f ca="1">C46</f>
        <v>136</v>
      </c>
      <c r="D45" s="279">
        <f ca="1">C47</f>
        <v>3.0000000000000001E-3</v>
      </c>
      <c r="E45" s="280" t="s">
        <v>2396</v>
      </c>
      <c r="F45" s="290"/>
      <c r="G45" s="291" t="s">
        <v>2405</v>
      </c>
    </row>
    <row r="46" spans="1:7" s="258" customFormat="1" ht="13.5" customHeight="1">
      <c r="A46" s="947" t="s">
        <v>791</v>
      </c>
      <c r="B46" s="292" t="s">
        <v>2406</v>
      </c>
      <c r="C46" s="293">
        <f ca="1">ROUND((C33+C39)*F27,0)</f>
        <v>136</v>
      </c>
      <c r="D46" s="307"/>
      <c r="E46" s="280"/>
      <c r="F46" s="290"/>
      <c r="G46" s="291"/>
    </row>
    <row r="47" spans="1:7" s="258" customFormat="1" ht="13.5" customHeight="1">
      <c r="A47" s="947" t="s">
        <v>792</v>
      </c>
      <c r="B47" s="292" t="s">
        <v>2407</v>
      </c>
      <c r="C47" s="282">
        <f ca="1">ROUND(C40*F27,4)</f>
        <v>3.0000000000000001E-3</v>
      </c>
      <c r="D47" s="307"/>
      <c r="E47" s="280"/>
      <c r="F47" s="290"/>
      <c r="G47" s="291"/>
    </row>
    <row r="48" spans="1:7" s="258" customFormat="1" ht="13.5" customHeight="1">
      <c r="A48" s="299" t="s">
        <v>2369</v>
      </c>
      <c r="B48" s="254" t="s">
        <v>2408</v>
      </c>
      <c r="C48" s="1722">
        <f>ROUND(F30/(1+'数据-取费表'!C42),4)</f>
        <v>5.2400000000000002E-2</v>
      </c>
      <c r="D48" s="280" t="s">
        <v>2396</v>
      </c>
      <c r="E48" s="276"/>
      <c r="F48" s="281"/>
      <c r="G48" s="278" t="s">
        <v>2409</v>
      </c>
    </row>
    <row r="49" spans="1:7" ht="16.5" customHeight="1">
      <c r="A49" s="299" t="s">
        <v>2375</v>
      </c>
      <c r="B49" s="254" t="s">
        <v>2410</v>
      </c>
      <c r="C49" s="276">
        <f ca="1">ROUND((C33+C39+C41+C45)/(1-C40-D41-D45-C48),0)</f>
        <v>1149</v>
      </c>
      <c r="D49" s="276"/>
      <c r="E49" s="276"/>
      <c r="F49" s="308"/>
      <c r="G49" s="278" t="s">
        <v>2411</v>
      </c>
    </row>
    <row r="50" spans="1:7" s="302" customFormat="1" ht="24">
      <c r="A50" s="299" t="s">
        <v>2412</v>
      </c>
      <c r="B50" s="254" t="s">
        <v>2413</v>
      </c>
      <c r="C50" s="276"/>
      <c r="D50" s="276"/>
      <c r="E50" s="276"/>
      <c r="F50" s="308">
        <f>IF('数据-取费表'!B24=0,'数据-取费表'!N16,1)</f>
        <v>0.9</v>
      </c>
      <c r="G50" s="291" t="s">
        <v>2414</v>
      </c>
    </row>
    <row r="51" spans="1:7" ht="16.5" customHeight="1">
      <c r="A51" s="299" t="s">
        <v>2415</v>
      </c>
      <c r="B51" s="254" t="s">
        <v>2416</v>
      </c>
      <c r="C51" s="276">
        <f ca="1">ROUND(C49*F50,0)</f>
        <v>1034</v>
      </c>
      <c r="D51" s="276"/>
      <c r="E51" s="276"/>
      <c r="F51" s="308"/>
      <c r="G51" s="278" t="s">
        <v>2417</v>
      </c>
    </row>
    <row r="52" spans="1:7" s="252" customFormat="1" ht="16.5" thickBot="1">
      <c r="A52" s="309" t="s">
        <v>2418</v>
      </c>
      <c r="B52" s="310"/>
      <c r="C52" s="311">
        <f ca="1">C31+C51</f>
        <v>1126</v>
      </c>
      <c r="D52" s="310"/>
      <c r="E52" s="310"/>
      <c r="F52" s="310"/>
      <c r="G52" s="312"/>
    </row>
    <row r="55" spans="1:7" ht="15">
      <c r="B55" s="314" t="s">
        <v>2419</v>
      </c>
      <c r="C55" s="315"/>
    </row>
    <row r="56" spans="1:7">
      <c r="B56" s="317" t="s">
        <v>1508</v>
      </c>
      <c r="C56" s="319">
        <f ca="1">1-C57</f>
        <v>8.1999999999999962E-2</v>
      </c>
    </row>
    <row r="57" spans="1:7">
      <c r="B57" s="317" t="s">
        <v>1509</v>
      </c>
      <c r="C57" s="318">
        <f ca="1">ROUND(C51/C52,3)</f>
        <v>0.91800000000000004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68" t="str">
        <f>项目基本情况!B1</f>
        <v>预评估</v>
      </c>
      <c r="C37" s="3068"/>
      <c r="D37" s="3068"/>
      <c r="E37" s="3068"/>
      <c r="F37" s="3068"/>
      <c r="G37" s="3068"/>
      <c r="H37" s="3068"/>
      <c r="I37" s="3068"/>
    </row>
    <row r="38" spans="1:9">
      <c r="A38" s="1012"/>
      <c r="B38" s="1012"/>
    </row>
    <row r="39" spans="1:9">
      <c r="A39" s="1010" t="s">
        <v>818</v>
      </c>
      <c r="B39" s="1010" t="s">
        <v>820</v>
      </c>
    </row>
    <row r="40" spans="1:9">
      <c r="A40" s="1010"/>
      <c r="B40" s="1935">
        <f>项目基本情况!B5</f>
        <v>0</v>
      </c>
    </row>
    <row r="41" spans="1:9">
      <c r="A41" s="1010"/>
      <c r="B41" s="1010"/>
    </row>
    <row r="42" spans="1:9">
      <c r="A42" s="1010" t="s">
        <v>818</v>
      </c>
      <c r="B42" s="1010" t="s">
        <v>821</v>
      </c>
    </row>
    <row r="43" spans="1:9">
      <c r="A43" s="1010"/>
      <c r="B43" s="1935" t="s">
        <v>822</v>
      </c>
    </row>
    <row r="44" spans="1:9">
      <c r="A44" s="1010"/>
      <c r="B44" s="1010"/>
    </row>
    <row r="45" spans="1:9">
      <c r="A45" s="1010" t="s">
        <v>818</v>
      </c>
      <c r="B45" s="1010" t="s">
        <v>823</v>
      </c>
    </row>
    <row r="46" spans="1:9" s="1010" customFormat="1" ht="12.75">
      <c r="B46" s="1935" t="str">
        <f>项目基本情况!K4</f>
        <v>（注册号：0)、（注册号：0)</v>
      </c>
    </row>
    <row r="47" spans="1:9">
      <c r="A47" s="1010"/>
      <c r="B47" s="1010" t="str">
        <f>项目基本情况!K5</f>
        <v/>
      </c>
    </row>
    <row r="48" spans="1:9">
      <c r="A48" s="1010" t="s">
        <v>818</v>
      </c>
      <c r="B48" s="1010"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0"/>
      <c r="C1" s="2550" t="s">
        <v>2420</v>
      </c>
      <c r="D1" s="242"/>
      <c r="E1" s="242"/>
      <c r="F1" s="242"/>
      <c r="G1" s="1373">
        <f>MATCH(B1,'数据-取费表'!A6:A16,0)+5</f>
        <v>7</v>
      </c>
      <c r="H1" s="1276" t="str">
        <f>IF(ISERROR(FIND("住宅",B1)),"非住宅","住宅")</f>
        <v>非住宅</v>
      </c>
    </row>
    <row r="2" spans="1:8" s="244" customFormat="1" ht="18" customHeight="1">
      <c r="A2" s="245" t="s">
        <v>2319</v>
      </c>
      <c r="B2" s="246">
        <f ca="1">ROUND(IF(D2="——",C52/10000,C52/10000-E2),0)</f>
        <v>1162</v>
      </c>
      <c r="C2" s="243" t="s">
        <v>2320</v>
      </c>
      <c r="D2" s="2544" t="s">
        <v>70</v>
      </c>
      <c r="E2" s="1434" t="e">
        <f ca="1">SUMIF(INDIRECT("'"&amp;G2&amp;"'"&amp;"!A:A"),"承租人权益价值",INDIRECT("'"&amp;G2&amp;"'"&amp;"!c:c"))</f>
        <v>#REF!</v>
      </c>
      <c r="F2" s="2545" t="s">
        <v>2320</v>
      </c>
      <c r="G2" s="2546"/>
    </row>
    <row r="3" spans="1:8" s="244" customFormat="1" ht="18" customHeight="1" thickBot="1">
      <c r="A3" s="247" t="s">
        <v>2321</v>
      </c>
      <c r="B3" s="248">
        <f ca="1">ROUND(B2*10000/(IF(B1="",'数据-汇总表'!E3,INDIRECT("'数据-取费表'!k"&amp;$G$1))),0)</f>
        <v>3322</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262316</v>
      </c>
      <c r="D5" s="255" t="s">
        <v>2326</v>
      </c>
      <c r="E5" s="256" t="s">
        <v>2327</v>
      </c>
      <c r="F5" s="256" t="s">
        <v>2328</v>
      </c>
      <c r="G5" s="257"/>
    </row>
    <row r="6" spans="1:8" s="258" customFormat="1" ht="13.5" customHeight="1">
      <c r="A6" s="945" t="s">
        <v>2329</v>
      </c>
      <c r="B6" s="259" t="s">
        <v>2330</v>
      </c>
      <c r="C6" s="260"/>
      <c r="D6" s="261"/>
      <c r="E6" s="262"/>
      <c r="F6" s="262"/>
      <c r="G6" s="263"/>
    </row>
    <row r="7" spans="1:8" s="258" customFormat="1" ht="13.5" customHeight="1">
      <c r="A7" s="945" t="s">
        <v>2331</v>
      </c>
      <c r="B7" s="259" t="s">
        <v>2332</v>
      </c>
      <c r="C7" s="264">
        <f>ROUND(C6*F7,0)</f>
        <v>0</v>
      </c>
      <c r="D7" s="264"/>
      <c r="E7" s="262"/>
      <c r="F7" s="265">
        <f>IF(项目基本情况!B8="出让",0,'数据-取费表'!B48+'数据-取费表'!B49)</f>
        <v>3.0499999999999999E-2</v>
      </c>
      <c r="G7" s="263"/>
    </row>
    <row r="8" spans="1:8" s="267" customFormat="1">
      <c r="A8" s="945" t="s">
        <v>2333</v>
      </c>
      <c r="B8" s="259" t="s">
        <v>2334</v>
      </c>
      <c r="C8" s="264">
        <f ca="1">IF(G8="已包含在土地购买价格中",0,C9+C10)</f>
        <v>262316</v>
      </c>
      <c r="D8" s="266"/>
      <c r="E8" s="264"/>
      <c r="F8" s="265"/>
      <c r="G8" s="2547"/>
    </row>
    <row r="9" spans="1:8" s="258" customFormat="1" ht="13.5" customHeight="1">
      <c r="A9" s="946" t="s">
        <v>800</v>
      </c>
      <c r="B9" s="268" t="s">
        <v>2335</v>
      </c>
      <c r="C9" s="269">
        <f ca="1">ROUND(D9*E9,0)</f>
        <v>0</v>
      </c>
      <c r="D9" s="1028">
        <f ca="1">IF(B1="",'数据-汇总表'!E5,IF(INDIRECT("'数据-取费表'!c"&amp;$G$1)="住宅",INDIRECT("'数据-取费表'!k"&amp;$G$1),0))</f>
        <v>0</v>
      </c>
      <c r="E9" s="269">
        <f>'数据-取费表'!B27</f>
        <v>75</v>
      </c>
      <c r="F9" s="265"/>
      <c r="G9" s="270"/>
    </row>
    <row r="10" spans="1:8" s="258" customFormat="1" ht="13.5" customHeight="1">
      <c r="A10" s="946" t="s">
        <v>801</v>
      </c>
      <c r="B10" s="268" t="s">
        <v>2337</v>
      </c>
      <c r="C10" s="269">
        <f ca="1">ROUND(D10*E10,0)</f>
        <v>262316</v>
      </c>
      <c r="D10" s="1028">
        <f ca="1">IF(B1="",'数据-汇总表'!E6,IF(INDIRECT("'数据-取费表'!c"&amp;$G$1)="住宅",INDIRECT("'数据-取费表'!s"&amp;$G$1),INDIRECT("'数据-取费表'!k"&amp;$G$1)+INDIRECT("'数据-取费表'!s"&amp;$G$1)))</f>
        <v>3497.5499999999993</v>
      </c>
      <c r="E10" s="269">
        <f>'数据-取费表'!B28</f>
        <v>75</v>
      </c>
      <c r="F10" s="265"/>
      <c r="G10" s="270"/>
    </row>
    <row r="11" spans="1:8" s="258" customFormat="1" ht="13.5" hidden="1" customHeight="1">
      <c r="A11" s="271" t="s">
        <v>7</v>
      </c>
      <c r="B11" s="259" t="s">
        <v>2338</v>
      </c>
      <c r="C11" s="255"/>
      <c r="D11" s="1030"/>
      <c r="E11" s="262"/>
      <c r="F11" s="262"/>
      <c r="G11" s="263"/>
    </row>
    <row r="12" spans="1:8" s="258" customFormat="1" ht="13.5" hidden="1" customHeight="1">
      <c r="A12" s="271" t="s">
        <v>8</v>
      </c>
      <c r="B12" s="259" t="s">
        <v>2421</v>
      </c>
      <c r="C12" s="255">
        <v>0</v>
      </c>
      <c r="D12" s="1030"/>
      <c r="E12" s="272"/>
      <c r="F12" s="265">
        <v>3.0499999999999999E-2</v>
      </c>
      <c r="G12" s="263"/>
    </row>
    <row r="13" spans="1:8" s="258" customFormat="1" ht="13.5" hidden="1" customHeight="1">
      <c r="A13" s="271" t="s">
        <v>9</v>
      </c>
      <c r="B13" s="259" t="s">
        <v>2422</v>
      </c>
      <c r="C13" s="255"/>
      <c r="D13" s="1030"/>
      <c r="E13" s="262"/>
      <c r="F13" s="262"/>
      <c r="G13" s="263"/>
    </row>
    <row r="14" spans="1:8" s="258" customFormat="1" ht="13.5" hidden="1" customHeight="1">
      <c r="A14" s="271" t="s">
        <v>10</v>
      </c>
      <c r="B14" s="259" t="s">
        <v>2334</v>
      </c>
      <c r="C14" s="255"/>
      <c r="D14" s="1030"/>
      <c r="E14" s="262"/>
      <c r="F14" s="262"/>
      <c r="G14" s="263" t="s">
        <v>2423</v>
      </c>
    </row>
    <row r="15" spans="1:8" s="258" customFormat="1" ht="13.5" hidden="1" customHeight="1">
      <c r="A15" s="271" t="s">
        <v>11</v>
      </c>
      <c r="B15" s="259" t="s">
        <v>2424</v>
      </c>
      <c r="C15" s="264"/>
      <c r="D15" s="1030"/>
      <c r="E15" s="262"/>
      <c r="F15" s="262"/>
      <c r="G15" s="263" t="s">
        <v>2425</v>
      </c>
    </row>
    <row r="16" spans="1:8" s="258" customFormat="1" ht="13.5" hidden="1" customHeight="1">
      <c r="A16" s="271" t="s">
        <v>12</v>
      </c>
      <c r="B16" s="259" t="s">
        <v>2334</v>
      </c>
      <c r="C16" s="264"/>
      <c r="D16" s="1030"/>
      <c r="E16" s="262"/>
      <c r="F16" s="262"/>
      <c r="G16" s="263"/>
    </row>
    <row r="17" spans="1:7" s="258" customFormat="1" ht="13.5" hidden="1" customHeight="1">
      <c r="A17" s="271" t="s">
        <v>13</v>
      </c>
      <c r="B17" s="259" t="s">
        <v>2426</v>
      </c>
      <c r="C17" s="273"/>
      <c r="D17" s="1031"/>
      <c r="E17" s="273"/>
      <c r="F17" s="273"/>
      <c r="G17" s="263" t="s">
        <v>2425</v>
      </c>
    </row>
    <row r="18" spans="1:7" s="258" customFormat="1" ht="13.5" hidden="1" customHeight="1">
      <c r="A18" s="271" t="s">
        <v>14</v>
      </c>
      <c r="B18" s="259" t="s">
        <v>2427</v>
      </c>
      <c r="C18" s="264">
        <v>0</v>
      </c>
      <c r="D18" s="1030"/>
      <c r="E18" s="262"/>
      <c r="F18" s="265">
        <v>3.0499999999999999E-2</v>
      </c>
      <c r="G18" s="263" t="s">
        <v>2428</v>
      </c>
    </row>
    <row r="19" spans="1:7" s="267" customFormat="1" ht="13.5" customHeight="1">
      <c r="A19" s="299" t="s">
        <v>2429</v>
      </c>
      <c r="B19" s="254" t="s">
        <v>2430</v>
      </c>
      <c r="C19" s="255">
        <f ca="1">IF(G19="已包含在土地取得成本中","0",ROUND(D19*E19,0))</f>
        <v>699510</v>
      </c>
      <c r="D19" s="1032">
        <f ca="1">D9+D10</f>
        <v>3497.5499999999993</v>
      </c>
      <c r="E19" s="255">
        <f>'数据-取费表'!B31</f>
        <v>200</v>
      </c>
      <c r="F19" s="275"/>
      <c r="G19" s="2547"/>
    </row>
    <row r="20" spans="1:7" s="258" customFormat="1" ht="13.5" customHeight="1">
      <c r="A20" s="299" t="s">
        <v>2431</v>
      </c>
      <c r="B20" s="254" t="s">
        <v>2432</v>
      </c>
      <c r="C20" s="276">
        <f ca="1">ROUND((C5+C19)*F20,0)</f>
        <v>19237</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4">
        <f ca="1">ROUND(SUM(C23:C25),0)</f>
        <v>42258</v>
      </c>
      <c r="D22" s="279">
        <f ca="1">C26</f>
        <v>4.0000000000000002E-4</v>
      </c>
      <c r="E22" s="280" t="s">
        <v>2436</v>
      </c>
      <c r="F22" s="281">
        <f ca="1">'数据-取费表'!B40</f>
        <v>4.3499999999999997E-2</v>
      </c>
      <c r="G22" s="278" t="str">
        <f>IF('数据-取费表'!B22&lt;=1,"单利计息","复利计息")</f>
        <v>单利计息</v>
      </c>
    </row>
    <row r="23" spans="1:7" s="258" customFormat="1" ht="13.5" customHeight="1">
      <c r="A23" s="947" t="s">
        <v>2329</v>
      </c>
      <c r="B23" s="259" t="s">
        <v>2440</v>
      </c>
      <c r="C23" s="1375">
        <f ca="1">ROUND(IF('数据-取费表'!B22&lt;=1,C5*F22*'数据-取费表'!B22,C5*(POWER((1+F22),'数据-取费表'!B22)-1)),0)</f>
        <v>11411</v>
      </c>
      <c r="D23" s="282"/>
      <c r="E23" s="282"/>
      <c r="F23" s="283"/>
      <c r="G23" s="284" t="s">
        <v>2441</v>
      </c>
    </row>
    <row r="24" spans="1:7" s="258" customFormat="1" ht="13.5" customHeight="1">
      <c r="A24" s="947" t="s">
        <v>2331</v>
      </c>
      <c r="B24" s="259" t="s">
        <v>2442</v>
      </c>
      <c r="C24" s="1375">
        <f ca="1">ROUND(IF('数据-取费表'!B22&lt;=1,C19*F22*('数据-取费表'!B19/2+'数据-取费表'!B20),C19*(POWER((1+F22),('数据-取费表'!B19/2+'数据-取费表'!B20))-1)),0)</f>
        <v>30429</v>
      </c>
      <c r="D24" s="282"/>
      <c r="E24" s="282"/>
      <c r="F24" s="283"/>
      <c r="G24" s="284" t="s">
        <v>2443</v>
      </c>
    </row>
    <row r="25" spans="1:7" s="258" customFormat="1" ht="24">
      <c r="A25" s="947" t="s">
        <v>2333</v>
      </c>
      <c r="B25" s="259" t="s">
        <v>2444</v>
      </c>
      <c r="C25" s="1375">
        <f ca="1">ROUND(IF('数据-取费表'!B22&lt;=1,C20*F22*'数据-取费表'!B22/2,C20*(POWER((1+F22),'数据-取费表'!B22/2)-1)),0)</f>
        <v>418</v>
      </c>
      <c r="D25" s="282"/>
      <c r="E25" s="285"/>
      <c r="F25" s="283"/>
      <c r="G25" s="286" t="s">
        <v>2445</v>
      </c>
    </row>
    <row r="26" spans="1:7" s="258" customFormat="1">
      <c r="A26" s="947" t="s">
        <v>795</v>
      </c>
      <c r="B26" s="259" t="s">
        <v>2368</v>
      </c>
      <c r="C26" s="282">
        <f ca="1">ROUND(IF('数据-取费表'!B22&lt;=1,F21*F22*'数据-取费表'!B22/2,F21*(POWER((1+F22),'数据-取费表'!B22/2)-1)),4)</f>
        <v>4.0000000000000002E-4</v>
      </c>
      <c r="D26" s="282"/>
      <c r="E26" s="285"/>
      <c r="F26" s="283"/>
      <c r="G26" s="287"/>
    </row>
    <row r="27" spans="1:7" s="258" customFormat="1" ht="24.75">
      <c r="A27" s="299" t="s">
        <v>2369</v>
      </c>
      <c r="B27" s="288" t="s">
        <v>2370</v>
      </c>
      <c r="C27" s="289">
        <f ca="1">C28</f>
        <v>147159</v>
      </c>
      <c r="D27" s="279">
        <f ca="1">C29</f>
        <v>3.0000000000000001E-3</v>
      </c>
      <c r="E27" s="280" t="s">
        <v>2371</v>
      </c>
      <c r="F27" s="290">
        <f ca="1">IF(B1="",'数据-取费表'!Q16,INDIRECT("'数据-取费表'!q"&amp;$G$1))</f>
        <v>0.15</v>
      </c>
      <c r="G27" s="291" t="s">
        <v>2372</v>
      </c>
    </row>
    <row r="28" spans="1:7" s="258" customFormat="1" ht="13.5" customHeight="1">
      <c r="A28" s="947" t="s">
        <v>791</v>
      </c>
      <c r="B28" s="292" t="s">
        <v>2373</v>
      </c>
      <c r="C28" s="293">
        <f ca="1">ROUND((C5+C19+C20)*F27,0)</f>
        <v>147159</v>
      </c>
      <c r="D28" s="279"/>
      <c r="E28" s="280"/>
      <c r="F28" s="290"/>
      <c r="G28" s="291"/>
    </row>
    <row r="29" spans="1:7" s="258" customFormat="1" ht="13.5" customHeight="1">
      <c r="A29" s="947" t="s">
        <v>792</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1266479</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8894270</v>
      </c>
      <c r="D33" s="276"/>
      <c r="E33" s="256"/>
      <c r="F33" s="285"/>
      <c r="G33" s="278"/>
    </row>
    <row r="34" spans="1:7" s="302" customFormat="1" ht="13.5" customHeight="1">
      <c r="A34" s="947" t="s">
        <v>791</v>
      </c>
      <c r="B34" s="259" t="s">
        <v>2382</v>
      </c>
      <c r="C34" s="264">
        <f ca="1">ROUND(IF(B1="",SUMPRODUCT('数据-取费表'!K6:K14,'数据-取费表'!L6:L14),INDIRECT("'数据-取费表'!l"&amp;$G$1)*INDIRECT("'数据-取费表'!k"&amp;$G$1)+'数据-取费表'!L14*INDIRECT("'数据-取费表'!S"&amp;$G$1)),0)</f>
        <v>7694610</v>
      </c>
      <c r="D34" s="261"/>
      <c r="E34" s="264"/>
      <c r="F34" s="301"/>
      <c r="G34" s="263"/>
    </row>
    <row r="35" spans="1:7" ht="13.5" customHeight="1">
      <c r="A35" s="947" t="s">
        <v>796</v>
      </c>
      <c r="B35" s="259" t="s">
        <v>2384</v>
      </c>
      <c r="C35" s="264">
        <f ca="1">ROUND(C34*F35,0)</f>
        <v>384731</v>
      </c>
      <c r="D35" s="264"/>
      <c r="E35" s="264"/>
      <c r="F35" s="303">
        <f>'数据-取费表'!B33</f>
        <v>0.05</v>
      </c>
      <c r="G35" s="263" t="s">
        <v>2385</v>
      </c>
    </row>
    <row r="36" spans="1:7" ht="24">
      <c r="A36" s="947"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47" t="s">
        <v>798</v>
      </c>
      <c r="B37" s="259" t="s">
        <v>2388</v>
      </c>
      <c r="C37" s="293">
        <f ca="1">ROUND(E37*D37,0)</f>
        <v>699510</v>
      </c>
      <c r="D37" s="261">
        <f ca="1">D19</f>
        <v>3497.5499999999993</v>
      </c>
      <c r="E37" s="293">
        <f>'数据-取费表'!B35</f>
        <v>200</v>
      </c>
      <c r="F37" s="303"/>
      <c r="G37" s="305"/>
    </row>
    <row r="38" spans="1:7" ht="13.5" customHeight="1">
      <c r="A38" s="947" t="s">
        <v>799</v>
      </c>
      <c r="B38" s="259" t="s">
        <v>2390</v>
      </c>
      <c r="C38" s="264">
        <f ca="1">ROUND(C34*F38,0)</f>
        <v>115419</v>
      </c>
      <c r="D38" s="264"/>
      <c r="E38" s="264"/>
      <c r="F38" s="303">
        <f>'数据-取费表'!B36</f>
        <v>1.4999999999999999E-2</v>
      </c>
      <c r="G38" s="263" t="s">
        <v>2385</v>
      </c>
    </row>
    <row r="39" spans="1:7" s="258" customFormat="1" ht="13.5" customHeight="1">
      <c r="A39" s="299" t="s">
        <v>2391</v>
      </c>
      <c r="B39" s="254" t="s">
        <v>2392</v>
      </c>
      <c r="C39" s="276">
        <f ca="1">ROUND(C33*F20,0)</f>
        <v>177885</v>
      </c>
      <c r="D39" s="276"/>
      <c r="E39" s="276"/>
      <c r="F39" s="277"/>
      <c r="G39" s="278" t="s">
        <v>2393</v>
      </c>
    </row>
    <row r="40" spans="1:7" s="258" customFormat="1" ht="13.5" customHeight="1">
      <c r="A40" s="299" t="s">
        <v>2394</v>
      </c>
      <c r="B40" s="254" t="s">
        <v>2395</v>
      </c>
      <c r="C40" s="1722">
        <f>F21</f>
        <v>0.02</v>
      </c>
      <c r="D40" s="280" t="s">
        <v>2396</v>
      </c>
      <c r="E40" s="276"/>
      <c r="F40" s="277"/>
      <c r="G40" s="278" t="s">
        <v>2397</v>
      </c>
    </row>
    <row r="41" spans="1:7" s="258" customFormat="1" ht="13.5" customHeight="1">
      <c r="A41" s="299" t="s">
        <v>2398</v>
      </c>
      <c r="B41" s="254" t="s">
        <v>2399</v>
      </c>
      <c r="C41" s="276">
        <f ca="1">ROUND(SUM(C42:C43),0)</f>
        <v>197319</v>
      </c>
      <c r="D41" s="279">
        <f ca="1">C44</f>
        <v>4.0000000000000002E-4</v>
      </c>
      <c r="E41" s="280" t="s">
        <v>2396</v>
      </c>
      <c r="F41" s="281"/>
      <c r="G41" s="278" t="str">
        <f>IF('数据-取费表'!B22&lt;=1,"单利计息","复利计息")</f>
        <v>单利计息</v>
      </c>
    </row>
    <row r="42" spans="1:7" ht="13.5" customHeight="1">
      <c r="A42" s="947" t="s">
        <v>791</v>
      </c>
      <c r="B42" s="259" t="s">
        <v>2400</v>
      </c>
      <c r="C42" s="282">
        <f ca="1">ROUND(IF('数据-取费表'!B22&lt;=1,C33*F22*'数据-取费表'!B20/2,C33*(POWER((1+F22),'数据-取费表'!B20/2)-1)),0)</f>
        <v>193450</v>
      </c>
      <c r="D42" s="282"/>
      <c r="E42" s="282"/>
      <c r="F42" s="283"/>
      <c r="G42" s="3254" t="s">
        <v>2448</v>
      </c>
    </row>
    <row r="43" spans="1:7" ht="13.5" customHeight="1">
      <c r="A43" s="947" t="s">
        <v>792</v>
      </c>
      <c r="B43" s="259" t="s">
        <v>2402</v>
      </c>
      <c r="C43" s="282">
        <f ca="1">ROUND(IF('数据-取费表'!B22&lt;=1,C39*F22*'数据-取费表'!B20/2,C39*(POWER((1+F22),'数据-取费表'!B20/2)-1)),0)</f>
        <v>3869</v>
      </c>
      <c r="D43" s="282"/>
      <c r="E43" s="282"/>
      <c r="F43" s="283"/>
      <c r="G43" s="3255"/>
    </row>
    <row r="44" spans="1:7" ht="13.5" customHeight="1">
      <c r="A44" s="947" t="s">
        <v>793</v>
      </c>
      <c r="B44" s="259" t="s">
        <v>2403</v>
      </c>
      <c r="C44" s="282">
        <f ca="1">ROUND(IF('数据-取费表'!B22&lt;=1,C40*F22*'数据-取费表'!B20/2,C40*(POWER((1+F22),'数据-取费表'!B20/2)-1)),4)</f>
        <v>4.0000000000000002E-4</v>
      </c>
      <c r="D44" s="282"/>
      <c r="E44" s="282"/>
      <c r="F44" s="283"/>
      <c r="G44" s="3256"/>
    </row>
    <row r="45" spans="1:7" s="258" customFormat="1" ht="13.5" customHeight="1">
      <c r="A45" s="299" t="s">
        <v>2404</v>
      </c>
      <c r="B45" s="288" t="s">
        <v>2370</v>
      </c>
      <c r="C45" s="289">
        <f ca="1">C46</f>
        <v>1360823</v>
      </c>
      <c r="D45" s="279">
        <f ca="1">C47</f>
        <v>3.0000000000000001E-3</v>
      </c>
      <c r="E45" s="280" t="s">
        <v>2396</v>
      </c>
      <c r="F45" s="290"/>
      <c r="G45" s="291" t="s">
        <v>2405</v>
      </c>
    </row>
    <row r="46" spans="1:7" s="258" customFormat="1" ht="13.5" customHeight="1">
      <c r="A46" s="947" t="s">
        <v>791</v>
      </c>
      <c r="B46" s="292" t="s">
        <v>2406</v>
      </c>
      <c r="C46" s="293">
        <f ca="1">ROUND((C33+C39)*F27,0)</f>
        <v>1360823</v>
      </c>
      <c r="D46" s="307"/>
      <c r="E46" s="280"/>
      <c r="F46" s="290"/>
      <c r="G46" s="291"/>
    </row>
    <row r="47" spans="1:7" s="258" customFormat="1" ht="13.5" customHeight="1">
      <c r="A47" s="947" t="s">
        <v>792</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11502161</v>
      </c>
      <c r="D49" s="276"/>
      <c r="E49" s="276"/>
      <c r="F49" s="308"/>
      <c r="G49" s="278" t="s">
        <v>2411</v>
      </c>
    </row>
    <row r="50" spans="1:7" s="302" customFormat="1">
      <c r="A50" s="299" t="s">
        <v>2412</v>
      </c>
      <c r="B50" s="254" t="s">
        <v>2413</v>
      </c>
      <c r="C50" s="276"/>
      <c r="D50" s="276"/>
      <c r="E50" s="276"/>
      <c r="F50" s="308">
        <f>IF('数据-取费表'!B24=0,'数据-取费表'!N16,1)</f>
        <v>0.9</v>
      </c>
      <c r="G50" s="291"/>
    </row>
    <row r="51" spans="1:7" ht="16.5" customHeight="1">
      <c r="A51" s="299" t="s">
        <v>2415</v>
      </c>
      <c r="B51" s="254" t="s">
        <v>2450</v>
      </c>
      <c r="C51" s="276">
        <f ca="1">ROUND(C49*F50,0)</f>
        <v>10351945</v>
      </c>
      <c r="D51" s="276"/>
      <c r="E51" s="276"/>
      <c r="F51" s="308"/>
      <c r="G51" s="278" t="s">
        <v>2417</v>
      </c>
    </row>
    <row r="52" spans="1:7" s="252" customFormat="1" ht="16.5" thickBot="1">
      <c r="A52" s="309" t="s">
        <v>2418</v>
      </c>
      <c r="B52" s="310"/>
      <c r="C52" s="311">
        <f ca="1">C31+C51</f>
        <v>11618424</v>
      </c>
      <c r="D52" s="310"/>
      <c r="E52" s="310"/>
      <c r="F52" s="310"/>
      <c r="G52" s="312"/>
    </row>
    <row r="55" spans="1:7" ht="15">
      <c r="B55" s="314" t="s">
        <v>2419</v>
      </c>
      <c r="C55" s="315"/>
    </row>
    <row r="56" spans="1:7">
      <c r="B56" s="317" t="s">
        <v>1508</v>
      </c>
      <c r="C56" s="319">
        <f ca="1">1-C57</f>
        <v>0.10899999999999999</v>
      </c>
    </row>
    <row r="57" spans="1:7">
      <c r="B57" s="317" t="s">
        <v>1509</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2451</v>
      </c>
      <c r="B1" s="1575"/>
      <c r="C1" s="1576"/>
      <c r="D1" s="1574"/>
      <c r="E1" s="320"/>
      <c r="F1" s="320"/>
      <c r="G1" s="1575"/>
      <c r="H1" s="320"/>
      <c r="I1" s="320"/>
      <c r="J1" s="320"/>
      <c r="K1" s="320">
        <f>MATCH(C1,'数据-取费表'!A6:A16,0)+5</f>
        <v>7</v>
      </c>
    </row>
    <row r="2" spans="1:33" ht="18" customHeight="1">
      <c r="A2" s="245" t="s">
        <v>2319</v>
      </c>
      <c r="B2" s="248">
        <f ca="1">C32</f>
        <v>-123</v>
      </c>
      <c r="C2" s="320" t="s">
        <v>2452</v>
      </c>
      <c r="D2" s="320"/>
      <c r="E2" s="320"/>
      <c r="F2" s="320"/>
      <c r="G2" s="320"/>
      <c r="H2" s="320"/>
      <c r="I2" s="320"/>
      <c r="J2" s="320"/>
      <c r="K2" s="320"/>
    </row>
    <row r="3" spans="1:33" ht="18" customHeight="1" thickBot="1">
      <c r="A3" s="247" t="s">
        <v>2321</v>
      </c>
      <c r="B3" s="248">
        <f ca="1">ROUND(B2*10000/IF(C1="",'数据-汇总表'!E3,INDIRECT("'数据-取费表'!K"&amp;$K$1)),0)</f>
        <v>-352</v>
      </c>
      <c r="C3" s="320" t="s">
        <v>2453</v>
      </c>
      <c r="D3" s="320"/>
      <c r="E3" s="320"/>
      <c r="F3" s="320"/>
      <c r="G3" s="320"/>
      <c r="H3" s="320"/>
      <c r="I3" s="320"/>
      <c r="J3" s="320"/>
      <c r="K3" s="320"/>
    </row>
    <row r="4" spans="1:33" s="952" customFormat="1" ht="16.5" customHeight="1">
      <c r="A4" s="949" t="s">
        <v>2454</v>
      </c>
      <c r="B4" s="950"/>
      <c r="C4" s="992">
        <f>SUM(C8:K8)</f>
        <v>0</v>
      </c>
      <c r="D4" s="950"/>
      <c r="E4" s="950"/>
      <c r="F4" s="950"/>
      <c r="G4" s="950"/>
      <c r="H4" s="950"/>
      <c r="I4" s="950"/>
      <c r="J4" s="950"/>
      <c r="K4" s="951"/>
    </row>
    <row r="5" spans="1:33" s="956" customFormat="1" ht="24.75">
      <c r="A5" s="953" t="s">
        <v>2455</v>
      </c>
      <c r="B5" s="954" t="s">
        <v>2456</v>
      </c>
      <c r="C5" s="2551" t="s">
        <v>2457</v>
      </c>
      <c r="D5" s="2551" t="s">
        <v>2458</v>
      </c>
      <c r="E5" s="2551" t="s">
        <v>2459</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2460</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2463</v>
      </c>
      <c r="B8" s="177" t="s">
        <v>2464</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2465</v>
      </c>
      <c r="B9" s="950"/>
      <c r="C9" s="950"/>
      <c r="D9" s="950"/>
      <c r="E9" s="950"/>
      <c r="F9" s="950"/>
      <c r="G9" s="950"/>
      <c r="H9" s="950"/>
      <c r="I9" s="950"/>
      <c r="J9" s="950"/>
      <c r="K9" s="951"/>
    </row>
    <row r="10" spans="1:33" s="966" customFormat="1" ht="13.5" customHeight="1">
      <c r="A10" s="953" t="s">
        <v>2466</v>
      </c>
      <c r="B10" s="8" t="s">
        <v>2467</v>
      </c>
      <c r="C10" s="962" t="s">
        <v>2468</v>
      </c>
      <c r="D10" s="963" t="s">
        <v>2469</v>
      </c>
      <c r="E10" s="963" t="s">
        <v>2470</v>
      </c>
      <c r="F10" s="963" t="s">
        <v>2471</v>
      </c>
      <c r="G10" s="8"/>
      <c r="H10" s="964"/>
      <c r="I10" s="964"/>
      <c r="J10" s="964"/>
      <c r="K10" s="965"/>
    </row>
    <row r="11" spans="1:33" s="971" customFormat="1" ht="13.5" customHeight="1">
      <c r="A11" s="967" t="s">
        <v>1330</v>
      </c>
      <c r="B11" s="968" t="s">
        <v>2472</v>
      </c>
      <c r="C11" s="323">
        <f ca="1">IF(C1="",'数据-取费表'!P16,INDIRECT("'数据-取费表'!p"&amp;$K$1)+INDIRECT("'数据-取费表'!ar"&amp;$K$1))</f>
        <v>77</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2473</v>
      </c>
      <c r="C12" s="24">
        <f ca="1">ROUND(C11*F12,0)</f>
        <v>4</v>
      </c>
      <c r="D12" s="969"/>
      <c r="E12" s="375"/>
      <c r="F12" s="972">
        <f>'数据-取费表'!B33</f>
        <v>0.05</v>
      </c>
      <c r="G12" s="8" t="s">
        <v>2474</v>
      </c>
      <c r="H12" s="964"/>
      <c r="I12" s="964"/>
      <c r="J12" s="964"/>
      <c r="K12" s="965"/>
    </row>
    <row r="13" spans="1:33" s="971" customFormat="1" ht="13.5" customHeight="1">
      <c r="A13" s="967" t="s">
        <v>1332</v>
      </c>
      <c r="B13" s="968" t="s">
        <v>2475</v>
      </c>
      <c r="C13" s="24">
        <f ca="1">ROUND(IF(C1="",SUMIF('数据-取费表'!C:C,"住宅",'数据-取费表'!P:P)*F13,IF(INDIRECT("'数据-取费表'!c"&amp;$K$1)="住宅",INDIRECT("'数据-取费表'!P"&amp;$K$1)*F13,0)),0)</f>
        <v>0</v>
      </c>
      <c r="D13" s="1029"/>
      <c r="E13" s="375"/>
      <c r="F13" s="972">
        <f>'数据-取费表'!B34</f>
        <v>0</v>
      </c>
      <c r="G13" s="8" t="s">
        <v>2476</v>
      </c>
      <c r="H13" s="964"/>
      <c r="I13" s="964"/>
      <c r="J13" s="964"/>
      <c r="K13" s="965"/>
    </row>
    <row r="14" spans="1:33" s="973" customFormat="1" ht="13.5" customHeight="1">
      <c r="A14" s="967" t="s">
        <v>1333</v>
      </c>
      <c r="B14" s="968" t="s">
        <v>2477</v>
      </c>
      <c r="C14" s="24">
        <f ca="1">ROUND(D14*E14*F11/10000,0)</f>
        <v>0</v>
      </c>
      <c r="D14" s="1029">
        <f ca="1">IF(C1="",'数据-汇总表'!E3,INDIRECT("'数据-取费表'!K"&amp;$K$1)+INDIRECT("'数据-取费表'!S"&amp;$K$1))</f>
        <v>3497.5499999999993</v>
      </c>
      <c r="E14" s="24">
        <f>'数据-取费表'!B35</f>
        <v>200</v>
      </c>
      <c r="F14" s="972"/>
      <c r="G14" s="8" t="s">
        <v>2478</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2479</v>
      </c>
      <c r="C15" s="979">
        <f ca="1">ROUND(C11*F15,0)</f>
        <v>1</v>
      </c>
      <c r="D15" s="974"/>
      <c r="E15" s="979"/>
      <c r="F15" s="980">
        <f>'数据-取费表'!B36</f>
        <v>1.4999999999999999E-2</v>
      </c>
      <c r="G15" s="140" t="s">
        <v>2480</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2481</v>
      </c>
      <c r="C16" s="979">
        <f ca="1">SUM(C11:C15)</f>
        <v>82</v>
      </c>
      <c r="D16" s="974"/>
      <c r="E16" s="979"/>
      <c r="F16" s="980"/>
      <c r="G16" s="140"/>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2482</v>
      </c>
      <c r="C17" s="24">
        <f ca="1">ROUND(D17*E17/10000,0)</f>
        <v>0</v>
      </c>
      <c r="D17" s="1029">
        <f ca="1">D14</f>
        <v>3497.5499999999993</v>
      </c>
      <c r="E17" s="24">
        <f>'数据-取费表'!B32</f>
        <v>0</v>
      </c>
      <c r="F17" s="974"/>
      <c r="G17" s="140" t="s">
        <v>2483</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2484</v>
      </c>
      <c r="C18" s="24">
        <f ca="1">C19+C20-IF(C1="",'数据-取费表'!B29,IF(G18="已全部缴纳",C19+C20,H18))</f>
        <v>26</v>
      </c>
      <c r="D18" s="1029"/>
      <c r="E18" s="24"/>
      <c r="F18" s="972"/>
      <c r="G18" s="2553"/>
      <c r="H18" s="1571"/>
      <c r="I18" s="2554" t="s">
        <v>2485</v>
      </c>
      <c r="J18" s="975"/>
      <c r="K18" s="976"/>
    </row>
    <row r="19" spans="1:33" s="971" customFormat="1" ht="13.5" customHeight="1">
      <c r="A19" s="967" t="s">
        <v>805</v>
      </c>
      <c r="B19" s="968" t="s">
        <v>2486</v>
      </c>
      <c r="C19" s="24">
        <f ca="1">ROUND(D19*E19/10000,0)</f>
        <v>0</v>
      </c>
      <c r="D19" s="1029">
        <f ca="1">IF(C1="",'数据-汇总表'!E5,IF(INDIRECT("'数据-取费表'!c"&amp;$K$1)="住宅",INDIRECT("'数据-取费表'!k"&amp;$K$1),0))</f>
        <v>0</v>
      </c>
      <c r="E19" s="24">
        <f>'数据-取费表'!B27</f>
        <v>75</v>
      </c>
      <c r="F19" s="972"/>
      <c r="G19" s="15"/>
      <c r="H19" s="1573"/>
      <c r="I19" s="977"/>
      <c r="J19" s="977"/>
      <c r="K19" s="978"/>
    </row>
    <row r="20" spans="1:33" s="971" customFormat="1" ht="13.5" customHeight="1">
      <c r="A20" s="967" t="s">
        <v>806</v>
      </c>
      <c r="B20" s="968" t="s">
        <v>2487</v>
      </c>
      <c r="C20" s="24">
        <f ca="1">ROUND(D20*E20/10000,0)</f>
        <v>26</v>
      </c>
      <c r="D20" s="1029">
        <f ca="1">IF(C1="",'数据-汇总表'!E6,IF(INDIRECT("'数据-取费表'!c"&amp;$K$1)="住宅",INDIRECT("'数据-取费表'!s"&amp;$K$1),INDIRECT("'数据-取费表'!k"&amp;$K$1)+INDIRECT("'数据-取费表'!s"&amp;$K$1)))</f>
        <v>3497.5499999999993</v>
      </c>
      <c r="E20" s="24">
        <f>'数据-取费表'!B28</f>
        <v>75</v>
      </c>
      <c r="F20" s="972"/>
      <c r="G20" s="15"/>
      <c r="H20" s="977"/>
      <c r="I20" s="977"/>
      <c r="J20" s="977"/>
      <c r="K20" s="978"/>
    </row>
    <row r="21" spans="1:33" s="971" customFormat="1" ht="13.5" customHeight="1">
      <c r="A21" s="957" t="s">
        <v>802</v>
      </c>
      <c r="B21" s="981" t="s">
        <v>2488</v>
      </c>
      <c r="C21" s="982">
        <f ca="1">C16+C17+C18</f>
        <v>108</v>
      </c>
      <c r="D21" s="983"/>
      <c r="E21" s="325"/>
      <c r="F21" s="325"/>
      <c r="G21" s="140" t="s">
        <v>2489</v>
      </c>
      <c r="H21" s="975"/>
      <c r="I21" s="975"/>
      <c r="J21" s="975"/>
      <c r="K21" s="976"/>
    </row>
    <row r="22" spans="1:33" s="971" customFormat="1" ht="13.5" customHeight="1">
      <c r="A22" s="957" t="s">
        <v>2461</v>
      </c>
      <c r="B22" s="981" t="s">
        <v>2490</v>
      </c>
      <c r="C22" s="982">
        <f ca="1">ROUND(C21*F22,0)</f>
        <v>2</v>
      </c>
      <c r="D22" s="325"/>
      <c r="E22" s="325"/>
      <c r="F22" s="984">
        <f>'数据-取费表'!B37</f>
        <v>0.02</v>
      </c>
      <c r="G22" s="8" t="s">
        <v>2491</v>
      </c>
      <c r="H22" s="964"/>
      <c r="I22" s="964"/>
      <c r="J22" s="964"/>
      <c r="K22" s="965"/>
    </row>
    <row r="23" spans="1:33" s="971" customFormat="1" ht="13.5" customHeight="1">
      <c r="A23" s="957" t="s">
        <v>2463</v>
      </c>
      <c r="B23" s="981" t="s">
        <v>2492</v>
      </c>
      <c r="C23" s="982">
        <f ca="1">ROUND(C4*F23*F11,0)</f>
        <v>0</v>
      </c>
      <c r="D23" s="325"/>
      <c r="E23" s="325"/>
      <c r="F23" s="984">
        <f>'数据-取费表'!B38</f>
        <v>0.02</v>
      </c>
      <c r="G23" s="8" t="s">
        <v>2493</v>
      </c>
      <c r="H23" s="964"/>
      <c r="I23" s="964"/>
      <c r="J23" s="964"/>
      <c r="K23" s="965"/>
    </row>
    <row r="24" spans="1:33" s="971" customFormat="1" ht="13.5" customHeight="1">
      <c r="A24" s="957" t="s">
        <v>2494</v>
      </c>
      <c r="B24" s="981" t="s">
        <v>2495</v>
      </c>
      <c r="C24" s="324">
        <f>ROUND(F24/(1+'数据-取费表'!C42),4)</f>
        <v>2.9000000000000001E-2</v>
      </c>
      <c r="D24" s="325" t="s">
        <v>15</v>
      </c>
      <c r="E24" s="325"/>
      <c r="F24" s="984">
        <f>IF(项目基本情况!B8="出让",0,'数据-取费表'!B48+'数据-取费表'!B49)</f>
        <v>3.0499999999999999E-2</v>
      </c>
      <c r="G24" s="8" t="s">
        <v>2496</v>
      </c>
      <c r="H24" s="986"/>
      <c r="I24" s="986"/>
      <c r="J24" s="986"/>
      <c r="K24" s="987"/>
    </row>
    <row r="25" spans="1:33" s="971" customFormat="1" ht="13.5" customHeight="1">
      <c r="A25" s="957" t="s">
        <v>2497</v>
      </c>
      <c r="B25" s="983" t="s">
        <v>2498</v>
      </c>
      <c r="C25" s="1350">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6"/>
      <c r="I25" s="986"/>
      <c r="J25" s="986"/>
      <c r="K25" s="987"/>
    </row>
    <row r="26" spans="1:33" s="989" customFormat="1" ht="13.5" customHeight="1">
      <c r="A26" s="967" t="s">
        <v>803</v>
      </c>
      <c r="B26" s="988" t="s">
        <v>2499</v>
      </c>
      <c r="C26" s="1351">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5"/>
      <c r="I26" s="975"/>
      <c r="J26" s="975"/>
      <c r="K26" s="976"/>
    </row>
    <row r="27" spans="1:33" s="989" customFormat="1" ht="13.5" customHeight="1">
      <c r="A27" s="967" t="s">
        <v>804</v>
      </c>
      <c r="B27" s="988" t="s">
        <v>2500</v>
      </c>
      <c r="C27" s="1352">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5"/>
      <c r="I27" s="975"/>
      <c r="J27" s="975"/>
      <c r="K27" s="976"/>
    </row>
    <row r="28" spans="1:33" s="333" customFormat="1" ht="13.5" customHeight="1">
      <c r="A28" s="957" t="s">
        <v>2501</v>
      </c>
      <c r="B28" s="2556" t="s">
        <v>2502</v>
      </c>
      <c r="C28" s="331">
        <f ca="1">C30</f>
        <v>17</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2503</v>
      </c>
      <c r="C29" s="328">
        <f ca="1">ROUND((1+C24)*F28*'数据-取费表'!B24/'数据-取费表'!B20,4)</f>
        <v>0</v>
      </c>
      <c r="D29" s="328"/>
      <c r="E29" s="329"/>
      <c r="F29" s="334"/>
      <c r="G29" s="140" t="s">
        <v>2504</v>
      </c>
      <c r="H29" s="975"/>
      <c r="I29" s="975"/>
      <c r="J29" s="975"/>
      <c r="K29" s="976"/>
    </row>
    <row r="30" spans="1:33" s="335" customFormat="1" ht="13.5" customHeight="1">
      <c r="A30" s="967" t="s">
        <v>804</v>
      </c>
      <c r="B30" s="990" t="s">
        <v>2505</v>
      </c>
      <c r="C30" s="336">
        <f ca="1">ROUND((C21+C22+C23)*F28,0)</f>
        <v>17</v>
      </c>
      <c r="D30" s="328"/>
      <c r="E30" s="329"/>
      <c r="F30" s="334"/>
      <c r="G30" s="140"/>
      <c r="H30" s="975"/>
      <c r="I30" s="975"/>
      <c r="J30" s="975"/>
      <c r="K30" s="976"/>
    </row>
    <row r="31" spans="1:33" s="971" customFormat="1" ht="13.5" customHeight="1" thickBot="1">
      <c r="A31" s="2557" t="s">
        <v>2506</v>
      </c>
      <c r="B31" s="1001" t="s">
        <v>2507</v>
      </c>
      <c r="C31" s="1002">
        <f>ROUND(C4*F31/(1+'数据-取费表'!C42),0)</f>
        <v>0</v>
      </c>
      <c r="D31" s="1003"/>
      <c r="E31" s="1004"/>
      <c r="F31" s="1005">
        <f>'数据-取费表'!B41</f>
        <v>5.5000000000000007E-2</v>
      </c>
      <c r="G31" s="1006" t="s">
        <v>2508</v>
      </c>
      <c r="H31" s="1007"/>
      <c r="I31" s="1007"/>
      <c r="J31" s="1007"/>
      <c r="K31" s="1008"/>
    </row>
    <row r="32" spans="1:33" s="966" customFormat="1" ht="13.5" customHeight="1" thickBot="1">
      <c r="A32" s="996" t="s">
        <v>2509</v>
      </c>
      <c r="B32" s="997"/>
      <c r="C32" s="998">
        <f ca="1">ROUND((C4-C21-C22-C23-C25-C28-C31)/(1+C24+D25+D28),0)</f>
        <v>-123</v>
      </c>
      <c r="D32" s="997"/>
      <c r="E32" s="997"/>
      <c r="F32" s="997"/>
      <c r="G32" s="999" t="s">
        <v>2510</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37" sqref="I37"/>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8"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1584</v>
      </c>
      <c r="B1" s="778"/>
      <c r="C1" s="1831" t="s">
        <v>3459</v>
      </c>
      <c r="D1" s="1814" t="s">
        <v>70</v>
      </c>
      <c r="E1" s="1815" t="s">
        <v>1382</v>
      </c>
      <c r="F1" s="1277">
        <f ca="1">J53</f>
        <v>30.89</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1585</v>
      </c>
      <c r="B2" s="1838">
        <f ca="1">ROUND(D2/10000,0)</f>
        <v>5564</v>
      </c>
      <c r="C2" s="1839" t="s">
        <v>1586</v>
      </c>
      <c r="D2" s="1931">
        <f ca="1">C40+J29+L46</f>
        <v>55641600</v>
      </c>
      <c r="E2" s="1840" t="s">
        <v>1587</v>
      </c>
      <c r="F2" s="1841"/>
      <c r="G2" s="1842"/>
      <c r="H2" s="1834"/>
      <c r="I2" s="1834"/>
      <c r="J2" s="1834"/>
      <c r="K2" s="1835"/>
      <c r="L2" s="1834"/>
      <c r="M2" s="1834"/>
    </row>
    <row r="3" spans="1:37" ht="18" customHeight="1" thickBot="1">
      <c r="A3" s="1843" t="s">
        <v>1588</v>
      </c>
      <c r="B3" s="1844">
        <f ca="1">IF(ISERROR(D2/F43),0,ROUND(D2/F43,0))</f>
        <v>15909</v>
      </c>
      <c r="C3" s="1839" t="s">
        <v>1589</v>
      </c>
      <c r="D3" s="1839"/>
      <c r="E3" s="1840"/>
      <c r="F3" s="1841"/>
      <c r="G3" s="1842"/>
      <c r="H3" s="740" t="s">
        <v>1583</v>
      </c>
      <c r="I3" s="1834"/>
      <c r="J3" s="1834"/>
      <c r="K3" s="1835"/>
      <c r="L3" s="1834"/>
      <c r="M3" s="1834"/>
    </row>
    <row r="4" spans="1:37" ht="18" customHeight="1">
      <c r="A4" s="340" t="s">
        <v>1590</v>
      </c>
      <c r="B4" s="341" t="s">
        <v>1591</v>
      </c>
      <c r="C4" s="341" t="s">
        <v>1592</v>
      </c>
      <c r="D4" s="341" t="s">
        <v>1593</v>
      </c>
      <c r="E4" s="342" t="s">
        <v>1594</v>
      </c>
      <c r="F4" s="343"/>
      <c r="G4" s="1845"/>
      <c r="H4" s="340" t="s">
        <v>1590</v>
      </c>
      <c r="I4" s="341" t="s">
        <v>1591</v>
      </c>
      <c r="J4" s="341" t="s">
        <v>1592</v>
      </c>
      <c r="K4" s="341" t="s">
        <v>1593</v>
      </c>
      <c r="L4" s="342" t="s">
        <v>1594</v>
      </c>
      <c r="M4" s="343"/>
    </row>
    <row r="5" spans="1:37" ht="18" customHeight="1">
      <c r="A5" s="344">
        <v>1</v>
      </c>
      <c r="B5" s="345" t="s">
        <v>1595</v>
      </c>
      <c r="C5" s="1286">
        <f ca="1">C6+C10+C12</f>
        <v>3455453</v>
      </c>
      <c r="D5" s="1816" t="s">
        <v>1596</v>
      </c>
      <c r="E5" s="1287"/>
      <c r="F5" s="1288"/>
      <c r="G5" s="1845"/>
      <c r="H5" s="344">
        <v>1</v>
      </c>
      <c r="I5" s="345" t="s">
        <v>1595</v>
      </c>
      <c r="J5" s="1286">
        <f ca="1">J6+J10+J12</f>
        <v>0</v>
      </c>
      <c r="K5" s="1816" t="s">
        <v>1596</v>
      </c>
      <c r="L5" s="1287"/>
      <c r="M5" s="1288"/>
    </row>
    <row r="6" spans="1:37" ht="18" customHeight="1">
      <c r="A6" s="1285" t="s">
        <v>1032</v>
      </c>
      <c r="B6" s="3257" t="s">
        <v>1398</v>
      </c>
      <c r="C6" s="1290">
        <f ca="1">ROUND(F6*F8*F7*(1-F9),0)</f>
        <v>3446836</v>
      </c>
      <c r="D6" s="164" t="s">
        <v>3019</v>
      </c>
      <c r="E6" s="347" t="s">
        <v>1400</v>
      </c>
      <c r="F6" s="348">
        <f ca="1">INDIRECT("'数据-取费表'!u"&amp;$G$1)</f>
        <v>3</v>
      </c>
      <c r="G6" s="1845"/>
      <c r="H6" s="1285" t="s">
        <v>1032</v>
      </c>
      <c r="I6" s="3257" t="s">
        <v>1398</v>
      </c>
      <c r="J6" s="346">
        <f ca="1">ROUND(M6*M8*M7*(1-M9),0)</f>
        <v>0</v>
      </c>
      <c r="K6" s="1828" t="s">
        <v>3020</v>
      </c>
      <c r="L6" s="347" t="s">
        <v>1400</v>
      </c>
      <c r="M6" s="348">
        <f ca="1">INDIRECT("'数据-取费表'!z"&amp;$G$1)</f>
        <v>0</v>
      </c>
    </row>
    <row r="7" spans="1:37" ht="18" customHeight="1">
      <c r="A7" s="1289"/>
      <c r="B7" s="3258"/>
      <c r="C7" s="1291"/>
      <c r="D7" s="352"/>
      <c r="E7" s="1292" t="s">
        <v>1401</v>
      </c>
      <c r="F7" s="348">
        <f ca="1">IF(INDIRECT("'数据-取费表'!ah"&amp;$G$1)="",INDIRECT("'数据-取费表'!k"&amp;$G$1),INDIRECT("'数据-取费表'!ah"&amp;$G$1))</f>
        <v>3497.5499999999993</v>
      </c>
      <c r="G7" s="1845"/>
      <c r="H7" s="349"/>
      <c r="I7" s="3258"/>
      <c r="J7" s="351"/>
      <c r="K7" s="352"/>
      <c r="L7" s="347" t="s">
        <v>1401</v>
      </c>
      <c r="M7" s="348">
        <f ca="1">F7</f>
        <v>3497.5499999999993</v>
      </c>
    </row>
    <row r="8" spans="1:37" ht="18" customHeight="1">
      <c r="A8" s="349"/>
      <c r="B8" s="3258"/>
      <c r="C8" s="351"/>
      <c r="D8" s="352"/>
      <c r="E8" s="347" t="s">
        <v>1402</v>
      </c>
      <c r="F8" s="348">
        <f ca="1">INDIRECT("'数据-取费表'!ai"&amp;$G$1)</f>
        <v>365</v>
      </c>
      <c r="G8" s="1845"/>
      <c r="H8" s="349"/>
      <c r="I8" s="3258"/>
      <c r="J8" s="351"/>
      <c r="K8" s="352"/>
      <c r="L8" s="347" t="s">
        <v>1402</v>
      </c>
      <c r="M8" s="348">
        <f ca="1">INDIRECT("'数据-取费表'!ai"&amp;$G$1)</f>
        <v>365</v>
      </c>
    </row>
    <row r="9" spans="1:37" ht="18" customHeight="1">
      <c r="A9" s="349"/>
      <c r="B9" s="3259"/>
      <c r="C9" s="351"/>
      <c r="D9" s="352"/>
      <c r="E9" s="347" t="s">
        <v>1403</v>
      </c>
      <c r="F9" s="357">
        <f ca="1">INDIRECT("'数据-取费表'!w"&amp;$G$1)</f>
        <v>0.1</v>
      </c>
      <c r="G9" s="1845"/>
      <c r="H9" s="349"/>
      <c r="I9" s="3259"/>
      <c r="J9" s="351"/>
      <c r="K9" s="352"/>
      <c r="L9" s="358" t="s">
        <v>1403</v>
      </c>
      <c r="M9" s="359">
        <f ca="1">INDIRECT("'数据-取费表'!ab"&amp;$G$1)</f>
        <v>0</v>
      </c>
    </row>
    <row r="10" spans="1:37" ht="18" customHeight="1">
      <c r="A10" s="1285" t="s">
        <v>1036</v>
      </c>
      <c r="B10" s="1817" t="s">
        <v>1404</v>
      </c>
      <c r="C10" s="361">
        <f ca="1">ROUND(IF(F10="押一",C6/12*F11,IF(F10="押二",C6/12*2*F11,IF(F10="押三",C6/12*3*F11,C11*F11))),0)</f>
        <v>8617</v>
      </c>
      <c r="D10" s="1818" t="s">
        <v>3030</v>
      </c>
      <c r="E10" s="358" t="s">
        <v>1405</v>
      </c>
      <c r="F10" s="1360" t="s">
        <v>3463</v>
      </c>
      <c r="G10" s="1845"/>
      <c r="H10" s="1285" t="s">
        <v>1036</v>
      </c>
      <c r="I10" s="1817" t="s">
        <v>1404</v>
      </c>
      <c r="J10" s="346">
        <f ca="1">ROUND(IF(M10="押一",J6/12*M11,IF(M10="押二",J6/12*2*M11,IF(M10="押三",J6/12*3*M11,J11*M11))),0)</f>
        <v>0</v>
      </c>
      <c r="K10" s="1829" t="s">
        <v>3032</v>
      </c>
      <c r="L10" s="358" t="s">
        <v>1405</v>
      </c>
      <c r="M10" s="1360"/>
    </row>
    <row r="11" spans="1:37" ht="18" customHeight="1">
      <c r="A11" s="353"/>
      <c r="B11" s="1819" t="s">
        <v>1597</v>
      </c>
      <c r="C11" s="1174"/>
      <c r="D11" s="352"/>
      <c r="E11" s="358" t="s">
        <v>1407</v>
      </c>
      <c r="F11" s="359">
        <f ca="1">'数据-取费表'!B39</f>
        <v>1.4999999999999999E-2</v>
      </c>
      <c r="G11" s="1845"/>
      <c r="H11" s="1293"/>
      <c r="I11" s="1819" t="s">
        <v>1598</v>
      </c>
      <c r="J11" s="1174"/>
      <c r="K11" s="744"/>
      <c r="L11" s="358" t="s">
        <v>1407</v>
      </c>
      <c r="M11" s="1052">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5">
        <f ca="1">ROUND(C29*F13,0)</f>
        <v>10351945</v>
      </c>
      <c r="D13" s="1325" t="s">
        <v>1410</v>
      </c>
      <c r="E13" s="1325" t="s">
        <v>1411</v>
      </c>
      <c r="F13" s="1326">
        <f ca="1">INDIRECT("'数据-取费表'!y"&amp;$G$1)</f>
        <v>0.9</v>
      </c>
      <c r="G13" s="1845"/>
      <c r="H13" s="1323">
        <v>2</v>
      </c>
      <c r="I13" s="1324" t="s">
        <v>1409</v>
      </c>
      <c r="J13" s="1284">
        <f ca="1">ROUND(J14*J15,0)</f>
        <v>0</v>
      </c>
      <c r="K13" s="1331" t="s">
        <v>1410</v>
      </c>
      <c r="L13" s="1846"/>
      <c r="M13" s="1847"/>
    </row>
    <row r="14" spans="1:37" ht="18" customHeight="1">
      <c r="A14" s="1197" t="s">
        <v>1031</v>
      </c>
      <c r="B14" s="347" t="s">
        <v>1412</v>
      </c>
      <c r="C14" s="363">
        <f ca="1">ROUND(INDIRECT("'数据-取费表'!l"&amp;$G$1)*F43+'数据-取费表'!L14*INDIRECT("'数据-取费表'!S"&amp;$G$1),0)</f>
        <v>7694610</v>
      </c>
      <c r="D14" s="1794" t="s">
        <v>1413</v>
      </c>
      <c r="E14" s="1788"/>
      <c r="F14" s="364"/>
      <c r="G14" s="1845"/>
      <c r="H14" s="1197" t="s">
        <v>1032</v>
      </c>
      <c r="I14" s="347" t="s">
        <v>1414</v>
      </c>
      <c r="J14" s="24">
        <f ca="1">C29</f>
        <v>11502161</v>
      </c>
      <c r="K14" s="15"/>
      <c r="L14" s="975"/>
      <c r="M14" s="976"/>
    </row>
    <row r="15" spans="1:37" s="1852" customFormat="1" ht="18" customHeight="1" thickBot="1">
      <c r="A15" s="1197" t="s">
        <v>1033</v>
      </c>
      <c r="B15" s="347" t="s">
        <v>1415</v>
      </c>
      <c r="C15" s="24">
        <f ca="1">ROUND(C14*F15,0)</f>
        <v>384731</v>
      </c>
      <c r="D15" s="365" t="s">
        <v>1416</v>
      </c>
      <c r="E15" s="365" t="s">
        <v>1417</v>
      </c>
      <c r="F15" s="366">
        <f>'数据-取费表'!B33</f>
        <v>0.05</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1384</v>
      </c>
      <c r="B16" s="347" t="s">
        <v>1418</v>
      </c>
      <c r="C16" s="24">
        <f ca="1">ROUND(INDIRECT("'数据-取费表'!l"&amp;$G$1)*F43*F16,0)</f>
        <v>0</v>
      </c>
      <c r="D16" s="347" t="s">
        <v>1416</v>
      </c>
      <c r="E16" s="347" t="s">
        <v>1417</v>
      </c>
      <c r="F16" s="367">
        <f ca="1">IF(INDIRECT("'数据-取费表'!c"&amp;$G$1)="住宅",'数据-取费表'!B34,0)</f>
        <v>0</v>
      </c>
      <c r="G16" s="1845"/>
      <c r="H16" s="1323" t="s">
        <v>1027</v>
      </c>
      <c r="I16" s="1324" t="s">
        <v>1419</v>
      </c>
      <c r="J16" s="355">
        <f ca="1">ROUND(J17+J22+J23+J24,0)</f>
        <v>269150</v>
      </c>
      <c r="K16" s="1331" t="s">
        <v>1420</v>
      </c>
      <c r="L16" s="1332"/>
      <c r="M16" s="1288"/>
    </row>
    <row r="17" spans="1:37" s="1852" customFormat="1" ht="18" customHeight="1">
      <c r="A17" s="1197" t="s">
        <v>1385</v>
      </c>
      <c r="B17" s="347" t="s">
        <v>1421</v>
      </c>
      <c r="C17" s="24">
        <f ca="1">ROUND(F17*(F43+INDIRECT("'数据-取费表'!S"&amp;$G$1)),0)</f>
        <v>699510</v>
      </c>
      <c r="D17" s="347" t="s">
        <v>1422</v>
      </c>
      <c r="E17" s="347" t="s">
        <v>1423</v>
      </c>
      <c r="F17" s="26">
        <f>'数据-取费表'!B35</f>
        <v>200</v>
      </c>
      <c r="G17" s="1848"/>
      <c r="H17" s="1197" t="s">
        <v>1032</v>
      </c>
      <c r="I17" s="347" t="s">
        <v>1424</v>
      </c>
      <c r="J17" s="24">
        <f ca="1">ROUND(IF(项目基本情况!B11="自然人",J6*M17/(1+'数据-取费表'!C42),J18+J19+J20),0)</f>
        <v>96618</v>
      </c>
      <c r="K17" s="1794" t="s">
        <v>1425</v>
      </c>
      <c r="L17" s="1792" t="s">
        <v>1426</v>
      </c>
      <c r="M17" s="368">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1386</v>
      </c>
      <c r="B18" s="347" t="s">
        <v>1427</v>
      </c>
      <c r="C18" s="24">
        <f ca="1">ROUND(C14*F18,0)</f>
        <v>115419</v>
      </c>
      <c r="D18" s="347" t="s">
        <v>1416</v>
      </c>
      <c r="E18" s="347" t="s">
        <v>1417</v>
      </c>
      <c r="F18" s="367">
        <f>'数据-取费表'!B36</f>
        <v>1.4999999999999999E-2</v>
      </c>
      <c r="G18" s="1848"/>
      <c r="H18" s="1197" t="s">
        <v>1031</v>
      </c>
      <c r="I18" s="347" t="s">
        <v>1428</v>
      </c>
      <c r="J18" s="24">
        <f ca="1">ROUND(J6*M18/(1+'数据-取费表'!C42),0)</f>
        <v>0</v>
      </c>
      <c r="K18" s="1792" t="s">
        <v>1429</v>
      </c>
      <c r="L18" s="347" t="s">
        <v>1417</v>
      </c>
      <c r="M18" s="367">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1032</v>
      </c>
      <c r="B19" s="347" t="s">
        <v>1430</v>
      </c>
      <c r="C19" s="24">
        <f ca="1">SUM(C14:C18)</f>
        <v>8894270</v>
      </c>
      <c r="D19" s="140" t="s">
        <v>1431</v>
      </c>
      <c r="E19" s="1812"/>
      <c r="F19" s="26"/>
      <c r="G19" s="1845"/>
      <c r="H19" s="1197" t="s">
        <v>1033</v>
      </c>
      <c r="I19" s="347" t="s">
        <v>1432</v>
      </c>
      <c r="J19" s="24">
        <f ca="1">IF(K19="按租金收入计税",ROUND(J6*M19/(1+'数据-取费表'!C42),0),ROUND(C29*M19*0.7,0))</f>
        <v>96618</v>
      </c>
      <c r="K19" s="1822" t="s">
        <v>1433</v>
      </c>
      <c r="L19" s="347" t="s">
        <v>1417</v>
      </c>
      <c r="M19" s="367">
        <f>IF(K19="按租金收入计税",'数据-取费表'!B51,'数据-取费表'!B50)</f>
        <v>1.2E-2</v>
      </c>
    </row>
    <row r="20" spans="1:37" s="1852" customFormat="1" ht="18" customHeight="1">
      <c r="A20" s="1197" t="s">
        <v>1036</v>
      </c>
      <c r="B20" s="347" t="s">
        <v>1434</v>
      </c>
      <c r="C20" s="24">
        <f ca="1">ROUND(C19*F20,0)</f>
        <v>177885</v>
      </c>
      <c r="D20" s="369" t="s">
        <v>1435</v>
      </c>
      <c r="E20" s="347" t="s">
        <v>1417</v>
      </c>
      <c r="F20" s="367">
        <f>'数据-取费表'!B37</f>
        <v>0.02</v>
      </c>
      <c r="G20" s="1848"/>
      <c r="H20" s="1197" t="s">
        <v>1384</v>
      </c>
      <c r="I20" s="164" t="s">
        <v>1436</v>
      </c>
      <c r="J20" s="25">
        <f ca="1">ROUND(M20*M21,0)</f>
        <v>0</v>
      </c>
      <c r="K20" s="370" t="s">
        <v>1437</v>
      </c>
      <c r="L20" s="347" t="s">
        <v>1438</v>
      </c>
      <c r="M20" s="371">
        <f>'数据-取费表'!B52</f>
        <v>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1072</v>
      </c>
      <c r="B21" s="347" t="s">
        <v>1439</v>
      </c>
      <c r="C21" s="24" t="s">
        <v>1</v>
      </c>
      <c r="D21" s="369" t="s">
        <v>1440</v>
      </c>
      <c r="E21" s="347" t="s">
        <v>1441</v>
      </c>
      <c r="F21" s="367">
        <f>'数据-取费表'!B38</f>
        <v>0.02</v>
      </c>
      <c r="G21" s="1848"/>
      <c r="H21" s="372"/>
      <c r="I21" s="356"/>
      <c r="J21" s="29"/>
      <c r="K21" s="373"/>
      <c r="L21" s="347" t="s">
        <v>1442</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1387</v>
      </c>
      <c r="B22" s="347" t="s">
        <v>1443</v>
      </c>
      <c r="C22" s="24"/>
      <c r="D22" s="140" t="str">
        <f>IF(F23&lt;=1,"单利计息。","复利计息。")&amp;"建造成本、管理费用、销售费用产生的利息。"</f>
        <v>单利计息。建造成本、管理费用、销售费用产生的利息。</v>
      </c>
      <c r="E22" s="1812"/>
      <c r="F22" s="26"/>
      <c r="G22" s="1845"/>
      <c r="H22" s="1197" t="s">
        <v>1036</v>
      </c>
      <c r="I22" s="347" t="s">
        <v>1444</v>
      </c>
      <c r="J22" s="24">
        <f ca="1">ROUND(J14*M22,0)</f>
        <v>172532</v>
      </c>
      <c r="K22" s="1792" t="s">
        <v>1445</v>
      </c>
      <c r="L22" s="347" t="s">
        <v>1417</v>
      </c>
      <c r="M22" s="374">
        <f ca="1">INDIRECT("'数据-取费表'!Ak"&amp;$G$1)</f>
        <v>1.4999999999999999E-2</v>
      </c>
    </row>
    <row r="23" spans="1:37" s="1852" customFormat="1" ht="18" customHeight="1">
      <c r="A23" s="1197" t="s">
        <v>1031</v>
      </c>
      <c r="B23" s="347" t="s">
        <v>1446</v>
      </c>
      <c r="C23" s="24">
        <f ca="1">IF('数据-取费表'!B22&lt;=1,ROUND(C19*F24*F23/2,0)+ROUND(C20*F24*F23/2,0),ROUND(C19*(POWER((1+F24),F23/2)-1),0)+ROUND(C20*(POWER((1+F24),F23/2)-1),0))</f>
        <v>197319</v>
      </c>
      <c r="D23" s="375" t="str">
        <f>IF(F23&lt;=1,"(建造成本+管理费用)×利率×(建设周期÷2)","(建造成本+管理费用)×((1+利率)^(建设周期÷2)-1)")</f>
        <v>(建造成本+管理费用)×利率×(建设周期÷2)</v>
      </c>
      <c r="E23" s="347" t="s">
        <v>1447</v>
      </c>
      <c r="F23" s="371">
        <f>'数据-取费表'!B20</f>
        <v>1</v>
      </c>
      <c r="G23" s="1848"/>
      <c r="H23" s="1197" t="s">
        <v>1072</v>
      </c>
      <c r="I23" s="347" t="s">
        <v>1448</v>
      </c>
      <c r="J23" s="24">
        <f ca="1">ROUND(J13*M23,0)</f>
        <v>0</v>
      </c>
      <c r="K23" s="1792" t="s">
        <v>1449</v>
      </c>
      <c r="L23" s="347" t="s">
        <v>1450</v>
      </c>
      <c r="M23" s="376">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48"/>
      <c r="H24" s="1333" t="s">
        <v>1388</v>
      </c>
      <c r="I24" s="1334" t="s">
        <v>1434</v>
      </c>
      <c r="J24" s="1335">
        <f ca="1">ROUND(J5*M24,0)</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1455</v>
      </c>
      <c r="B25" s="347" t="s">
        <v>1456</v>
      </c>
      <c r="C25" s="24"/>
      <c r="D25" s="140" t="s">
        <v>1457</v>
      </c>
      <c r="E25" s="1812"/>
      <c r="F25" s="26"/>
      <c r="G25" s="1845"/>
      <c r="H25" s="1323" t="s">
        <v>1028</v>
      </c>
      <c r="I25" s="1338" t="s">
        <v>1458</v>
      </c>
      <c r="J25" s="355">
        <f ca="1">J5-J16</f>
        <v>-269150</v>
      </c>
      <c r="K25" s="1339" t="s">
        <v>1459</v>
      </c>
      <c r="L25" s="1340"/>
      <c r="M25" s="1341"/>
    </row>
    <row r="26" spans="1:37" ht="18" customHeight="1">
      <c r="A26" s="1197" t="s">
        <v>1031</v>
      </c>
      <c r="B26" s="347" t="s">
        <v>1460</v>
      </c>
      <c r="C26" s="24">
        <f ca="1">ROUND((C19+C20)*F26,0)</f>
        <v>1360823</v>
      </c>
      <c r="D26" s="369" t="s">
        <v>1461</v>
      </c>
      <c r="E26" s="358" t="s">
        <v>1462</v>
      </c>
      <c r="F26" s="357">
        <f ca="1">INDIRECT("'数据-取费表'!q"&amp;$G$1)</f>
        <v>0.15</v>
      </c>
      <c r="G26" s="1845"/>
      <c r="H26" s="344" t="s">
        <v>1029</v>
      </c>
      <c r="I26" s="345" t="s">
        <v>1463</v>
      </c>
      <c r="J26" s="346">
        <f ca="1">IF(J5&lt;&gt;0,ROUND(J25*(1-((1+M28)/(1+M26))^M27)/(M26-M28),0),0)</f>
        <v>0</v>
      </c>
      <c r="K26" s="370" t="s">
        <v>1464</v>
      </c>
      <c r="L26" s="347" t="s">
        <v>1465</v>
      </c>
      <c r="M26" s="357">
        <f ca="1">INDIRECT("'数据-取费表'!I"&amp;$G$1)</f>
        <v>5.5E-2</v>
      </c>
    </row>
    <row r="27" spans="1:37" ht="18" customHeight="1">
      <c r="A27" s="1197" t="s">
        <v>1033</v>
      </c>
      <c r="B27" s="347" t="s">
        <v>1466</v>
      </c>
      <c r="C27" s="24">
        <f ca="1">ROUND(F21*F26,4)</f>
        <v>3.0000000000000001E-3</v>
      </c>
      <c r="D27" s="369" t="s">
        <v>1467</v>
      </c>
      <c r="E27" s="365"/>
      <c r="F27" s="366"/>
      <c r="G27" s="1845"/>
      <c r="H27" s="349"/>
      <c r="I27" s="350"/>
      <c r="J27" s="351"/>
      <c r="K27" s="378" t="s">
        <v>1468</v>
      </c>
      <c r="L27" s="347" t="s">
        <v>1469</v>
      </c>
      <c r="M27" s="379">
        <f ca="1">INDIRECT("'数据-取费表'!ag"&amp;$G$1)</f>
        <v>0</v>
      </c>
    </row>
    <row r="28" spans="1:37" s="1852" customFormat="1" ht="18" customHeight="1">
      <c r="A28" s="1197" t="s">
        <v>1034</v>
      </c>
      <c r="B28" s="347" t="s">
        <v>1470</v>
      </c>
      <c r="C28" s="24">
        <f>ROUND(F28/(1+'数据-取费表'!C42),4)</f>
        <v>5.2400000000000002E-2</v>
      </c>
      <c r="D28" s="369" t="s">
        <v>1471</v>
      </c>
      <c r="E28" s="347" t="s">
        <v>1417</v>
      </c>
      <c r="F28" s="367">
        <f>'数据-取费表'!B41</f>
        <v>5.5000000000000007E-2</v>
      </c>
      <c r="G28" s="1848"/>
      <c r="H28" s="353"/>
      <c r="I28" s="354"/>
      <c r="J28" s="355"/>
      <c r="K28" s="373"/>
      <c r="L28" s="347" t="s">
        <v>1472</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11502161</v>
      </c>
      <c r="D29" s="1336"/>
      <c r="E29" s="1334"/>
      <c r="F29" s="1337"/>
      <c r="G29" s="1848"/>
      <c r="H29" s="380" t="s">
        <v>1030</v>
      </c>
      <c r="I29" s="381" t="s">
        <v>1474</v>
      </c>
      <c r="J29" s="382">
        <f ca="1">ROUND(J26/(1+F40)^F41,0)</f>
        <v>0</v>
      </c>
      <c r="K29" s="383" t="s">
        <v>1475</v>
      </c>
      <c r="L29" s="384"/>
      <c r="M29" s="385">
        <f ca="1">INDIRECT("'数据-取费表'!k"&amp;$G$1)</f>
        <v>3497.5499999999993</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5">
        <f ca="1">ROUND(C31+C36+C37+C38,0)</f>
        <v>797088</v>
      </c>
      <c r="D30" s="1331" t="s">
        <v>1420</v>
      </c>
      <c r="E30" s="1332"/>
      <c r="F30" s="1288"/>
      <c r="G30" s="1845"/>
      <c r="H30" s="741"/>
      <c r="I30" s="742"/>
      <c r="J30" s="743"/>
      <c r="K30" s="744"/>
      <c r="L30" s="745"/>
      <c r="M30" s="746"/>
    </row>
    <row r="31" spans="1:37" ht="18" customHeight="1">
      <c r="A31" s="1197" t="s">
        <v>1032</v>
      </c>
      <c r="B31" s="347" t="s">
        <v>1424</v>
      </c>
      <c r="C31" s="24">
        <f ca="1">ROUND(IF(项目基本情况!B11="自然人",C6*F31/(1+'数据-取费表'!C42),C32+C33+C34),0)</f>
        <v>574473</v>
      </c>
      <c r="D31" s="1794" t="s">
        <v>1425</v>
      </c>
      <c r="E31" s="1792" t="s">
        <v>1476</v>
      </c>
      <c r="F31" s="368">
        <f ca="1">IF(项目基本情况!B11="企业","",IF(INDIRECT("'数据-取费表'!c"&amp;$G$1)="住宅",5%,IF(F6*F7*F8/12/(1+'数据-取费表'!C42)&gt;20000,12%,7%)))</f>
        <v>0.12</v>
      </c>
      <c r="G31" s="1845"/>
      <c r="H31" s="741"/>
      <c r="I31" s="742"/>
      <c r="J31" s="743"/>
      <c r="K31" s="744"/>
      <c r="L31" s="745"/>
      <c r="M31" s="746"/>
    </row>
    <row r="32" spans="1:37" ht="18" customHeight="1">
      <c r="A32" s="1197" t="s">
        <v>1031</v>
      </c>
      <c r="B32" s="347" t="s">
        <v>1428</v>
      </c>
      <c r="C32" s="24">
        <f ca="1">IF(项目基本情况!B11="自然人","——",ROUND(C6*F32/(1+'数据-取费表'!C42),0))</f>
        <v>180549</v>
      </c>
      <c r="D32" s="1792" t="s">
        <v>1429</v>
      </c>
      <c r="E32" s="347" t="s">
        <v>1417</v>
      </c>
      <c r="F32" s="377">
        <f>'数据-取费表'!B41</f>
        <v>5.5000000000000007E-2</v>
      </c>
      <c r="G32" s="1845"/>
      <c r="H32" s="741"/>
      <c r="I32" s="742"/>
      <c r="J32" s="743"/>
      <c r="K32" s="744"/>
      <c r="L32" s="745"/>
      <c r="M32" s="746"/>
    </row>
    <row r="33" spans="1:18" ht="18" customHeight="1">
      <c r="A33" s="1197" t="s">
        <v>1033</v>
      </c>
      <c r="B33" s="347" t="s">
        <v>1432</v>
      </c>
      <c r="C33" s="24">
        <f ca="1">IF(项目基本情况!B11="自然人","——",IF(D33="按租金收入计税",ROUND(C6*F33/(1+'数据-取费表'!C42),0),IF(D33="按房产原值计税",ROUND(C29*F33*0.7,0),INDIRECT("'数据-取费表'!Aj"&amp;$G$1))))</f>
        <v>393924</v>
      </c>
      <c r="D33" s="1822" t="s">
        <v>3462</v>
      </c>
      <c r="E33" s="347" t="s">
        <v>1417</v>
      </c>
      <c r="F33" s="367">
        <f>IF(D33="按票据","——",IF(D33="按租金收入计税",'数据-取费表'!B51,'数据-取费表'!B50))</f>
        <v>0.12</v>
      </c>
      <c r="G33" s="1845"/>
      <c r="H33" s="1853"/>
      <c r="I33" s="1854"/>
      <c r="J33" s="1855"/>
      <c r="K33" s="1856"/>
      <c r="L33" s="1853"/>
      <c r="M33" s="1853"/>
    </row>
    <row r="34" spans="1:18" ht="18" customHeight="1">
      <c r="A34" s="1285" t="s">
        <v>1384</v>
      </c>
      <c r="B34" s="164" t="s">
        <v>1436</v>
      </c>
      <c r="C34" s="25">
        <f ca="1">IF(项目基本情况!B11="自然人","——",ROUND(F34*F35,))</f>
        <v>0</v>
      </c>
      <c r="D34" s="370" t="s">
        <v>1437</v>
      </c>
      <c r="E34" s="347" t="s">
        <v>1438</v>
      </c>
      <c r="F34" s="371">
        <f>'数据-取费表'!B52</f>
        <v>4</v>
      </c>
      <c r="G34" s="1845"/>
      <c r="H34" s="741"/>
      <c r="I34" s="1854"/>
      <c r="J34" s="1855"/>
      <c r="K34" s="1857"/>
      <c r="L34" s="1858"/>
      <c r="M34" s="1858"/>
    </row>
    <row r="35" spans="1:18" ht="18" customHeight="1">
      <c r="A35" s="1347"/>
      <c r="B35" s="1345"/>
      <c r="C35" s="29"/>
      <c r="D35" s="373"/>
      <c r="E35" s="347" t="s">
        <v>1442</v>
      </c>
      <c r="F35" s="348">
        <f ca="1">INDIRECT("'数据-取费表'!r"&amp;$G$1)</f>
        <v>0</v>
      </c>
      <c r="G35" s="1845"/>
      <c r="H35" s="741"/>
      <c r="I35" s="1854"/>
      <c r="J35" s="1855"/>
      <c r="K35" s="1856"/>
      <c r="L35" s="1853"/>
      <c r="M35" s="1853"/>
    </row>
    <row r="36" spans="1:18" ht="18" customHeight="1">
      <c r="A36" s="1346" t="s">
        <v>1036</v>
      </c>
      <c r="B36" s="347" t="s">
        <v>1444</v>
      </c>
      <c r="C36" s="24">
        <f ca="1">ROUND(C29*F36,0)</f>
        <v>172532</v>
      </c>
      <c r="D36" s="1792" t="s">
        <v>1477</v>
      </c>
      <c r="E36" s="347" t="s">
        <v>1417</v>
      </c>
      <c r="F36" s="374">
        <f ca="1">INDIRECT("'数据-取费表'!Ak"&amp;$G$1)</f>
        <v>1.4999999999999999E-2</v>
      </c>
      <c r="G36" s="1845"/>
      <c r="H36" s="1853"/>
      <c r="I36" s="1854"/>
      <c r="J36" s="1855"/>
      <c r="K36" s="747"/>
      <c r="L36" s="1853"/>
      <c r="M36" s="1853"/>
    </row>
    <row r="37" spans="1:18" ht="18" customHeight="1">
      <c r="A37" s="1197" t="s">
        <v>1072</v>
      </c>
      <c r="B37" s="347" t="s">
        <v>1448</v>
      </c>
      <c r="C37" s="24">
        <f ca="1">ROUND(C13*F37,0)</f>
        <v>15528</v>
      </c>
      <c r="D37" s="1792" t="s">
        <v>1449</v>
      </c>
      <c r="E37" s="347" t="s">
        <v>1450</v>
      </c>
      <c r="F37" s="376">
        <f ca="1">INDIRECT("'数据-取费表'!Al"&amp;$G$1)</f>
        <v>1.5E-3</v>
      </c>
      <c r="G37" s="1845"/>
      <c r="H37" s="1853"/>
      <c r="I37" s="1854"/>
      <c r="J37" s="1855"/>
      <c r="K37" s="747"/>
      <c r="L37" s="1853"/>
      <c r="M37" s="1853"/>
    </row>
    <row r="38" spans="1:18" ht="18" customHeight="1" thickBot="1">
      <c r="A38" s="1333" t="s">
        <v>1388</v>
      </c>
      <c r="B38" s="1334" t="s">
        <v>1434</v>
      </c>
      <c r="C38" s="1335">
        <f ca="1">ROUND(C5*F38,1)</f>
        <v>34554.5</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5">
        <f ca="1">C5-C30</f>
        <v>2658365</v>
      </c>
      <c r="D39" s="1339" t="s">
        <v>1479</v>
      </c>
      <c r="E39" s="1340"/>
      <c r="F39" s="1341"/>
      <c r="G39" s="1845"/>
      <c r="H39" s="1853"/>
      <c r="I39" s="1854"/>
      <c r="J39" s="1855"/>
      <c r="K39" s="1859"/>
      <c r="L39" s="1853"/>
      <c r="M39" s="1853"/>
    </row>
    <row r="40" spans="1:18" ht="18" customHeight="1">
      <c r="A40" s="344" t="s">
        <v>1029</v>
      </c>
      <c r="B40" s="345" t="s">
        <v>1480</v>
      </c>
      <c r="C40" s="346">
        <f ca="1">ROUND(C39*(1-((1+F42)/(1+F40))^F41)/(F40-F42),0)</f>
        <v>55641600</v>
      </c>
      <c r="D40" s="370" t="s">
        <v>1464</v>
      </c>
      <c r="E40" s="347" t="s">
        <v>1465</v>
      </c>
      <c r="F40" s="357">
        <f ca="1">INDIRECT("'数据-取费表'!I"&amp;$G$1)</f>
        <v>5.5E-2</v>
      </c>
      <c r="G40" s="1845"/>
      <c r="H40" s="1833"/>
      <c r="I40" s="1854"/>
      <c r="J40" s="1855"/>
      <c r="K40" s="1859"/>
      <c r="L40" s="1833"/>
      <c r="M40" s="1833"/>
    </row>
    <row r="41" spans="1:18" ht="18" customHeight="1">
      <c r="A41" s="349"/>
      <c r="B41" s="350"/>
      <c r="C41" s="351"/>
      <c r="D41" s="378" t="s">
        <v>1481</v>
      </c>
      <c r="E41" s="347" t="s">
        <v>1469</v>
      </c>
      <c r="F41" s="379">
        <f ca="1">IF(INDIRECT("'数据-取费表'!af"&amp;$G$1)=0,INDIRECT("'数据-取费表'!ae"&amp;$G$1),INDIRECT("'数据-取费表'!af"&amp;$G$1))</f>
        <v>30.89</v>
      </c>
      <c r="G41" s="1845"/>
      <c r="H41" s="728"/>
      <c r="I41" s="1854"/>
      <c r="J41" s="1855"/>
      <c r="K41" s="747"/>
      <c r="L41" s="728"/>
      <c r="M41" s="728"/>
    </row>
    <row r="42" spans="1:18" ht="18" customHeight="1">
      <c r="A42" s="353"/>
      <c r="B42" s="354"/>
      <c r="C42" s="355"/>
      <c r="D42" s="373"/>
      <c r="E42" s="347" t="s">
        <v>1472</v>
      </c>
      <c r="F42" s="357">
        <f ca="1">INDIRECT("'数据-取费表'!v"&amp;$G$1)</f>
        <v>0.03</v>
      </c>
      <c r="G42" s="1845"/>
      <c r="H42" s="728"/>
      <c r="I42" s="1854"/>
      <c r="J42" s="1855"/>
      <c r="K42" s="747"/>
      <c r="L42" s="728"/>
      <c r="M42" s="728"/>
    </row>
    <row r="43" spans="1:18" ht="18" customHeight="1" thickBot="1">
      <c r="A43" s="380" t="s">
        <v>1030</v>
      </c>
      <c r="B43" s="381" t="s">
        <v>1482</v>
      </c>
      <c r="C43" s="382">
        <f ca="1">ROUND(C40/F43,0)</f>
        <v>15909</v>
      </c>
      <c r="D43" s="383" t="s">
        <v>1483</v>
      </c>
      <c r="E43" s="384" t="s">
        <v>1484</v>
      </c>
      <c r="F43" s="385">
        <f ca="1">INDIRECT("'数据-取费表'!k"&amp;$G$1)</f>
        <v>3497.5499999999993</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932">
        <f ca="1">C68-C40</f>
        <v>-79800762</v>
      </c>
      <c r="D45" s="1933" t="s">
        <v>1599</v>
      </c>
      <c r="E45" s="1860"/>
      <c r="F45" s="1860"/>
      <c r="O45" s="1863" t="s">
        <v>1514</v>
      </c>
      <c r="P45" s="1833"/>
      <c r="Q45" s="1833"/>
      <c r="R45" s="1833"/>
    </row>
    <row r="46" spans="1:18" s="1836" customFormat="1" ht="13.5" thickBot="1">
      <c r="A46" s="1864" t="s">
        <v>1515</v>
      </c>
      <c r="C46" s="1865">
        <f ca="1">ROUND(C45/10000,0)</f>
        <v>-7980</v>
      </c>
      <c r="D46" s="1866" t="str">
        <f>C2</f>
        <v>万元</v>
      </c>
      <c r="I46" s="1867" t="s">
        <v>1516</v>
      </c>
      <c r="J46" s="1868"/>
      <c r="K46" s="1869"/>
      <c r="L46" s="1870" t="str">
        <f ca="1">IF(M47="住宅",0,IF(L48&gt;J51,L60,J60))</f>
        <v>0</v>
      </c>
      <c r="O46" s="1871" t="s">
        <v>1517</v>
      </c>
      <c r="P46" s="1872" t="s">
        <v>1518</v>
      </c>
      <c r="Q46" s="1873" t="s">
        <v>1519</v>
      </c>
      <c r="R46" s="1873" t="s">
        <v>1520</v>
      </c>
    </row>
    <row r="47" spans="1:18" s="1836" customFormat="1" ht="13.5" thickBot="1">
      <c r="A47" s="1161" t="s">
        <v>1391</v>
      </c>
      <c r="B47" s="1193" t="s">
        <v>1392</v>
      </c>
      <c r="C47" s="1193" t="s">
        <v>1393</v>
      </c>
      <c r="D47" s="1193" t="s">
        <v>1394</v>
      </c>
      <c r="E47" s="1273" t="s">
        <v>1395</v>
      </c>
      <c r="F47" s="1274"/>
      <c r="G47" s="788"/>
      <c r="I47" s="1874" t="s">
        <v>1521</v>
      </c>
      <c r="J47" s="1875" t="s">
        <v>3460</v>
      </c>
      <c r="K47" s="1876" t="s">
        <v>1522</v>
      </c>
      <c r="L47" s="1877">
        <f ca="1">INDIRECT("'数据-取费表'!d"&amp;$G$1)</f>
        <v>40</v>
      </c>
      <c r="M47" s="1832" t="str">
        <f>IF(ISNUMBER(FIND("住宅",C1)),"住宅","非住宅")</f>
        <v>非住宅</v>
      </c>
      <c r="O47" s="1878" t="s">
        <v>1037</v>
      </c>
      <c r="P47" s="1879" t="s">
        <v>1523</v>
      </c>
      <c r="Q47" s="1880">
        <f ca="1">C40+J29</f>
        <v>55641600</v>
      </c>
      <c r="R47" s="1880" t="s">
        <v>1524</v>
      </c>
    </row>
    <row r="48" spans="1:18" s="1836" customFormat="1" ht="28.5" thickBot="1">
      <c r="A48" s="1354" t="s">
        <v>1132</v>
      </c>
      <c r="B48" s="345" t="s">
        <v>1396</v>
      </c>
      <c r="C48" s="1811">
        <f ca="1">C49+C53+C55</f>
        <v>0</v>
      </c>
      <c r="D48" s="1356"/>
      <c r="E48" s="1357"/>
      <c r="F48" s="1177"/>
      <c r="G48" s="788"/>
      <c r="H48" s="789"/>
      <c r="I48" s="1881" t="s">
        <v>1525</v>
      </c>
      <c r="J48" s="1882" t="s">
        <v>3461</v>
      </c>
      <c r="K48" s="1883" t="s">
        <v>1526</v>
      </c>
      <c r="L48" s="1884">
        <f ca="1">INDIRECT("'数据-取费表'!f"&amp;$G$1)</f>
        <v>30.89</v>
      </c>
      <c r="O48" s="1878" t="s">
        <v>1038</v>
      </c>
      <c r="P48" s="1879" t="s">
        <v>1527</v>
      </c>
      <c r="Q48" s="1880" t="str">
        <f ca="1">J60</f>
        <v>0</v>
      </c>
      <c r="R48" s="1880" t="s">
        <v>1528</v>
      </c>
    </row>
    <row r="49" spans="1:18" s="1836" customFormat="1" ht="13.5" thickBot="1">
      <c r="A49" s="1190" t="s">
        <v>1133</v>
      </c>
      <c r="B49" s="1823" t="s">
        <v>1485</v>
      </c>
      <c r="C49" s="1358">
        <f ca="1">ROUND(F49*F51*F50*(1-F52),0)</f>
        <v>0</v>
      </c>
      <c r="D49" s="1270" t="s">
        <v>1399</v>
      </c>
      <c r="E49" s="1824" t="s">
        <v>1486</v>
      </c>
      <c r="F49" s="1275"/>
      <c r="G49" s="1885"/>
      <c r="H49" s="789"/>
      <c r="I49" s="1881" t="s">
        <v>1529</v>
      </c>
      <c r="J49" s="1886">
        <v>2013</v>
      </c>
      <c r="K49" s="1883" t="s">
        <v>1530</v>
      </c>
      <c r="L49" s="1887"/>
      <c r="O49" s="1888" t="s">
        <v>1039</v>
      </c>
      <c r="P49" s="1879" t="s">
        <v>1531</v>
      </c>
      <c r="Q49" s="1880">
        <f ca="1">C29</f>
        <v>11502161</v>
      </c>
      <c r="R49" s="1880" t="s">
        <v>1524</v>
      </c>
    </row>
    <row r="50" spans="1:18" s="1836" customFormat="1" ht="13.5" thickBot="1">
      <c r="A50" s="1191"/>
      <c r="B50" s="1194"/>
      <c r="C50" s="1195"/>
      <c r="D50" s="1168"/>
      <c r="E50" s="1271" t="s">
        <v>1401</v>
      </c>
      <c r="F50" s="1272">
        <f ca="1">F7</f>
        <v>3497.5499999999993</v>
      </c>
      <c r="H50" s="789"/>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2"/>
      <c r="B51" s="1194"/>
      <c r="C51" s="1195"/>
      <c r="D51" s="1168"/>
      <c r="E51" s="1196" t="s">
        <v>1402</v>
      </c>
      <c r="F51" s="348">
        <f ca="1">F8</f>
        <v>365</v>
      </c>
      <c r="I51" s="1892" t="s">
        <v>1535</v>
      </c>
      <c r="J51" s="1893">
        <f>IF(J49="",J50,J49+J50-YEAR('数据-取费表'!B2))</f>
        <v>54</v>
      </c>
      <c r="K51" s="1894" t="s">
        <v>1536</v>
      </c>
      <c r="L51" s="1895">
        <f ca="1">ROUND(-PV(INDIRECT("'数据-取费表'!h"&amp;$G$1),L48,(C39-C13*C76),0),0)</f>
        <v>27688850</v>
      </c>
      <c r="M51" s="1896"/>
      <c r="O51" s="1888" t="s">
        <v>1041</v>
      </c>
      <c r="P51" s="1879" t="s">
        <v>1537</v>
      </c>
      <c r="Q51" s="1891">
        <f>J52</f>
        <v>0.09</v>
      </c>
      <c r="R51" s="1880"/>
    </row>
    <row r="52" spans="1:18" s="1836" customFormat="1" ht="13.5" thickBot="1">
      <c r="A52" s="1192"/>
      <c r="B52" s="1194"/>
      <c r="C52" s="1195"/>
      <c r="D52" s="1168"/>
      <c r="E52" s="1196" t="s">
        <v>1403</v>
      </c>
      <c r="F52" s="1269"/>
      <c r="I52" s="1897" t="s">
        <v>1538</v>
      </c>
      <c r="J52" s="1898">
        <v>0.09</v>
      </c>
      <c r="K52" s="1897" t="s">
        <v>1539</v>
      </c>
      <c r="L52" s="1898"/>
      <c r="O52" s="1888" t="s">
        <v>1042</v>
      </c>
      <c r="P52" s="1879" t="s">
        <v>1540</v>
      </c>
      <c r="Q52" s="1880">
        <f ca="1">J53</f>
        <v>30.89</v>
      </c>
      <c r="R52" s="1880" t="s">
        <v>1541</v>
      </c>
    </row>
    <row r="53" spans="1:18" s="1836" customFormat="1" ht="30.75" customHeight="1" thickBot="1">
      <c r="A53" s="1355" t="s">
        <v>1134</v>
      </c>
      <c r="B53" s="369" t="s">
        <v>1404</v>
      </c>
      <c r="C53" s="361">
        <f ca="1">ROUND(IF(F53="押一",C49/12*F11,IF(F53="押二",C49/12*2*F11,IF(F53="押三",C49/12*3*F11,C54*F11))),0)</f>
        <v>0</v>
      </c>
      <c r="D53" s="1818" t="s">
        <v>3033</v>
      </c>
      <c r="E53" s="358" t="s">
        <v>1405</v>
      </c>
      <c r="F53" s="1360"/>
      <c r="I53" s="1899" t="s">
        <v>1542</v>
      </c>
      <c r="J53" s="2947">
        <f ca="1">IF(M47="住宅",IF(D1="——",MAX(J51,L48),MAX(J51,L48-'数据-取费表'!B24)),IF(D1="——",MIN(J51,L48),MIN(J51,L48-'数据-取费表'!B24)))</f>
        <v>30.89</v>
      </c>
      <c r="K53" s="3260" t="s">
        <v>1543</v>
      </c>
      <c r="L53" s="3261"/>
      <c r="O53" s="1878" t="s">
        <v>1043</v>
      </c>
      <c r="P53" s="1879" t="s">
        <v>1544</v>
      </c>
      <c r="Q53" s="1880">
        <f ca="1">Q47+Q48</f>
        <v>55641600</v>
      </c>
      <c r="R53" s="1880" t="s">
        <v>1044</v>
      </c>
    </row>
    <row r="54" spans="1:18" s="1836" customFormat="1" ht="13.5" thickBot="1">
      <c r="A54" s="1190"/>
      <c r="B54" s="1934" t="s">
        <v>1598</v>
      </c>
      <c r="C54" s="1174"/>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27" t="s">
        <v>1072</v>
      </c>
      <c r="B55" s="1821" t="s">
        <v>1408</v>
      </c>
      <c r="C55" s="1328"/>
      <c r="D55" s="1818"/>
      <c r="E55" s="1826"/>
      <c r="F55" s="1900"/>
      <c r="I55" s="1903" t="s">
        <v>1546</v>
      </c>
      <c r="J55" s="1904" t="e">
        <f ca="1">ROUND(IF(J47="钢混",J57/J50,1-(1-2%)*(J50-J57)/J50),3)</f>
        <v>#VALUE!</v>
      </c>
      <c r="K55" s="1905" t="s">
        <v>1547</v>
      </c>
      <c r="L55" s="1906"/>
      <c r="O55" s="1871" t="s">
        <v>1517</v>
      </c>
      <c r="P55" s="1872" t="s">
        <v>1518</v>
      </c>
      <c r="Q55" s="1873" t="s">
        <v>1519</v>
      </c>
      <c r="R55" s="1873" t="s">
        <v>1520</v>
      </c>
    </row>
    <row r="56" spans="1:18" s="1836" customFormat="1" ht="36" customHeight="1" thickTop="1" thickBot="1">
      <c r="A56" s="1172">
        <v>2</v>
      </c>
      <c r="B56" s="1173" t="s">
        <v>1409</v>
      </c>
      <c r="C56" s="276">
        <f ca="1">C13</f>
        <v>10351945</v>
      </c>
      <c r="D56" s="1907"/>
      <c r="E56" s="1908"/>
      <c r="F56" s="1900"/>
      <c r="I56" s="1909" t="s">
        <v>1549</v>
      </c>
      <c r="J56" s="1910" t="s">
        <v>3453</v>
      </c>
      <c r="K56" s="1881" t="s">
        <v>1550</v>
      </c>
      <c r="L56" s="1884" t="str">
        <f ca="1">IF(L48&lt;J51,"——",L48-J51)</f>
        <v>——</v>
      </c>
      <c r="O56" s="1878" t="s">
        <v>1037</v>
      </c>
      <c r="P56" s="1879" t="s">
        <v>1523</v>
      </c>
      <c r="Q56" s="1880">
        <f ca="1">C40+J29</f>
        <v>55641600</v>
      </c>
      <c r="R56" s="1880" t="s">
        <v>1524</v>
      </c>
    </row>
    <row r="57" spans="1:18" s="1836" customFormat="1" ht="24.75" thickBot="1">
      <c r="A57" s="1911"/>
      <c r="B57" s="1165" t="s">
        <v>1473</v>
      </c>
      <c r="C57" s="282">
        <f ca="1">C29</f>
        <v>11502161</v>
      </c>
      <c r="D57" s="1912"/>
      <c r="E57" s="1913"/>
      <c r="F57" s="1914"/>
      <c r="I57" s="1915" t="s">
        <v>1551</v>
      </c>
      <c r="J57" s="1916" t="str">
        <f ca="1">IF(OR(M47="住宅",J51&lt;L48,J56="是"),"——",J51-L48)</f>
        <v>——</v>
      </c>
      <c r="K57" s="1881" t="s">
        <v>1600</v>
      </c>
      <c r="L57" s="1884" t="str">
        <f ca="1">IF(L48&lt;J51,"——",IF(L55="比较法",L49,IF(L55="基准地价",L50,L51)))</f>
        <v>——</v>
      </c>
      <c r="O57" s="1878" t="s">
        <v>1038</v>
      </c>
      <c r="P57" s="1879" t="s">
        <v>1601</v>
      </c>
      <c r="Q57" s="1880">
        <f ca="1">L60</f>
        <v>0</v>
      </c>
      <c r="R57" s="1880" t="s">
        <v>1602</v>
      </c>
    </row>
    <row r="58" spans="1:18" s="1836" customFormat="1" ht="24.75" thickBot="1">
      <c r="A58" s="360" t="s">
        <v>1027</v>
      </c>
      <c r="B58" s="1173" t="s">
        <v>1419</v>
      </c>
      <c r="C58" s="361">
        <f ca="1">ROUND(C59+C64+C65+C66,0)</f>
        <v>1154242</v>
      </c>
      <c r="D58" s="1175" t="s">
        <v>1420</v>
      </c>
      <c r="E58" s="1176"/>
      <c r="F58" s="1177"/>
      <c r="I58" s="1915" t="s">
        <v>1555</v>
      </c>
      <c r="J58" s="1917" t="e">
        <f ca="1">IF(J55&lt;0.4,0.4,J55)</f>
        <v>#VALUE!</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7" t="s">
        <v>1032</v>
      </c>
      <c r="B59" s="1165" t="s">
        <v>1424</v>
      </c>
      <c r="C59" s="24">
        <f ca="1">ROUND(IF(项目基本情况!B11="自然人",C48*F59,C60+C61+C62),0)</f>
        <v>966182</v>
      </c>
      <c r="D59" s="1178" t="s">
        <v>1425</v>
      </c>
      <c r="E59" s="1179" t="s">
        <v>1426</v>
      </c>
      <c r="F59" s="368">
        <f ca="1">IF(项目基本情况!B11="企业","",IF(INDIRECT("'数据-取费表'!c"&amp;$G$1)="住宅",5%,IF(F49*F50*F51/12/(1+'数据-取费表'!C42)&gt;20000,12%,7%)))</f>
        <v>7.0000000000000007E-2</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5" thickBot="1">
      <c r="A60" s="1197" t="s">
        <v>1031</v>
      </c>
      <c r="B60" s="1165" t="s">
        <v>1428</v>
      </c>
      <c r="C60" s="24">
        <f ca="1">IF(项目基本情况!B11="自然人","——",ROUND(C48*F60/(1+'数据-取费表'!C42),0))</f>
        <v>0</v>
      </c>
      <c r="D60" s="1179" t="s">
        <v>1429</v>
      </c>
      <c r="E60" s="1165" t="s">
        <v>1417</v>
      </c>
      <c r="F60" s="377">
        <f t="shared" ref="F60:F66" si="0">F32</f>
        <v>5.5000000000000007E-2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7" t="s">
        <v>1487</v>
      </c>
      <c r="B61" s="1165" t="s">
        <v>1488</v>
      </c>
      <c r="C61" s="24">
        <f ca="1">IF(项目基本情况!B11="自然人","——",IF(D61="按租金收入计税",ROUND(C48*F61,0),IF(D61="按房产原值计税",ROUND(C57*F61*0.7,0),INDIRECT("'数据-取费表'!Aj"&amp;$G$1))))</f>
        <v>966182</v>
      </c>
      <c r="D61" s="1822" t="s">
        <v>1433</v>
      </c>
      <c r="E61" s="1165" t="s">
        <v>1489</v>
      </c>
      <c r="F61" s="367">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7" t="s">
        <v>1490</v>
      </c>
      <c r="B62" s="1164" t="s">
        <v>1491</v>
      </c>
      <c r="C62" s="25">
        <f ca="1">IF(项目基本情况!B11="自然人","——",ROUND(F62*F63,0))</f>
        <v>0</v>
      </c>
      <c r="D62" s="1180" t="s">
        <v>1492</v>
      </c>
      <c r="E62" s="1165" t="s">
        <v>1493</v>
      </c>
      <c r="F62" s="371">
        <f t="shared" si="0"/>
        <v>4</v>
      </c>
      <c r="I62" s="1922" t="s">
        <v>1565</v>
      </c>
      <c r="J62" s="1923" t="s">
        <v>1566</v>
      </c>
      <c r="K62" s="1923" t="s">
        <v>1567</v>
      </c>
      <c r="L62" s="1923" t="s">
        <v>1568</v>
      </c>
      <c r="M62" s="1924" t="s">
        <v>1569</v>
      </c>
      <c r="O62" s="1878" t="s">
        <v>1043</v>
      </c>
      <c r="P62" s="1879" t="s">
        <v>1570</v>
      </c>
      <c r="Q62" s="1880">
        <f ca="1">Q56+Q57</f>
        <v>55641600</v>
      </c>
      <c r="R62" s="1880" t="s">
        <v>1044</v>
      </c>
    </row>
    <row r="63" spans="1:18" s="1836" customFormat="1" ht="13.5" thickBot="1">
      <c r="A63" s="372"/>
      <c r="B63" s="1171"/>
      <c r="C63" s="29"/>
      <c r="D63" s="1181"/>
      <c r="E63" s="1165" t="s">
        <v>1494</v>
      </c>
      <c r="F63" s="348">
        <f t="shared" ca="1" si="0"/>
        <v>0</v>
      </c>
      <c r="I63" s="1922" t="s">
        <v>1571</v>
      </c>
      <c r="J63" s="1923">
        <v>70</v>
      </c>
      <c r="K63" s="1923">
        <v>50</v>
      </c>
      <c r="L63" s="1923">
        <v>80</v>
      </c>
      <c r="M63" s="1925">
        <v>0.02</v>
      </c>
      <c r="O63" s="1863" t="s">
        <v>1572</v>
      </c>
      <c r="P63" s="1833"/>
      <c r="Q63" s="1833"/>
      <c r="R63" s="1833"/>
    </row>
    <row r="64" spans="1:18" s="1836" customFormat="1" ht="13.5" thickBot="1">
      <c r="A64" s="1197" t="s">
        <v>1495</v>
      </c>
      <c r="B64" s="1165" t="s">
        <v>1496</v>
      </c>
      <c r="C64" s="24">
        <f ca="1">ROUND(C57*F64,0)</f>
        <v>172532</v>
      </c>
      <c r="D64" s="1179" t="s">
        <v>1497</v>
      </c>
      <c r="E64" s="1165" t="s">
        <v>1489</v>
      </c>
      <c r="F64" s="374">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7" t="s">
        <v>1498</v>
      </c>
      <c r="B65" s="1165" t="s">
        <v>1448</v>
      </c>
      <c r="C65" s="24">
        <f ca="1">ROUND(C56*F65,0)</f>
        <v>15528</v>
      </c>
      <c r="D65" s="1179" t="s">
        <v>1449</v>
      </c>
      <c r="E65" s="1165" t="s">
        <v>1450</v>
      </c>
      <c r="F65" s="376">
        <f t="shared" ca="1" si="0"/>
        <v>1.5E-3</v>
      </c>
      <c r="I65" s="1922" t="s">
        <v>1574</v>
      </c>
      <c r="J65" s="1923">
        <v>40</v>
      </c>
      <c r="K65" s="1923">
        <v>30</v>
      </c>
      <c r="L65" s="1923">
        <v>50</v>
      </c>
      <c r="M65" s="1925">
        <v>0.02</v>
      </c>
      <c r="O65" s="1878" t="s">
        <v>1037</v>
      </c>
      <c r="P65" s="1879" t="s">
        <v>1575</v>
      </c>
      <c r="Q65" s="1880">
        <f ca="1">C40+J29</f>
        <v>55641600</v>
      </c>
      <c r="R65" s="1880" t="s">
        <v>1524</v>
      </c>
    </row>
    <row r="66" spans="1:18" s="1836" customFormat="1" ht="16.5" thickBot="1">
      <c r="A66" s="1197" t="s">
        <v>1499</v>
      </c>
      <c r="B66" s="1165" t="s">
        <v>1434</v>
      </c>
      <c r="C66" s="24">
        <f ca="1">ROUND(C48*F66,0)</f>
        <v>0</v>
      </c>
      <c r="D66" s="1179" t="s">
        <v>1500</v>
      </c>
      <c r="E66" s="1165" t="s">
        <v>1417</v>
      </c>
      <c r="F66" s="357">
        <f t="shared" ca="1" si="0"/>
        <v>0.01</v>
      </c>
      <c r="O66" s="1878" t="s">
        <v>1038</v>
      </c>
      <c r="P66" s="1879" t="s">
        <v>1553</v>
      </c>
      <c r="Q66" s="1880">
        <f ca="1">L60</f>
        <v>0</v>
      </c>
      <c r="R66" s="1880" t="s">
        <v>1576</v>
      </c>
    </row>
    <row r="67" spans="1:18" s="1836" customFormat="1" ht="16.5" thickBot="1">
      <c r="A67" s="1172" t="s">
        <v>1028</v>
      </c>
      <c r="B67" s="1182" t="s">
        <v>1458</v>
      </c>
      <c r="C67" s="361">
        <f ca="1">C48-C58</f>
        <v>-1154242</v>
      </c>
      <c r="D67" s="1178" t="s">
        <v>1459</v>
      </c>
      <c r="E67" s="1183"/>
      <c r="F67" s="1184"/>
      <c r="O67" s="1888" t="s">
        <v>1039</v>
      </c>
      <c r="P67" s="1879" t="s">
        <v>1557</v>
      </c>
      <c r="Q67" s="1926">
        <f ca="1">L51</f>
        <v>27688850</v>
      </c>
      <c r="R67" s="1880" t="s">
        <v>1577</v>
      </c>
    </row>
    <row r="68" spans="1:18" s="1836" customFormat="1" ht="16.5" thickBot="1">
      <c r="A68" s="1162" t="s">
        <v>1029</v>
      </c>
      <c r="B68" s="1163" t="s">
        <v>1480</v>
      </c>
      <c r="C68" s="346">
        <f ca="1">ROUND(C67*(1-((1+F70)/(1+F68))^F69)/(F68-F70),0)</f>
        <v>-24159162</v>
      </c>
      <c r="D68" s="1180" t="s">
        <v>1464</v>
      </c>
      <c r="E68" s="1165" t="s">
        <v>1465</v>
      </c>
      <c r="F68" s="357">
        <f ca="1">F40</f>
        <v>5.5E-2</v>
      </c>
      <c r="O68" s="1888" t="s">
        <v>1040</v>
      </c>
      <c r="P68" s="1927" t="s">
        <v>1578</v>
      </c>
      <c r="Q68" s="1880">
        <f ca="1">ROUND(Q69-Q70*Q71,0)</f>
        <v>1778450</v>
      </c>
      <c r="R68" s="1880" t="s">
        <v>1048</v>
      </c>
    </row>
    <row r="69" spans="1:18" s="1836" customFormat="1" ht="13.5" thickBot="1">
      <c r="A69" s="1166"/>
      <c r="B69" s="1167"/>
      <c r="C69" s="351"/>
      <c r="D69" s="1185" t="s">
        <v>1468</v>
      </c>
      <c r="E69" s="1165" t="s">
        <v>1469</v>
      </c>
      <c r="F69" s="379">
        <f ca="1">F41</f>
        <v>30.89</v>
      </c>
      <c r="O69" s="1888" t="s">
        <v>1045</v>
      </c>
      <c r="P69" s="1927" t="s">
        <v>1579</v>
      </c>
      <c r="Q69" s="1880">
        <f ca="1">C39</f>
        <v>2658365</v>
      </c>
      <c r="R69" s="1880" t="s">
        <v>1524</v>
      </c>
    </row>
    <row r="70" spans="1:18" s="1836" customFormat="1" ht="13.5" thickBot="1">
      <c r="A70" s="1169"/>
      <c r="B70" s="1170"/>
      <c r="C70" s="355"/>
      <c r="D70" s="1181"/>
      <c r="E70" s="1165" t="s">
        <v>1472</v>
      </c>
      <c r="F70" s="1269">
        <f ca="1">F42</f>
        <v>0.03</v>
      </c>
      <c r="O70" s="1888" t="s">
        <v>1046</v>
      </c>
      <c r="P70" s="1927" t="s">
        <v>1580</v>
      </c>
      <c r="Q70" s="1880">
        <f ca="1">C13</f>
        <v>10351945</v>
      </c>
      <c r="R70" s="1880" t="s">
        <v>1524</v>
      </c>
    </row>
    <row r="71" spans="1:18" s="1836" customFormat="1" ht="13.5" thickBot="1">
      <c r="A71" s="1186" t="s">
        <v>1030</v>
      </c>
      <c r="B71" s="1187" t="s">
        <v>1482</v>
      </c>
      <c r="C71" s="382">
        <f ca="1">ROUND(C68/F71,0)</f>
        <v>-6907</v>
      </c>
      <c r="D71" s="1188" t="s">
        <v>1483</v>
      </c>
      <c r="E71" s="1189" t="s">
        <v>1484</v>
      </c>
      <c r="F71" s="385">
        <f ca="1">F43</f>
        <v>3497.5499999999993</v>
      </c>
      <c r="O71" s="1888" t="s">
        <v>1047</v>
      </c>
      <c r="P71" s="1927" t="s">
        <v>1581</v>
      </c>
      <c r="Q71" s="1891">
        <f ca="1">C76</f>
        <v>8.5000000000000006E-2</v>
      </c>
      <c r="R71" s="1880"/>
    </row>
    <row r="72" spans="1:18" s="1836" customFormat="1" ht="13.5" thickBot="1">
      <c r="B72" s="792"/>
      <c r="C72" s="792"/>
      <c r="O72" s="1888" t="s">
        <v>1041</v>
      </c>
      <c r="P72" s="1879" t="s">
        <v>1559</v>
      </c>
      <c r="Q72" s="1891">
        <f>L52</f>
        <v>0</v>
      </c>
      <c r="R72" s="1880"/>
    </row>
    <row r="73" spans="1:18" ht="16.5" thickBot="1">
      <c r="A73" s="1836"/>
      <c r="B73" s="792"/>
      <c r="C73" s="792"/>
      <c r="D73" s="1836"/>
      <c r="E73" s="1836"/>
      <c r="F73" s="1836"/>
      <c r="O73" s="1888" t="s">
        <v>1042</v>
      </c>
      <c r="P73" s="1879" t="s">
        <v>1562</v>
      </c>
      <c r="Q73" s="1880" t="e">
        <f ca="1">L58</f>
        <v>#DIV/0!</v>
      </c>
      <c r="R73" s="1880" t="s">
        <v>1563</v>
      </c>
    </row>
    <row r="74" spans="1:18" ht="13.5" thickBot="1">
      <c r="A74" s="1836"/>
      <c r="B74" s="317"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6" t="s">
        <v>1501</v>
      </c>
      <c r="C75" s="387">
        <f ca="1">ROUND(C13*C76,0)</f>
        <v>879915</v>
      </c>
      <c r="D75" s="1836"/>
      <c r="E75" s="1836"/>
      <c r="F75" s="1836"/>
      <c r="K75" s="1862"/>
      <c r="L75" s="1836"/>
      <c r="O75" s="1878" t="s">
        <v>1043</v>
      </c>
      <c r="P75" s="1879" t="s">
        <v>1544</v>
      </c>
      <c r="Q75" s="1880">
        <f ca="1">Q65+Q66</f>
        <v>55641600</v>
      </c>
      <c r="R75" s="1880" t="s">
        <v>1044</v>
      </c>
    </row>
    <row r="76" spans="1:18">
      <c r="B76" s="388" t="s">
        <v>1502</v>
      </c>
      <c r="C76" s="389">
        <f ca="1">INDIRECT("'数据-取费表'!j"&amp;$G$1)</f>
        <v>8.5000000000000006E-2</v>
      </c>
      <c r="I76" s="1836"/>
      <c r="J76" s="1836"/>
      <c r="K76" s="1862"/>
      <c r="L76" s="1836"/>
    </row>
    <row r="77" spans="1:18">
      <c r="B77" s="390" t="s">
        <v>1503</v>
      </c>
      <c r="C77" s="391"/>
      <c r="I77" s="1836"/>
      <c r="J77" s="1836"/>
      <c r="K77" s="1862"/>
      <c r="L77" s="1836"/>
    </row>
    <row r="78" spans="1:18">
      <c r="B78" s="314" t="s">
        <v>1504</v>
      </c>
      <c r="C78" s="392"/>
    </row>
    <row r="79" spans="1:18">
      <c r="B79" s="386" t="s">
        <v>1505</v>
      </c>
      <c r="C79" s="318">
        <f ca="1">1-C80</f>
        <v>0.66900000000000004</v>
      </c>
    </row>
    <row r="80" spans="1:18">
      <c r="B80" s="386" t="s">
        <v>1506</v>
      </c>
      <c r="C80" s="318">
        <f ca="1">ROUND(C75/C39,3)</f>
        <v>0.33100000000000002</v>
      </c>
    </row>
    <row r="81" spans="2:3">
      <c r="B81" s="314" t="s">
        <v>1507</v>
      </c>
      <c r="C81" s="282"/>
    </row>
    <row r="82" spans="2:3">
      <c r="B82" s="317" t="s">
        <v>1508</v>
      </c>
      <c r="C82" s="319">
        <f ca="1">1-C83</f>
        <v>0.81400000000000006</v>
      </c>
    </row>
    <row r="83" spans="2:3">
      <c r="B83" s="317" t="s">
        <v>1509</v>
      </c>
      <c r="C83" s="318">
        <f ca="1">ROUND(C13/C40,3)</f>
        <v>0.186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8" t="s">
        <v>2518</v>
      </c>
      <c r="B1" s="2559"/>
      <c r="C1" s="2559"/>
      <c r="D1" s="2559"/>
      <c r="E1" s="2560"/>
    </row>
    <row r="2" spans="1:6" ht="15.75">
      <c r="A2" s="2561" t="s">
        <v>2319</v>
      </c>
      <c r="B2" s="2562">
        <f ca="1">SUMIF(B6:B13,"&lt;&gt;#ref!",B6:B13)</f>
        <v>5568</v>
      </c>
      <c r="C2" s="2563" t="s">
        <v>2511</v>
      </c>
      <c r="D2" s="2564" t="s">
        <v>2512</v>
      </c>
      <c r="E2" s="2565">
        <f>SUM(E6:E13)</f>
        <v>3497.5499999999993</v>
      </c>
    </row>
    <row r="3" spans="1:6" ht="15.75">
      <c r="A3" s="2561" t="s">
        <v>1390</v>
      </c>
      <c r="B3" s="2562">
        <f ca="1">ROUND(B2*10000/E2,0)</f>
        <v>15920</v>
      </c>
      <c r="C3" s="2563" t="s">
        <v>2519</v>
      </c>
      <c r="D3" s="2566"/>
      <c r="E3" s="2567"/>
    </row>
    <row r="4" spans="1:6" ht="15.75">
      <c r="A4" s="2568"/>
      <c r="B4" s="2566"/>
      <c r="C4" s="2566"/>
      <c r="D4" s="2566"/>
      <c r="E4" s="2567"/>
    </row>
    <row r="5" spans="1:6" ht="15">
      <c r="A5" s="2569" t="s">
        <v>2513</v>
      </c>
      <c r="B5" s="3262" t="s">
        <v>2514</v>
      </c>
      <c r="C5" s="3262"/>
      <c r="D5" s="2570"/>
      <c r="E5" s="2571" t="s">
        <v>2515</v>
      </c>
      <c r="F5" s="2572" t="s">
        <v>2516</v>
      </c>
    </row>
    <row r="6" spans="1:6">
      <c r="A6" s="2573" t="str">
        <f>'数据-取费表'!AN6</f>
        <v>收益法</v>
      </c>
      <c r="B6" s="2572">
        <f ca="1">IF(F6="是",'数据-取费表'!AO6,0)</f>
        <v>5568</v>
      </c>
      <c r="C6" s="2563" t="s">
        <v>2511</v>
      </c>
      <c r="D6" s="2566"/>
      <c r="E6" s="2574">
        <f>IF(OR(A6=0,F6="否"),0,'数据-取费表'!K6+'数据-取费表'!S6)</f>
        <v>3497.5499999999993</v>
      </c>
      <c r="F6" s="2575" t="s">
        <v>2517</v>
      </c>
    </row>
    <row r="7" spans="1:6">
      <c r="A7" s="2573">
        <f>'数据-取费表'!AN7</f>
        <v>0</v>
      </c>
      <c r="B7" s="2572" t="e">
        <f ca="1">IF(F7="是",'数据-取费表'!AO7,0)</f>
        <v>#REF!</v>
      </c>
      <c r="C7" s="2563" t="s">
        <v>2511</v>
      </c>
      <c r="D7" s="2566"/>
      <c r="E7" s="2574">
        <f>IF(OR(A7=0,F7="否"),0,'数据-取费表'!K7+'数据-取费表'!S7)</f>
        <v>0</v>
      </c>
      <c r="F7" s="2575" t="s">
        <v>2517</v>
      </c>
    </row>
    <row r="8" spans="1:6">
      <c r="A8" s="2573">
        <f>'数据-取费表'!AN8</f>
        <v>0</v>
      </c>
      <c r="B8" s="2572" t="e">
        <f ca="1">IF(F8="是",'数据-取费表'!AO8,0)</f>
        <v>#REF!</v>
      </c>
      <c r="C8" s="2563" t="s">
        <v>2511</v>
      </c>
      <c r="D8" s="2566"/>
      <c r="E8" s="2574">
        <f>IF(OR(A8=0,F8="否"),0,'数据-取费表'!K8+'数据-取费表'!S8)</f>
        <v>0</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f>'数据-取费表'!AN12</f>
        <v>0</v>
      </c>
      <c r="B12" s="2572" t="e">
        <f ca="1">IF(F12="是",'数据-取费表'!AO12,0)</f>
        <v>#REF!</v>
      </c>
      <c r="C12" s="2563" t="s">
        <v>2511</v>
      </c>
      <c r="D12" s="2566"/>
      <c r="E12" s="2574">
        <f>IF(OR(A12=0,F12="否"),0,'数据-取费表'!K12+'数据-取费表'!S12)</f>
        <v>0</v>
      </c>
      <c r="F12" s="2575" t="s">
        <v>2517</v>
      </c>
    </row>
    <row r="13" spans="1:6" ht="15" thickBot="1">
      <c r="A13" s="2576">
        <f>'数据-取费表'!AN13</f>
        <v>0</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9" t="s">
        <v>1073</v>
      </c>
      <c r="B1" s="3280"/>
      <c r="C1" s="3281"/>
      <c r="D1" s="3282">
        <f>SUM(I10,I15,I20,I21,I23)</f>
        <v>0</v>
      </c>
      <c r="E1" s="3282"/>
      <c r="F1" s="3282"/>
      <c r="G1" s="3282"/>
      <c r="H1" s="3282"/>
      <c r="I1" s="3283"/>
    </row>
    <row r="2" spans="1:9">
      <c r="A2" s="3269" t="s">
        <v>1074</v>
      </c>
      <c r="B2" s="3270" t="s">
        <v>1075</v>
      </c>
      <c r="C2" s="3270"/>
      <c r="D2" s="1295" t="s">
        <v>1076</v>
      </c>
      <c r="E2" s="1295" t="s">
        <v>1077</v>
      </c>
      <c r="F2" s="1295" t="s">
        <v>1078</v>
      </c>
      <c r="G2" s="1295" t="s">
        <v>1079</v>
      </c>
      <c r="H2" s="1295" t="s">
        <v>1080</v>
      </c>
      <c r="I2" s="1296" t="s">
        <v>1081</v>
      </c>
    </row>
    <row r="3" spans="1:9">
      <c r="A3" s="3269"/>
      <c r="B3" s="3270" t="s">
        <v>1082</v>
      </c>
      <c r="C3" s="3270"/>
      <c r="D3" s="1297"/>
      <c r="E3" s="1295"/>
      <c r="F3" s="1298"/>
      <c r="G3" s="1298"/>
      <c r="H3" s="1299"/>
      <c r="I3" s="1300">
        <f>ROUND(D3*E3*F3*G3*H3/10000,0)</f>
        <v>0</v>
      </c>
    </row>
    <row r="4" spans="1:9">
      <c r="A4" s="3269"/>
      <c r="B4" s="3270" t="s">
        <v>1083</v>
      </c>
      <c r="C4" s="3270"/>
      <c r="D4" s="1297"/>
      <c r="E4" s="1295"/>
      <c r="F4" s="1298"/>
      <c r="G4" s="1298"/>
      <c r="H4" s="1299"/>
      <c r="I4" s="1300">
        <f t="shared" ref="I4:I9" si="0">ROUND(D4*E4*F4*G4*H4/10000,0)</f>
        <v>0</v>
      </c>
    </row>
    <row r="5" spans="1:9">
      <c r="A5" s="3269"/>
      <c r="B5" s="3270" t="s">
        <v>1084</v>
      </c>
      <c r="C5" s="3270"/>
      <c r="D5" s="1297"/>
      <c r="E5" s="1295"/>
      <c r="F5" s="1298"/>
      <c r="G5" s="1298"/>
      <c r="H5" s="1299"/>
      <c r="I5" s="1300">
        <f t="shared" si="0"/>
        <v>0</v>
      </c>
    </row>
    <row r="6" spans="1:9">
      <c r="A6" s="3269"/>
      <c r="B6" s="3270" t="s">
        <v>1085</v>
      </c>
      <c r="C6" s="3270"/>
      <c r="D6" s="1297"/>
      <c r="E6" s="1295"/>
      <c r="F6" s="1298"/>
      <c r="G6" s="1298"/>
      <c r="H6" s="1299"/>
      <c r="I6" s="1300">
        <f t="shared" si="0"/>
        <v>0</v>
      </c>
    </row>
    <row r="7" spans="1:9">
      <c r="A7" s="3269"/>
      <c r="B7" s="3270" t="s">
        <v>1086</v>
      </c>
      <c r="C7" s="3270"/>
      <c r="D7" s="1297"/>
      <c r="E7" s="1295"/>
      <c r="F7" s="1298"/>
      <c r="G7" s="1298"/>
      <c r="H7" s="1299"/>
      <c r="I7" s="1300">
        <f t="shared" si="0"/>
        <v>0</v>
      </c>
    </row>
    <row r="8" spans="1:9">
      <c r="A8" s="3269"/>
      <c r="B8" s="3270" t="s">
        <v>1087</v>
      </c>
      <c r="C8" s="3270"/>
      <c r="D8" s="1297"/>
      <c r="E8" s="1295"/>
      <c r="F8" s="1298"/>
      <c r="G8" s="1298"/>
      <c r="H8" s="1299"/>
      <c r="I8" s="1300">
        <f t="shared" si="0"/>
        <v>0</v>
      </c>
    </row>
    <row r="9" spans="1:9">
      <c r="A9" s="3269"/>
      <c r="B9" s="3270" t="s">
        <v>1088</v>
      </c>
      <c r="C9" s="3270"/>
      <c r="D9" s="1297"/>
      <c r="E9" s="1295"/>
      <c r="F9" s="1298"/>
      <c r="G9" s="1298"/>
      <c r="H9" s="1299"/>
      <c r="I9" s="1300">
        <f t="shared" si="0"/>
        <v>0</v>
      </c>
    </row>
    <row r="10" spans="1:9">
      <c r="A10" s="3269"/>
      <c r="B10" s="3271" t="s">
        <v>1089</v>
      </c>
      <c r="C10" s="3271"/>
      <c r="D10" s="1301"/>
      <c r="E10" s="1301" t="e">
        <f>ROUND(D1*10000/D10/H9,0)</f>
        <v>#DIV/0!</v>
      </c>
      <c r="F10" s="1302"/>
      <c r="G10" s="1302"/>
      <c r="H10" s="1303"/>
      <c r="I10" s="1304">
        <f>SUM(I3:I9)</f>
        <v>0</v>
      </c>
    </row>
    <row r="11" spans="1:9" ht="14.25">
      <c r="A11" s="3269" t="s">
        <v>1090</v>
      </c>
      <c r="B11" s="3270" t="s">
        <v>1091</v>
      </c>
      <c r="C11" s="3270"/>
      <c r="D11" s="1297" t="s">
        <v>1092</v>
      </c>
      <c r="E11" s="1297" t="s">
        <v>1093</v>
      </c>
      <c r="F11" s="1298" t="s">
        <v>1094</v>
      </c>
      <c r="G11" s="1298" t="s">
        <v>1080</v>
      </c>
      <c r="H11" s="1305" t="s">
        <v>1095</v>
      </c>
      <c r="I11" s="1296" t="s">
        <v>1081</v>
      </c>
    </row>
    <row r="12" spans="1:9">
      <c r="A12" s="3269"/>
      <c r="B12" s="3270" t="s">
        <v>1096</v>
      </c>
      <c r="C12" s="3270"/>
      <c r="D12" s="1297"/>
      <c r="E12" s="1297"/>
      <c r="F12" s="1298"/>
      <c r="G12" s="1299"/>
      <c r="H12" s="1306"/>
      <c r="I12" s="1296">
        <f>ROUND(D12*E12*F12*G12/10000,0)</f>
        <v>0</v>
      </c>
    </row>
    <row r="13" spans="1:9">
      <c r="A13" s="3269"/>
      <c r="B13" s="3270" t="s">
        <v>1097</v>
      </c>
      <c r="C13" s="3270"/>
      <c r="D13" s="1297"/>
      <c r="E13" s="1297"/>
      <c r="F13" s="1298"/>
      <c r="G13" s="1299"/>
      <c r="H13" s="1306"/>
      <c r="I13" s="1296">
        <f>ROUND(D13*E13*F13*G13/10000,0)</f>
        <v>0</v>
      </c>
    </row>
    <row r="14" spans="1:9">
      <c r="A14" s="3269"/>
      <c r="B14" s="3270" t="s">
        <v>1098</v>
      </c>
      <c r="C14" s="3270"/>
      <c r="D14" s="1297"/>
      <c r="E14" s="1297"/>
      <c r="F14" s="1298"/>
      <c r="G14" s="1299"/>
      <c r="H14" s="1306"/>
      <c r="I14" s="1296">
        <f>ROUND(D14*E14*F14*G14/10000,0)</f>
        <v>0</v>
      </c>
    </row>
    <row r="15" spans="1:9">
      <c r="A15" s="3269"/>
      <c r="B15" s="3271" t="s">
        <v>1089</v>
      </c>
      <c r="C15" s="3271"/>
      <c r="D15" s="1301"/>
      <c r="E15" s="1301">
        <f>SUM(E12:E14)</f>
        <v>0</v>
      </c>
      <c r="F15" s="1302"/>
      <c r="G15" s="1299"/>
      <c r="H15" s="1306"/>
      <c r="I15" s="1307">
        <f>SUM(I12:I14)</f>
        <v>0</v>
      </c>
    </row>
    <row r="16" spans="1:9" ht="24">
      <c r="A16" s="3269" t="s">
        <v>1099</v>
      </c>
      <c r="B16" s="3270" t="s">
        <v>1100</v>
      </c>
      <c r="C16" s="3270"/>
      <c r="D16" s="1297" t="s">
        <v>1076</v>
      </c>
      <c r="E16" s="1308" t="s">
        <v>1101</v>
      </c>
      <c r="F16" s="1298" t="s">
        <v>1102</v>
      </c>
      <c r="G16" s="1299" t="s">
        <v>1080</v>
      </c>
      <c r="H16" s="1305" t="s">
        <v>1095</v>
      </c>
      <c r="I16" s="1296" t="s">
        <v>1081</v>
      </c>
    </row>
    <row r="17" spans="1:9" ht="14.25">
      <c r="A17" s="3269"/>
      <c r="B17" s="3270" t="s">
        <v>1103</v>
      </c>
      <c r="C17" s="3270"/>
      <c r="D17" s="1297"/>
      <c r="E17" s="1297"/>
      <c r="F17" s="1298"/>
      <c r="G17" s="1299"/>
      <c r="H17" s="1309"/>
      <c r="I17" s="1310">
        <f>ROUND(D17*E17*F17*G17/10000,0)</f>
        <v>0</v>
      </c>
    </row>
    <row r="18" spans="1:9" ht="14.25">
      <c r="A18" s="3269"/>
      <c r="B18" s="3270" t="s">
        <v>1104</v>
      </c>
      <c r="C18" s="3270"/>
      <c r="D18" s="1297"/>
      <c r="E18" s="1297"/>
      <c r="F18" s="1298"/>
      <c r="G18" s="1299"/>
      <c r="H18" s="1309"/>
      <c r="I18" s="1310">
        <f>ROUND(D18*E18*F18*G18/10000,0)</f>
        <v>0</v>
      </c>
    </row>
    <row r="19" spans="1:9" ht="14.25">
      <c r="A19" s="3269"/>
      <c r="B19" s="3270" t="s">
        <v>1105</v>
      </c>
      <c r="C19" s="3270"/>
      <c r="D19" s="1297"/>
      <c r="E19" s="1297"/>
      <c r="F19" s="1298"/>
      <c r="G19" s="1299"/>
      <c r="H19" s="1309"/>
      <c r="I19" s="1310">
        <f>ROUND(D19*E19*F19*G19/10000,0)</f>
        <v>0</v>
      </c>
    </row>
    <row r="20" spans="1:9">
      <c r="A20" s="3269"/>
      <c r="B20" s="3271" t="s">
        <v>1089</v>
      </c>
      <c r="C20" s="3271"/>
      <c r="D20" s="1301">
        <f>SUM(D17:D19)</f>
        <v>0</v>
      </c>
      <c r="E20" s="1301"/>
      <c r="F20" s="1302"/>
      <c r="G20" s="1299"/>
      <c r="H20" s="1306"/>
      <c r="I20" s="1307">
        <f>SUM(I17:I19)</f>
        <v>0</v>
      </c>
    </row>
    <row r="21" spans="1:9">
      <c r="A21" s="3269" t="s">
        <v>1106</v>
      </c>
      <c r="B21" s="3272"/>
      <c r="C21" s="3272"/>
      <c r="D21" s="3272"/>
      <c r="E21" s="3272"/>
      <c r="F21" s="3272"/>
      <c r="G21" s="3272"/>
      <c r="H21" s="1759">
        <v>0.1</v>
      </c>
      <c r="I21" s="1304">
        <f>ROUND(I10*H21,0)</f>
        <v>0</v>
      </c>
    </row>
    <row r="22" spans="1:9" ht="14.25">
      <c r="A22" s="3273" t="s">
        <v>1107</v>
      </c>
      <c r="B22" s="3274"/>
      <c r="C22" s="3275"/>
      <c r="D22" s="1311" t="s">
        <v>1108</v>
      </c>
      <c r="E22" s="1311" t="s">
        <v>1109</v>
      </c>
      <c r="F22" s="1312" t="s">
        <v>1110</v>
      </c>
      <c r="G22" s="1312" t="s">
        <v>1111</v>
      </c>
      <c r="H22" s="1305" t="s">
        <v>1112</v>
      </c>
      <c r="I22" s="1296" t="s">
        <v>1113</v>
      </c>
    </row>
    <row r="23" spans="1:9" ht="14.25" thickBot="1">
      <c r="A23" s="3276"/>
      <c r="B23" s="3277"/>
      <c r="C23" s="3278"/>
      <c r="D23" s="1313"/>
      <c r="E23" s="1313"/>
      <c r="F23" s="1313"/>
      <c r="G23" s="1314"/>
      <c r="H23" s="1315"/>
      <c r="I23" s="1316">
        <f>ROUND(E23*D23*F23*(1-G23)/10000,0)</f>
        <v>0</v>
      </c>
    </row>
    <row r="26" spans="1:9">
      <c r="A26" s="1317" t="s">
        <v>1114</v>
      </c>
      <c r="B26" s="1317"/>
      <c r="C26" s="1317"/>
      <c r="D26" s="1317"/>
      <c r="E26" s="3266">
        <f>C27-C30-C31-C32</f>
        <v>0</v>
      </c>
      <c r="F26" s="3266"/>
      <c r="G26" s="3266"/>
      <c r="H26" s="1731" t="s">
        <v>1336</v>
      </c>
    </row>
    <row r="27" spans="1:9">
      <c r="A27" s="1318">
        <v>1</v>
      </c>
      <c r="B27" s="1319" t="s">
        <v>1115</v>
      </c>
      <c r="C27" s="1319">
        <f>C28+C29</f>
        <v>0</v>
      </c>
      <c r="D27" s="1319"/>
      <c r="E27" s="3267"/>
      <c r="F27" s="3267"/>
      <c r="G27" s="3267"/>
    </row>
    <row r="28" spans="1:9">
      <c r="A28" s="1320" t="s">
        <v>1116</v>
      </c>
      <c r="B28" s="1319" t="s">
        <v>1117</v>
      </c>
      <c r="C28" s="1319"/>
      <c r="D28" s="1319"/>
      <c r="E28" s="3267"/>
      <c r="F28" s="3267"/>
      <c r="G28" s="3267"/>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268"/>
      <c r="F32" s="3268"/>
      <c r="G32" s="3268"/>
    </row>
    <row r="33" spans="1:7" hidden="1">
      <c r="A33" s="3263" t="s">
        <v>1126</v>
      </c>
      <c r="B33" s="3264"/>
      <c r="C33" s="3264"/>
      <c r="D33" s="3265"/>
      <c r="E33" s="3266"/>
      <c r="F33" s="3266"/>
      <c r="G33" s="3266"/>
    </row>
    <row r="34" spans="1:7" hidden="1">
      <c r="A34" s="1322">
        <v>1</v>
      </c>
      <c r="B34" s="1319" t="s">
        <v>1127</v>
      </c>
      <c r="C34" s="1319"/>
      <c r="D34" s="1319"/>
      <c r="E34" s="3267"/>
      <c r="F34" s="3267"/>
      <c r="G34" s="3267"/>
    </row>
    <row r="35" spans="1:7" hidden="1">
      <c r="A35" s="1322">
        <v>2</v>
      </c>
      <c r="B35" s="1319" t="s">
        <v>1128</v>
      </c>
      <c r="C35" s="1319"/>
      <c r="D35" s="1319"/>
      <c r="E35" s="3267"/>
      <c r="F35" s="3267"/>
      <c r="G35" s="3267"/>
    </row>
    <row r="36" spans="1:7" hidden="1">
      <c r="A36" s="1322">
        <v>3</v>
      </c>
      <c r="B36" s="1319" t="s">
        <v>1129</v>
      </c>
      <c r="C36" s="1319"/>
      <c r="D36" s="1319"/>
      <c r="E36" s="3267"/>
      <c r="F36" s="3267"/>
      <c r="G36" s="3267"/>
    </row>
    <row r="37" spans="1:7" hidden="1">
      <c r="A37" s="1322">
        <v>4</v>
      </c>
      <c r="B37" s="1319" t="s">
        <v>1130</v>
      </c>
      <c r="C37" s="1319"/>
      <c r="D37" s="1319"/>
      <c r="E37" s="3267"/>
      <c r="F37" s="3267"/>
      <c r="G37" s="3267"/>
    </row>
    <row r="38" spans="1:7" hidden="1">
      <c r="A38" s="3263" t="s">
        <v>1131</v>
      </c>
      <c r="B38" s="3264"/>
      <c r="C38" s="3264"/>
      <c r="D38" s="3265"/>
      <c r="E38" s="3266"/>
      <c r="F38" s="3266"/>
      <c r="G38" s="32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2520</v>
      </c>
      <c r="B1" s="2579" t="s">
        <v>2521</v>
      </c>
      <c r="C1" s="1628" t="s">
        <v>2522</v>
      </c>
      <c r="D1" s="1615"/>
      <c r="E1" s="2580"/>
      <c r="F1" s="2581" t="s">
        <v>2523</v>
      </c>
      <c r="G1" s="1625" t="s">
        <v>2524</v>
      </c>
      <c r="H1" s="1624"/>
      <c r="I1" s="1624"/>
      <c r="J1" s="1624"/>
      <c r="K1" s="1626"/>
      <c r="L1" s="1627"/>
      <c r="M1" s="1628"/>
      <c r="N1" s="1628"/>
      <c r="O1" s="1628"/>
      <c r="P1" s="2582"/>
      <c r="Q1" s="1614"/>
      <c r="R1" s="1614"/>
      <c r="S1" s="1614"/>
      <c r="T1" s="1614"/>
      <c r="U1" s="1614"/>
      <c r="V1" s="1614"/>
      <c r="W1" s="1614"/>
      <c r="X1" s="1614"/>
      <c r="Y1" s="1614"/>
      <c r="Z1" s="1614"/>
      <c r="AA1" s="1614"/>
      <c r="AB1" s="1614"/>
      <c r="AC1" s="1622"/>
    </row>
    <row r="2" spans="1:29" s="393" customFormat="1" ht="28.5" customHeight="1" thickTop="1">
      <c r="A2" s="1611" t="s">
        <v>1389</v>
      </c>
      <c r="B2" s="1412" t="e">
        <f ca="1">IF(C2="——",ROUND(C49*D3/10000,0),ROUND(C49*D3/10000,0)-D2)</f>
        <v>#DIV/0!</v>
      </c>
      <c r="C2" s="2583"/>
      <c r="D2" s="1359" t="e">
        <f ca="1">SUMIF(INDIRECT("'"&amp;F2&amp;"'"&amp;"!A:A"),"承租人权益价值",INDIRECT("'"&amp;F2&amp;"'"&amp;"!c:c"))</f>
        <v>#REF!</v>
      </c>
      <c r="E2" s="2584" t="s">
        <v>2525</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2526</v>
      </c>
      <c r="D3" s="399">
        <f>IF(D1="",'数据-汇总表'!E3,SUMIF('数据-汇总表'!$C19:$C33,D1,'数据-汇总表'!$E19:$E33))</f>
        <v>3497.5499999999993</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6"/>
    </row>
    <row r="4" spans="1:29" ht="15">
      <c r="A4" s="401" t="s">
        <v>2527</v>
      </c>
      <c r="B4" s="402"/>
      <c r="C4" s="3302" t="s">
        <v>2528</v>
      </c>
      <c r="D4" s="3303"/>
      <c r="E4" s="3304" t="s">
        <v>2529</v>
      </c>
      <c r="F4" s="3305"/>
      <c r="G4" s="3302" t="s">
        <v>2530</v>
      </c>
      <c r="H4" s="3303"/>
      <c r="I4" s="3302" t="s">
        <v>2531</v>
      </c>
      <c r="J4" s="3303"/>
      <c r="K4" s="2593" t="s">
        <v>2532</v>
      </c>
      <c r="L4" s="1126"/>
      <c r="M4" s="1127"/>
      <c r="N4" s="1127"/>
      <c r="O4" s="1127"/>
      <c r="P4" s="3306" t="s">
        <v>2533</v>
      </c>
      <c r="Q4" s="3307"/>
      <c r="R4" s="3312" t="s">
        <v>2529</v>
      </c>
      <c r="S4" s="3313"/>
      <c r="T4" s="3312" t="s">
        <v>2530</v>
      </c>
      <c r="U4" s="3313"/>
      <c r="V4" s="3318" t="s">
        <v>2531</v>
      </c>
      <c r="W4" s="3318"/>
      <c r="X4" s="1807"/>
      <c r="Y4" s="3312" t="s">
        <v>2533</v>
      </c>
      <c r="Z4" s="3313"/>
      <c r="AA4" s="3299" t="s">
        <v>2529</v>
      </c>
      <c r="AB4" s="3299" t="s">
        <v>2530</v>
      </c>
      <c r="AC4" s="3299" t="s">
        <v>2531</v>
      </c>
    </row>
    <row r="5" spans="1:29" ht="15">
      <c r="A5" s="404"/>
      <c r="B5" s="405"/>
      <c r="C5" s="3321" t="s">
        <v>2534</v>
      </c>
      <c r="D5" s="3322"/>
      <c r="E5" s="3328" t="s">
        <v>2535</v>
      </c>
      <c r="F5" s="3329"/>
      <c r="G5" s="3321" t="s">
        <v>2536</v>
      </c>
      <c r="H5" s="3322"/>
      <c r="I5" s="3321" t="s">
        <v>2537</v>
      </c>
      <c r="J5" s="3322"/>
      <c r="K5" s="2594"/>
      <c r="L5" s="1126"/>
      <c r="M5" s="1127"/>
      <c r="N5" s="1127"/>
      <c r="O5" s="1127"/>
      <c r="P5" s="3308"/>
      <c r="Q5" s="3309"/>
      <c r="R5" s="3314"/>
      <c r="S5" s="3315"/>
      <c r="T5" s="3314"/>
      <c r="U5" s="3315"/>
      <c r="V5" s="3318"/>
      <c r="W5" s="3318"/>
      <c r="X5" s="1807"/>
      <c r="Y5" s="3314"/>
      <c r="Z5" s="3315"/>
      <c r="AA5" s="3300"/>
      <c r="AB5" s="3300"/>
      <c r="AC5" s="3300"/>
    </row>
    <row r="6" spans="1:29" ht="15.75" thickBot="1">
      <c r="A6" s="406"/>
      <c r="B6" s="407"/>
      <c r="C6" s="3319" t="s">
        <v>2538</v>
      </c>
      <c r="D6" s="3320"/>
      <c r="E6" s="3326" t="s">
        <v>2538</v>
      </c>
      <c r="F6" s="3327"/>
      <c r="G6" s="3319" t="s">
        <v>2538</v>
      </c>
      <c r="H6" s="3320"/>
      <c r="I6" s="3319" t="s">
        <v>2538</v>
      </c>
      <c r="J6" s="3320"/>
      <c r="K6" s="2594" t="s">
        <v>2539</v>
      </c>
      <c r="L6" s="1126"/>
      <c r="M6" s="1127"/>
      <c r="N6" s="1127"/>
      <c r="O6" s="1127"/>
      <c r="P6" s="3310"/>
      <c r="Q6" s="3311"/>
      <c r="R6" s="3314"/>
      <c r="S6" s="3315"/>
      <c r="T6" s="3316"/>
      <c r="U6" s="3317"/>
      <c r="V6" s="3318"/>
      <c r="W6" s="3318"/>
      <c r="X6" s="1807"/>
      <c r="Y6" s="3316"/>
      <c r="Z6" s="3317"/>
      <c r="AA6" s="3301"/>
      <c r="AB6" s="3301"/>
      <c r="AC6" s="3301"/>
    </row>
    <row r="7" spans="1:29" s="117" customFormat="1" ht="15.75" thickBot="1">
      <c r="A7" s="408" t="s">
        <v>2540</v>
      </c>
      <c r="B7" s="409"/>
      <c r="C7" s="410">
        <f>'数据-取费表'!B2</f>
        <v>43670</v>
      </c>
      <c r="D7" s="411">
        <v>100</v>
      </c>
      <c r="E7" s="412"/>
      <c r="F7" s="413">
        <f>SUMIF(58:58,YEAR(E7)&amp;"-"&amp;MONTH(E7),59:59)</f>
        <v>0</v>
      </c>
      <c r="G7" s="412"/>
      <c r="H7" s="411">
        <f>SUMIF(58:58,YEAR(G7)&amp;"-"&amp;MONTH(G7),59:59)</f>
        <v>0</v>
      </c>
      <c r="I7" s="412"/>
      <c r="J7" s="411">
        <f>SUMIF(58:58,YEAR(I7)&amp;"-"&amp;MONTH(I7),59:59)</f>
        <v>0</v>
      </c>
      <c r="K7" s="2595"/>
      <c r="L7" s="1128"/>
      <c r="M7" s="1129"/>
      <c r="N7" s="1129"/>
      <c r="O7" s="1129"/>
      <c r="P7" s="3323" t="s">
        <v>2541</v>
      </c>
      <c r="Q7" s="3325"/>
      <c r="R7" s="766" t="s">
        <v>23</v>
      </c>
      <c r="S7" s="767">
        <f t="shared" ref="S7:S15" si="0">F7</f>
        <v>0</v>
      </c>
      <c r="T7" s="766" t="s">
        <v>23</v>
      </c>
      <c r="U7" s="767">
        <f t="shared" ref="U7:U15" si="1">H7</f>
        <v>0</v>
      </c>
      <c r="V7" s="766" t="s">
        <v>23</v>
      </c>
      <c r="W7" s="767">
        <f t="shared" ref="W7:W15" si="2">J7</f>
        <v>0</v>
      </c>
      <c r="X7" s="768"/>
      <c r="Y7" s="3323" t="s">
        <v>2541</v>
      </c>
      <c r="Z7" s="3324"/>
      <c r="AA7" s="769" t="e">
        <f>D7/F7</f>
        <v>#DIV/0!</v>
      </c>
      <c r="AB7" s="769" t="e">
        <f>D7/H7</f>
        <v>#DIV/0!</v>
      </c>
      <c r="AC7" s="769" t="e">
        <f>D7/J7</f>
        <v>#DIV/0!</v>
      </c>
    </row>
    <row r="8" spans="1:29" s="117" customFormat="1" ht="15.75" thickBot="1">
      <c r="A8" s="408" t="s">
        <v>2542</v>
      </c>
      <c r="B8" s="409"/>
      <c r="C8" s="414" t="s">
        <v>2543</v>
      </c>
      <c r="D8" s="411">
        <v>100</v>
      </c>
      <c r="E8" s="2596"/>
      <c r="F8" s="413">
        <f>SUMIF(61:61,E8,62:62)-SUMIF(61:61,C8,62:62)+100</f>
        <v>0</v>
      </c>
      <c r="G8" s="414"/>
      <c r="H8" s="411">
        <f>SUMIF(61:61,G8,62:62)-SUMIF(61:61,C8,62:62)+100</f>
        <v>0</v>
      </c>
      <c r="I8" s="2596"/>
      <c r="J8" s="411">
        <f>SUMIF(61:61,I8,62:62)-SUMIF(61:61,C8,62:62)+100</f>
        <v>0</v>
      </c>
      <c r="K8" s="2595"/>
      <c r="L8" s="1128"/>
      <c r="M8" s="1129"/>
      <c r="N8" s="1129"/>
      <c r="O8" s="1129"/>
      <c r="P8" s="3323" t="s">
        <v>2544</v>
      </c>
      <c r="Q8" s="3324"/>
      <c r="R8" s="766" t="s">
        <v>23</v>
      </c>
      <c r="S8" s="767">
        <f t="shared" si="0"/>
        <v>0</v>
      </c>
      <c r="T8" s="766" t="s">
        <v>23</v>
      </c>
      <c r="U8" s="767">
        <f t="shared" si="1"/>
        <v>0</v>
      </c>
      <c r="V8" s="766" t="s">
        <v>23</v>
      </c>
      <c r="W8" s="767">
        <f t="shared" si="2"/>
        <v>0</v>
      </c>
      <c r="X8" s="768"/>
      <c r="Y8" s="3323" t="s">
        <v>2544</v>
      </c>
      <c r="Z8" s="3324"/>
      <c r="AA8" s="769" t="e">
        <f t="shared" ref="AA8:AA19" si="3">D8/F8</f>
        <v>#DIV/0!</v>
      </c>
      <c r="AB8" s="769" t="e">
        <f t="shared" ref="AB8:AB19" si="4">D8/H8</f>
        <v>#DIV/0!</v>
      </c>
      <c r="AC8" s="769"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5"/>
      <c r="L9" s="1128"/>
      <c r="M9" s="1129"/>
      <c r="N9" s="1129"/>
      <c r="O9" s="1129"/>
      <c r="P9" s="3298" t="s">
        <v>2547</v>
      </c>
      <c r="Q9" s="1789" t="str">
        <f t="shared" ref="Q9:Q15" si="6">B9</f>
        <v>用途</v>
      </c>
      <c r="R9" s="766" t="s">
        <v>17</v>
      </c>
      <c r="S9" s="767">
        <f t="shared" si="0"/>
        <v>100</v>
      </c>
      <c r="T9" s="766" t="s">
        <v>17</v>
      </c>
      <c r="U9" s="767">
        <f t="shared" si="1"/>
        <v>100</v>
      </c>
      <c r="V9" s="766" t="s">
        <v>17</v>
      </c>
      <c r="W9" s="767">
        <f t="shared" si="2"/>
        <v>100</v>
      </c>
      <c r="X9" s="768"/>
      <c r="Y9" s="3112" t="s">
        <v>2548</v>
      </c>
      <c r="Z9" s="55" t="str">
        <f t="shared" ref="Z9:Z15" si="7">Q9</f>
        <v>用途</v>
      </c>
      <c r="AA9" s="769">
        <f t="shared" si="3"/>
        <v>1</v>
      </c>
      <c r="AB9" s="769">
        <f t="shared" si="4"/>
        <v>1</v>
      </c>
      <c r="AC9" s="769">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98"/>
      <c r="Q10" s="1789" t="str">
        <f t="shared" si="6"/>
        <v>土地使用年限（年）</v>
      </c>
      <c r="R10" s="766" t="s">
        <v>17</v>
      </c>
      <c r="S10" s="767">
        <f t="shared" si="0"/>
        <v>100</v>
      </c>
      <c r="T10" s="766" t="s">
        <v>17</v>
      </c>
      <c r="U10" s="767">
        <f t="shared" si="1"/>
        <v>100</v>
      </c>
      <c r="V10" s="766" t="s">
        <v>17</v>
      </c>
      <c r="W10" s="767">
        <f t="shared" si="2"/>
        <v>100</v>
      </c>
      <c r="X10" s="768"/>
      <c r="Y10" s="3112"/>
      <c r="Z10" s="55" t="str">
        <f t="shared" si="7"/>
        <v>土地使用年限（年）</v>
      </c>
      <c r="AA10" s="769">
        <f t="shared" si="3"/>
        <v>1</v>
      </c>
      <c r="AB10" s="769">
        <f t="shared" si="4"/>
        <v>1</v>
      </c>
      <c r="AC10" s="769">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98"/>
      <c r="Q11" s="1789" t="str">
        <f t="shared" si="6"/>
        <v>容积率</v>
      </c>
      <c r="R11" s="766" t="s">
        <v>21</v>
      </c>
      <c r="S11" s="767" t="e">
        <f t="shared" si="0"/>
        <v>#N/A</v>
      </c>
      <c r="T11" s="766" t="s">
        <v>21</v>
      </c>
      <c r="U11" s="767" t="e">
        <f t="shared" si="1"/>
        <v>#N/A</v>
      </c>
      <c r="V11" s="766" t="s">
        <v>21</v>
      </c>
      <c r="W11" s="767" t="e">
        <f t="shared" si="2"/>
        <v>#N/A</v>
      </c>
      <c r="X11" s="768"/>
      <c r="Y11" s="3112"/>
      <c r="Z11" s="55" t="str">
        <f t="shared" si="7"/>
        <v>容积率</v>
      </c>
      <c r="AA11" s="769" t="e">
        <f t="shared" si="3"/>
        <v>#N/A</v>
      </c>
      <c r="AB11" s="769" t="e">
        <f t="shared" si="4"/>
        <v>#N/A</v>
      </c>
      <c r="AC11" s="769"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8"/>
      <c r="M12" s="1129"/>
      <c r="N12" s="1129"/>
      <c r="O12" s="1129"/>
      <c r="P12" s="3298"/>
      <c r="Q12" s="1789">
        <f t="shared" si="6"/>
        <v>111</v>
      </c>
      <c r="R12" s="766" t="s">
        <v>21</v>
      </c>
      <c r="S12" s="767">
        <f t="shared" si="0"/>
        <v>100</v>
      </c>
      <c r="T12" s="766" t="s">
        <v>21</v>
      </c>
      <c r="U12" s="767">
        <f t="shared" si="1"/>
        <v>100</v>
      </c>
      <c r="V12" s="766" t="s">
        <v>21</v>
      </c>
      <c r="W12" s="767">
        <f t="shared" si="2"/>
        <v>100</v>
      </c>
      <c r="X12" s="768"/>
      <c r="Y12" s="3112"/>
      <c r="Z12" s="55">
        <f t="shared" si="7"/>
        <v>111</v>
      </c>
      <c r="AA12" s="769">
        <f>D12/F12</f>
        <v>1</v>
      </c>
      <c r="AB12" s="769">
        <f>D12/H12</f>
        <v>1</v>
      </c>
      <c r="AC12" s="769">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6"/>
      <c r="M13" s="1127"/>
      <c r="N13" s="1127"/>
      <c r="O13" s="1127"/>
      <c r="P13" s="3298"/>
      <c r="Q13" s="1789">
        <f t="shared" si="6"/>
        <v>111</v>
      </c>
      <c r="R13" s="766" t="s">
        <v>21</v>
      </c>
      <c r="S13" s="767">
        <f t="shared" si="0"/>
        <v>100</v>
      </c>
      <c r="T13" s="766" t="s">
        <v>21</v>
      </c>
      <c r="U13" s="767">
        <f t="shared" si="1"/>
        <v>100</v>
      </c>
      <c r="V13" s="766" t="s">
        <v>21</v>
      </c>
      <c r="W13" s="767">
        <f t="shared" si="2"/>
        <v>100</v>
      </c>
      <c r="X13" s="768"/>
      <c r="Y13" s="3112"/>
      <c r="Z13" s="55">
        <f t="shared" si="7"/>
        <v>111</v>
      </c>
      <c r="AA13" s="769">
        <f t="shared" si="3"/>
        <v>1</v>
      </c>
      <c r="AB13" s="769">
        <f t="shared" si="4"/>
        <v>1</v>
      </c>
      <c r="AC13" s="769">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6"/>
      <c r="M14" s="1127"/>
      <c r="N14" s="1127"/>
      <c r="O14" s="1127"/>
      <c r="P14" s="3298"/>
      <c r="Q14" s="1789">
        <f t="shared" si="6"/>
        <v>111</v>
      </c>
      <c r="R14" s="766" t="s">
        <v>21</v>
      </c>
      <c r="S14" s="767">
        <f t="shared" si="0"/>
        <v>100</v>
      </c>
      <c r="T14" s="766" t="s">
        <v>21</v>
      </c>
      <c r="U14" s="767">
        <f t="shared" si="1"/>
        <v>100</v>
      </c>
      <c r="V14" s="766" t="s">
        <v>21</v>
      </c>
      <c r="W14" s="767">
        <f t="shared" si="2"/>
        <v>100</v>
      </c>
      <c r="X14" s="768"/>
      <c r="Y14" s="3112"/>
      <c r="Z14" s="55">
        <f t="shared" si="7"/>
        <v>111</v>
      </c>
      <c r="AA14" s="769">
        <f t="shared" si="3"/>
        <v>1</v>
      </c>
      <c r="AB14" s="769">
        <f t="shared" si="4"/>
        <v>1</v>
      </c>
      <c r="AC14" s="769">
        <f t="shared" si="5"/>
        <v>1</v>
      </c>
    </row>
    <row r="15" spans="1:29" ht="15">
      <c r="A15" s="440" t="s">
        <v>2551</v>
      </c>
      <c r="B15" s="69" t="s">
        <v>2085</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96" t="s">
        <v>2552</v>
      </c>
      <c r="Q15" s="1804" t="str">
        <f t="shared" si="6"/>
        <v>居住社区成熟度</v>
      </c>
      <c r="R15" s="770" t="s">
        <v>21</v>
      </c>
      <c r="S15" s="771">
        <f t="shared" si="0"/>
        <v>100</v>
      </c>
      <c r="T15" s="770" t="s">
        <v>21</v>
      </c>
      <c r="U15" s="771">
        <f t="shared" si="1"/>
        <v>100</v>
      </c>
      <c r="V15" s="770" t="s">
        <v>21</v>
      </c>
      <c r="W15" s="771">
        <f t="shared" si="2"/>
        <v>100</v>
      </c>
      <c r="X15" s="1807"/>
      <c r="Y15" s="3289" t="s">
        <v>2552</v>
      </c>
      <c r="Z15" s="1808" t="str">
        <f t="shared" si="7"/>
        <v>居住社区成熟度</v>
      </c>
      <c r="AA15" s="1805">
        <f t="shared" si="3"/>
        <v>1</v>
      </c>
      <c r="AB15" s="1805">
        <f t="shared" si="4"/>
        <v>1</v>
      </c>
      <c r="AC15" s="1805">
        <f t="shared" si="5"/>
        <v>1</v>
      </c>
    </row>
    <row r="16" spans="1:29" ht="15">
      <c r="A16" s="428"/>
      <c r="B16" s="446"/>
      <c r="C16" s="447"/>
      <c r="D16" s="448"/>
      <c r="E16" s="2601"/>
      <c r="F16" s="448"/>
      <c r="G16" s="2602"/>
      <c r="H16" s="450"/>
      <c r="I16" s="2602"/>
      <c r="J16" s="448"/>
      <c r="K16" s="2603"/>
      <c r="L16" s="1136"/>
      <c r="M16" s="1127"/>
      <c r="N16" s="1127"/>
      <c r="O16" s="1127"/>
      <c r="P16" s="3297"/>
      <c r="Q16" s="1804"/>
      <c r="R16" s="770"/>
      <c r="S16" s="771"/>
      <c r="T16" s="770"/>
      <c r="U16" s="771"/>
      <c r="V16" s="770"/>
      <c r="W16" s="771"/>
      <c r="X16" s="1807"/>
      <c r="Y16" s="3290"/>
      <c r="Z16" s="1808"/>
      <c r="AA16" s="1805">
        <v>1</v>
      </c>
      <c r="AB16" s="1805">
        <v>1</v>
      </c>
      <c r="AC16" s="1805">
        <v>1</v>
      </c>
    </row>
    <row r="17" spans="1:29" ht="15">
      <c r="A17" s="428"/>
      <c r="B17" s="451" t="s">
        <v>2091</v>
      </c>
      <c r="C17" s="260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97"/>
      <c r="Q17" s="1804" t="str">
        <f>B17</f>
        <v>交通便捷度</v>
      </c>
      <c r="R17" s="770" t="s">
        <v>21</v>
      </c>
      <c r="S17" s="771">
        <f>F17</f>
        <v>100</v>
      </c>
      <c r="T17" s="770" t="s">
        <v>21</v>
      </c>
      <c r="U17" s="771">
        <f>H17</f>
        <v>100</v>
      </c>
      <c r="V17" s="770" t="s">
        <v>21</v>
      </c>
      <c r="W17" s="771">
        <f>J17</f>
        <v>100</v>
      </c>
      <c r="X17" s="1807"/>
      <c r="Y17" s="3290"/>
      <c r="Z17" s="1808" t="str">
        <f>Q17</f>
        <v>交通便捷度</v>
      </c>
      <c r="AA17" s="1805">
        <f t="shared" si="3"/>
        <v>1</v>
      </c>
      <c r="AB17" s="1805">
        <f t="shared" si="4"/>
        <v>1</v>
      </c>
      <c r="AC17" s="1805">
        <f t="shared" si="5"/>
        <v>1</v>
      </c>
    </row>
    <row r="18" spans="1:29" ht="15">
      <c r="A18" s="428"/>
      <c r="B18" s="456"/>
      <c r="C18" s="2605"/>
      <c r="D18" s="450"/>
      <c r="E18" s="2606"/>
      <c r="F18" s="450"/>
      <c r="G18" s="2607"/>
      <c r="H18" s="448"/>
      <c r="I18" s="2607"/>
      <c r="J18" s="448"/>
      <c r="K18" s="2603"/>
      <c r="L18" s="1136"/>
      <c r="M18" s="1127"/>
      <c r="N18" s="1127"/>
      <c r="O18" s="1127"/>
      <c r="P18" s="3297"/>
      <c r="Q18" s="1804"/>
      <c r="R18" s="770"/>
      <c r="S18" s="771"/>
      <c r="T18" s="770"/>
      <c r="U18" s="771"/>
      <c r="V18" s="770"/>
      <c r="W18" s="771"/>
      <c r="X18" s="1807"/>
      <c r="Y18" s="3290"/>
      <c r="Z18" s="1808"/>
      <c r="AA18" s="1805">
        <v>1</v>
      </c>
      <c r="AB18" s="1805">
        <v>1</v>
      </c>
      <c r="AC18" s="1805">
        <v>1</v>
      </c>
    </row>
    <row r="19" spans="1:29" ht="15">
      <c r="A19" s="428"/>
      <c r="B19" s="451" t="s">
        <v>2090</v>
      </c>
      <c r="C19" s="260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97"/>
      <c r="Q19" s="1804" t="str">
        <f>B19</f>
        <v>公共配套设施</v>
      </c>
      <c r="R19" s="770" t="s">
        <v>21</v>
      </c>
      <c r="S19" s="771">
        <f>F19</f>
        <v>100</v>
      </c>
      <c r="T19" s="770" t="s">
        <v>21</v>
      </c>
      <c r="U19" s="771">
        <f>H19</f>
        <v>100</v>
      </c>
      <c r="V19" s="770" t="s">
        <v>21</v>
      </c>
      <c r="W19" s="771">
        <f>J19</f>
        <v>100</v>
      </c>
      <c r="X19" s="1807"/>
      <c r="Y19" s="3290"/>
      <c r="Z19" s="1808" t="str">
        <f>Q19</f>
        <v>公共配套设施</v>
      </c>
      <c r="AA19" s="1805">
        <f t="shared" si="3"/>
        <v>1</v>
      </c>
      <c r="AB19" s="1805">
        <f t="shared" si="4"/>
        <v>1</v>
      </c>
      <c r="AC19" s="1805">
        <f t="shared" si="5"/>
        <v>1</v>
      </c>
    </row>
    <row r="20" spans="1:29" ht="15">
      <c r="A20" s="428"/>
      <c r="B20" s="456"/>
      <c r="C20" s="447"/>
      <c r="D20" s="448"/>
      <c r="E20" s="2601"/>
      <c r="F20" s="448"/>
      <c r="G20" s="2602"/>
      <c r="H20" s="448"/>
      <c r="I20" s="2602"/>
      <c r="J20" s="448"/>
      <c r="K20" s="2603"/>
      <c r="L20" s="1136"/>
      <c r="M20" s="1127"/>
      <c r="N20" s="1127"/>
      <c r="O20" s="1127"/>
      <c r="P20" s="3297"/>
      <c r="Q20" s="1804"/>
      <c r="R20" s="770"/>
      <c r="S20" s="771"/>
      <c r="T20" s="770"/>
      <c r="U20" s="771"/>
      <c r="V20" s="770"/>
      <c r="W20" s="771"/>
      <c r="X20" s="1807"/>
      <c r="Y20" s="3290"/>
      <c r="Z20" s="1808"/>
      <c r="AA20" s="1805">
        <v>1</v>
      </c>
      <c r="AB20" s="1805">
        <v>1</v>
      </c>
      <c r="AC20" s="1805">
        <v>1</v>
      </c>
    </row>
    <row r="21" spans="1:29" ht="15">
      <c r="A21" s="428"/>
      <c r="B21" s="1378" t="s">
        <v>2092</v>
      </c>
      <c r="C21" s="260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97"/>
      <c r="Q21" s="1804" t="str">
        <f>B21</f>
        <v>基础设施水平</v>
      </c>
      <c r="R21" s="770" t="s">
        <v>17</v>
      </c>
      <c r="S21" s="771">
        <f>F21</f>
        <v>100</v>
      </c>
      <c r="T21" s="770" t="s">
        <v>17</v>
      </c>
      <c r="U21" s="771">
        <f>H21</f>
        <v>100</v>
      </c>
      <c r="V21" s="770" t="s">
        <v>17</v>
      </c>
      <c r="W21" s="771">
        <f>J21</f>
        <v>100</v>
      </c>
      <c r="X21" s="1807"/>
      <c r="Y21" s="3290"/>
      <c r="Z21" s="1808" t="str">
        <f>Q21</f>
        <v>基础设施水平</v>
      </c>
      <c r="AA21" s="1805">
        <f t="shared" ref="AA21" si="8">D21/F21</f>
        <v>1</v>
      </c>
      <c r="AB21" s="1805">
        <f t="shared" ref="AB21" si="9">D21/H21</f>
        <v>1</v>
      </c>
      <c r="AC21" s="1805">
        <f t="shared" ref="AC21" si="10">D21/J21</f>
        <v>1</v>
      </c>
    </row>
    <row r="22" spans="1:29" ht="15">
      <c r="A22" s="428"/>
      <c r="B22" s="1378"/>
      <c r="C22" s="2605"/>
      <c r="D22" s="448"/>
      <c r="E22" s="447"/>
      <c r="F22" s="448"/>
      <c r="G22" s="2608"/>
      <c r="H22" s="448"/>
      <c r="I22" s="447"/>
      <c r="J22" s="448"/>
      <c r="K22" s="2609"/>
      <c r="L22" s="1136"/>
      <c r="M22" s="1127"/>
      <c r="N22" s="1127"/>
      <c r="O22" s="1127"/>
      <c r="P22" s="3297"/>
      <c r="Q22" s="1804"/>
      <c r="R22" s="770"/>
      <c r="S22" s="771"/>
      <c r="T22" s="770"/>
      <c r="U22" s="771"/>
      <c r="V22" s="770"/>
      <c r="W22" s="771"/>
      <c r="X22" s="1807"/>
      <c r="Y22" s="3290"/>
      <c r="Z22" s="1808"/>
      <c r="AA22" s="1805">
        <v>1</v>
      </c>
      <c r="AB22" s="1805">
        <v>1</v>
      </c>
      <c r="AC22" s="1805">
        <v>1</v>
      </c>
    </row>
    <row r="23" spans="1:29" ht="15">
      <c r="A23" s="428"/>
      <c r="B23" s="451" t="s">
        <v>2094</v>
      </c>
      <c r="C23" s="260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97"/>
      <c r="Q23" s="1804" t="str">
        <f>B23</f>
        <v>自然及人文环境</v>
      </c>
      <c r="R23" s="770" t="s">
        <v>21</v>
      </c>
      <c r="S23" s="771">
        <f>F23</f>
        <v>100</v>
      </c>
      <c r="T23" s="770" t="s">
        <v>21</v>
      </c>
      <c r="U23" s="771">
        <f>H23</f>
        <v>100</v>
      </c>
      <c r="V23" s="770" t="s">
        <v>21</v>
      </c>
      <c r="W23" s="771">
        <f>J23</f>
        <v>100</v>
      </c>
      <c r="X23" s="1807"/>
      <c r="Y23" s="3290"/>
      <c r="Z23" s="1808" t="str">
        <f>Q23</f>
        <v>自然及人文环境</v>
      </c>
      <c r="AA23" s="1805">
        <f>D23/F23</f>
        <v>1</v>
      </c>
      <c r="AB23" s="1805">
        <f>D23/H23</f>
        <v>1</v>
      </c>
      <c r="AC23" s="1805">
        <f>D23/J23</f>
        <v>1</v>
      </c>
    </row>
    <row r="24" spans="1:29" ht="15">
      <c r="A24" s="428"/>
      <c r="B24" s="456"/>
      <c r="C24" s="447"/>
      <c r="D24" s="448"/>
      <c r="E24" s="2601"/>
      <c r="F24" s="448"/>
      <c r="G24" s="2602"/>
      <c r="H24" s="448"/>
      <c r="I24" s="2602"/>
      <c r="J24" s="448"/>
      <c r="K24" s="2603"/>
      <c r="L24" s="1136"/>
      <c r="M24" s="1127"/>
      <c r="N24" s="1127"/>
      <c r="O24" s="1127"/>
      <c r="P24" s="3297"/>
      <c r="Q24" s="1804"/>
      <c r="R24" s="770"/>
      <c r="S24" s="771"/>
      <c r="T24" s="770"/>
      <c r="U24" s="771"/>
      <c r="V24" s="770"/>
      <c r="W24" s="771"/>
      <c r="X24" s="1807"/>
      <c r="Y24" s="3290"/>
      <c r="Z24" s="1808"/>
      <c r="AA24" s="1805">
        <v>1</v>
      </c>
      <c r="AB24" s="1805">
        <v>1</v>
      </c>
      <c r="AC24" s="1805">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36"/>
      <c r="M25" s="1127"/>
      <c r="N25" s="1127"/>
      <c r="O25" s="1127"/>
      <c r="P25" s="3297"/>
      <c r="Q25" s="1804" t="str">
        <f t="shared" ref="Q25:Q46" si="11">B25</f>
        <v>楼层-1</v>
      </c>
      <c r="R25" s="770" t="s">
        <v>21</v>
      </c>
      <c r="S25" s="771">
        <f t="shared" ref="S25:S46" si="12">F25</f>
        <v>100</v>
      </c>
      <c r="T25" s="770" t="s">
        <v>21</v>
      </c>
      <c r="U25" s="771">
        <f t="shared" ref="U25:U46" si="13">H25</f>
        <v>100</v>
      </c>
      <c r="V25" s="770" t="s">
        <v>21</v>
      </c>
      <c r="W25" s="771">
        <f t="shared" ref="W25:W46" si="14">J25</f>
        <v>100</v>
      </c>
      <c r="X25" s="1807"/>
      <c r="Y25" s="3290"/>
      <c r="Z25" s="1808" t="str">
        <f>Q25</f>
        <v>楼层-1</v>
      </c>
      <c r="AA25" s="1805">
        <f t="shared" ref="AA25:AA46" si="15">D25/F25</f>
        <v>1</v>
      </c>
      <c r="AB25" s="1805">
        <f t="shared" ref="AB25:AB46" si="16">D25/H25</f>
        <v>1</v>
      </c>
      <c r="AC25" s="1805">
        <f t="shared" ref="AC25:AC46" si="17">D25/J25</f>
        <v>1</v>
      </c>
    </row>
    <row r="26" spans="1:29" ht="15">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36"/>
      <c r="M26" s="1127"/>
      <c r="N26" s="1127"/>
      <c r="O26" s="1127"/>
      <c r="P26" s="3297"/>
      <c r="Q26" s="1804" t="str">
        <f t="shared" si="11"/>
        <v>朝向</v>
      </c>
      <c r="R26" s="770" t="s">
        <v>21</v>
      </c>
      <c r="S26" s="771">
        <f t="shared" si="12"/>
        <v>100</v>
      </c>
      <c r="T26" s="770" t="s">
        <v>21</v>
      </c>
      <c r="U26" s="771">
        <f t="shared" si="13"/>
        <v>100</v>
      </c>
      <c r="V26" s="770" t="s">
        <v>21</v>
      </c>
      <c r="W26" s="771">
        <f t="shared" si="14"/>
        <v>100</v>
      </c>
      <c r="X26" s="1807"/>
      <c r="Y26" s="3290"/>
      <c r="Z26" s="1808" t="str">
        <f>Q26</f>
        <v>朝向</v>
      </c>
      <c r="AA26" s="1805">
        <f t="shared" si="15"/>
        <v>1</v>
      </c>
      <c r="AB26" s="1805">
        <f t="shared" si="16"/>
        <v>1</v>
      </c>
      <c r="AC26" s="1805">
        <f t="shared" si="17"/>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598"/>
      <c r="L27" s="1128"/>
      <c r="M27" s="1129"/>
      <c r="N27" s="1129"/>
      <c r="O27" s="1129"/>
      <c r="P27" s="3297"/>
      <c r="Q27" s="1789">
        <f t="shared" si="11"/>
        <v>111</v>
      </c>
      <c r="R27" s="766" t="s">
        <v>21</v>
      </c>
      <c r="S27" s="767">
        <f t="shared" si="12"/>
        <v>100</v>
      </c>
      <c r="T27" s="766" t="s">
        <v>21</v>
      </c>
      <c r="U27" s="767">
        <f t="shared" si="13"/>
        <v>100</v>
      </c>
      <c r="V27" s="766" t="s">
        <v>21</v>
      </c>
      <c r="W27" s="767">
        <f t="shared" si="14"/>
        <v>100</v>
      </c>
      <c r="X27" s="768"/>
      <c r="Y27" s="3290"/>
      <c r="Z27" s="55">
        <f>Q27</f>
        <v>111</v>
      </c>
      <c r="AA27" s="1805">
        <f t="shared" si="15"/>
        <v>1</v>
      </c>
      <c r="AB27" s="1805">
        <f t="shared" si="16"/>
        <v>1</v>
      </c>
      <c r="AC27" s="1805">
        <f t="shared" si="17"/>
        <v>1</v>
      </c>
    </row>
    <row r="28" spans="1:29" ht="15">
      <c r="A28" s="428"/>
      <c r="B28" s="1380">
        <v>111</v>
      </c>
      <c r="C28" s="434"/>
      <c r="D28" s="435">
        <v>100</v>
      </c>
      <c r="E28" s="434"/>
      <c r="F28" s="435">
        <f>SUMIF(92:92,E28,93:93)-SUMIF(92:92,C28,93:93)+100</f>
        <v>100</v>
      </c>
      <c r="G28" s="2612"/>
      <c r="H28" s="435">
        <f>SUMIF(92:92,G28,93:93)-SUMIF(92:92,C28,93:93)+100</f>
        <v>100</v>
      </c>
      <c r="I28" s="434"/>
      <c r="J28" s="435">
        <f>SUMIF(92:92,I28,93:93)-SUMIF(92:92,C28,93:93)+100</f>
        <v>100</v>
      </c>
      <c r="K28" s="2598"/>
      <c r="L28" s="1136"/>
      <c r="M28" s="1127"/>
      <c r="N28" s="1127"/>
      <c r="O28" s="1127"/>
      <c r="P28" s="3297"/>
      <c r="Q28" s="1804">
        <f t="shared" si="11"/>
        <v>111</v>
      </c>
      <c r="R28" s="770" t="s">
        <v>21</v>
      </c>
      <c r="S28" s="771">
        <f t="shared" si="12"/>
        <v>100</v>
      </c>
      <c r="T28" s="770" t="s">
        <v>21</v>
      </c>
      <c r="U28" s="771">
        <f t="shared" si="13"/>
        <v>100</v>
      </c>
      <c r="V28" s="770" t="s">
        <v>21</v>
      </c>
      <c r="W28" s="771">
        <f t="shared" si="14"/>
        <v>100</v>
      </c>
      <c r="X28" s="1807"/>
      <c r="Y28" s="3290"/>
      <c r="Z28" s="1808">
        <f t="shared" ref="Z28:Z46" si="18">Q28</f>
        <v>111</v>
      </c>
      <c r="AA28" s="1805">
        <f t="shared" si="15"/>
        <v>1</v>
      </c>
      <c r="AB28" s="1805">
        <f t="shared" si="16"/>
        <v>1</v>
      </c>
      <c r="AC28" s="1805">
        <f t="shared" si="17"/>
        <v>1</v>
      </c>
    </row>
    <row r="29" spans="1:29" ht="15">
      <c r="A29" s="428"/>
      <c r="B29" s="1380">
        <v>111</v>
      </c>
      <c r="C29" s="434"/>
      <c r="D29" s="435">
        <v>100</v>
      </c>
      <c r="E29" s="434"/>
      <c r="F29" s="435">
        <f>SUMIF(94:94,E29,95:95)-SUMIF(94:94,C29,95:95)+100</f>
        <v>100</v>
      </c>
      <c r="G29" s="2612"/>
      <c r="H29" s="435">
        <f>SUMIF(94:94,G29,95:95)-SUMIF(94:94,C29,95:95)+100</f>
        <v>100</v>
      </c>
      <c r="I29" s="434"/>
      <c r="J29" s="435">
        <f>SUMIF(94:94,I29,95:95)-SUMIF(94:94,C29,95:95)+100</f>
        <v>100</v>
      </c>
      <c r="K29" s="2598"/>
      <c r="L29" s="1136"/>
      <c r="M29" s="1127"/>
      <c r="N29" s="1127"/>
      <c r="O29" s="1127"/>
      <c r="P29" s="3297"/>
      <c r="Q29" s="1804">
        <f t="shared" si="11"/>
        <v>111</v>
      </c>
      <c r="R29" s="770" t="s">
        <v>21</v>
      </c>
      <c r="S29" s="771">
        <f t="shared" si="12"/>
        <v>100</v>
      </c>
      <c r="T29" s="770" t="s">
        <v>21</v>
      </c>
      <c r="U29" s="771">
        <f t="shared" si="13"/>
        <v>100</v>
      </c>
      <c r="V29" s="770" t="s">
        <v>21</v>
      </c>
      <c r="W29" s="771">
        <f t="shared" si="14"/>
        <v>100</v>
      </c>
      <c r="X29" s="1807"/>
      <c r="Y29" s="3290"/>
      <c r="Z29" s="1808">
        <f t="shared" si="18"/>
        <v>111</v>
      </c>
      <c r="AA29" s="1805">
        <f t="shared" si="15"/>
        <v>1</v>
      </c>
      <c r="AB29" s="1805">
        <f t="shared" si="16"/>
        <v>1</v>
      </c>
      <c r="AC29" s="1805">
        <f t="shared" si="17"/>
        <v>1</v>
      </c>
    </row>
    <row r="30" spans="1:29" ht="15">
      <c r="A30" s="428"/>
      <c r="B30" s="1380">
        <v>111</v>
      </c>
      <c r="C30" s="434"/>
      <c r="D30" s="435">
        <v>100</v>
      </c>
      <c r="E30" s="434"/>
      <c r="F30" s="435">
        <f>SUMIF(96:96,E30,97:97)-SUMIF(96:96,C30,97:97)+100</f>
        <v>100</v>
      </c>
      <c r="G30" s="2612"/>
      <c r="H30" s="435">
        <f>SUMIF(96:96,G30,97:97)-SUMIF(96:96,C30,97:97)+100</f>
        <v>100</v>
      </c>
      <c r="I30" s="434"/>
      <c r="J30" s="435">
        <f>SUMIF(96:96,I30,97:97)-SUMIF(96:96,C30,97:97)+100</f>
        <v>100</v>
      </c>
      <c r="K30" s="2598"/>
      <c r="L30" s="1136"/>
      <c r="M30" s="1127"/>
      <c r="N30" s="1127"/>
      <c r="O30" s="1127"/>
      <c r="P30" s="3297"/>
      <c r="Q30" s="1804">
        <f t="shared" si="11"/>
        <v>111</v>
      </c>
      <c r="R30" s="770" t="s">
        <v>21</v>
      </c>
      <c r="S30" s="771">
        <f t="shared" si="12"/>
        <v>100</v>
      </c>
      <c r="T30" s="770" t="s">
        <v>21</v>
      </c>
      <c r="U30" s="771">
        <f t="shared" si="13"/>
        <v>100</v>
      </c>
      <c r="V30" s="770" t="s">
        <v>21</v>
      </c>
      <c r="W30" s="771">
        <f t="shared" si="14"/>
        <v>100</v>
      </c>
      <c r="X30" s="1807"/>
      <c r="Y30" s="3290"/>
      <c r="Z30" s="1808">
        <f t="shared" si="18"/>
        <v>111</v>
      </c>
      <c r="AA30" s="1805">
        <f t="shared" si="15"/>
        <v>1</v>
      </c>
      <c r="AB30" s="1805">
        <f t="shared" si="16"/>
        <v>1</v>
      </c>
      <c r="AC30" s="1805">
        <f t="shared" si="17"/>
        <v>1</v>
      </c>
    </row>
    <row r="31" spans="1:29" ht="15.75" thickBot="1">
      <c r="A31" s="436"/>
      <c r="B31" s="1380">
        <v>111</v>
      </c>
      <c r="C31" s="437"/>
      <c r="D31" s="438">
        <v>100</v>
      </c>
      <c r="E31" s="437"/>
      <c r="F31" s="438">
        <f>SUMIF(98:98,E31,99:99)-SUMIF(98:98,C31,99:99)+100</f>
        <v>100</v>
      </c>
      <c r="G31" s="2613"/>
      <c r="H31" s="438">
        <f>SUMIF(98:98,G31,99:99)-SUMIF(98:98,C31,99:99)+100</f>
        <v>100</v>
      </c>
      <c r="I31" s="437"/>
      <c r="J31" s="438">
        <f>SUMIF(98:98,I31,99:99)-SUMIF(98:98,C31,99:99)+100</f>
        <v>100</v>
      </c>
      <c r="K31" s="2598"/>
      <c r="L31" s="1136"/>
      <c r="M31" s="1127"/>
      <c r="N31" s="1127"/>
      <c r="O31" s="1127"/>
      <c r="P31" s="3297"/>
      <c r="Q31" s="1804">
        <f t="shared" si="11"/>
        <v>111</v>
      </c>
      <c r="R31" s="770" t="s">
        <v>21</v>
      </c>
      <c r="S31" s="771">
        <f t="shared" si="12"/>
        <v>100</v>
      </c>
      <c r="T31" s="770" t="s">
        <v>21</v>
      </c>
      <c r="U31" s="771">
        <f t="shared" si="13"/>
        <v>100</v>
      </c>
      <c r="V31" s="770" t="s">
        <v>21</v>
      </c>
      <c r="W31" s="771">
        <f t="shared" si="14"/>
        <v>100</v>
      </c>
      <c r="X31" s="1807"/>
      <c r="Y31" s="3290"/>
      <c r="Z31" s="1808">
        <f t="shared" si="18"/>
        <v>111</v>
      </c>
      <c r="AA31" s="1805">
        <f t="shared" si="15"/>
        <v>1</v>
      </c>
      <c r="AB31" s="1805">
        <f t="shared" si="16"/>
        <v>1</v>
      </c>
      <c r="AC31" s="1805">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6"/>
      <c r="M32" s="1127"/>
      <c r="N32" s="1127"/>
      <c r="O32" s="1127"/>
      <c r="P32" s="3291" t="s">
        <v>2557</v>
      </c>
      <c r="Q32" s="1804" t="str">
        <f t="shared" si="11"/>
        <v>建筑类型</v>
      </c>
      <c r="R32" s="770" t="s">
        <v>21</v>
      </c>
      <c r="S32" s="771">
        <f t="shared" si="12"/>
        <v>100</v>
      </c>
      <c r="T32" s="770" t="s">
        <v>21</v>
      </c>
      <c r="U32" s="771">
        <f t="shared" si="13"/>
        <v>100</v>
      </c>
      <c r="V32" s="770" t="s">
        <v>21</v>
      </c>
      <c r="W32" s="771">
        <f t="shared" si="14"/>
        <v>100</v>
      </c>
      <c r="X32" s="1807"/>
      <c r="Y32" s="3294" t="s">
        <v>2557</v>
      </c>
      <c r="Z32" s="1808" t="str">
        <f t="shared" si="18"/>
        <v>建筑类型</v>
      </c>
      <c r="AA32" s="1805">
        <f t="shared" si="15"/>
        <v>1</v>
      </c>
      <c r="AB32" s="1805">
        <f t="shared" si="16"/>
        <v>1</v>
      </c>
      <c r="AC32" s="1805">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4"/>
      <c r="M33" s="1137"/>
      <c r="N33" s="1137"/>
      <c r="O33" s="1137"/>
      <c r="P33" s="3292"/>
      <c r="Q33" s="772" t="str">
        <f t="shared" si="11"/>
        <v>项目建筑规模</v>
      </c>
      <c r="R33" s="773" t="s">
        <v>21</v>
      </c>
      <c r="S33" s="774" t="e">
        <f t="shared" si="12"/>
        <v>#N/A</v>
      </c>
      <c r="T33" s="773" t="s">
        <v>21</v>
      </c>
      <c r="U33" s="774" t="e">
        <f t="shared" si="13"/>
        <v>#N/A</v>
      </c>
      <c r="V33" s="773" t="s">
        <v>21</v>
      </c>
      <c r="W33" s="774" t="e">
        <f t="shared" si="14"/>
        <v>#N/A</v>
      </c>
      <c r="X33" s="775"/>
      <c r="Y33" s="3294"/>
      <c r="Z33" s="776" t="str">
        <f t="shared" si="18"/>
        <v>项目建筑规模</v>
      </c>
      <c r="AA33" s="1805" t="e">
        <f t="shared" si="15"/>
        <v>#N/A</v>
      </c>
      <c r="AB33" s="1805" t="e">
        <f t="shared" si="16"/>
        <v>#N/A</v>
      </c>
      <c r="AC33" s="1805" t="e">
        <f t="shared" si="17"/>
        <v>#N/A</v>
      </c>
    </row>
    <row r="34" spans="1:29" ht="15">
      <c r="A34" s="472"/>
      <c r="B34" s="422" t="s">
        <v>2559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6"/>
      <c r="M34" s="1127"/>
      <c r="N34" s="1127"/>
      <c r="O34" s="1127"/>
      <c r="P34" s="3292"/>
      <c r="Q34" s="1804" t="str">
        <f t="shared" si="11"/>
        <v>建筑结构</v>
      </c>
      <c r="R34" s="770" t="s">
        <v>21</v>
      </c>
      <c r="S34" s="771">
        <f t="shared" si="12"/>
        <v>100</v>
      </c>
      <c r="T34" s="770" t="s">
        <v>21</v>
      </c>
      <c r="U34" s="771">
        <f t="shared" si="13"/>
        <v>100</v>
      </c>
      <c r="V34" s="770" t="s">
        <v>21</v>
      </c>
      <c r="W34" s="771">
        <f t="shared" si="14"/>
        <v>100</v>
      </c>
      <c r="X34" s="1807"/>
      <c r="Y34" s="3294"/>
      <c r="Z34" s="1808" t="str">
        <f t="shared" si="18"/>
        <v>建筑结构</v>
      </c>
      <c r="AA34" s="1805">
        <f t="shared" si="15"/>
        <v>1</v>
      </c>
      <c r="AB34" s="1805">
        <f t="shared" si="16"/>
        <v>1</v>
      </c>
      <c r="AC34" s="1805">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6"/>
      <c r="M35" s="1127"/>
      <c r="N35" s="1127"/>
      <c r="O35" s="1127"/>
      <c r="P35" s="3292"/>
      <c r="Q35" s="1804" t="str">
        <f t="shared" si="11"/>
        <v>建筑品质</v>
      </c>
      <c r="R35" s="770" t="s">
        <v>21</v>
      </c>
      <c r="S35" s="771">
        <f t="shared" si="12"/>
        <v>100</v>
      </c>
      <c r="T35" s="770" t="s">
        <v>21</v>
      </c>
      <c r="U35" s="771">
        <f t="shared" si="13"/>
        <v>100</v>
      </c>
      <c r="V35" s="770" t="s">
        <v>21</v>
      </c>
      <c r="W35" s="771">
        <f t="shared" si="14"/>
        <v>100</v>
      </c>
      <c r="X35" s="1807"/>
      <c r="Y35" s="3294"/>
      <c r="Z35" s="1808" t="str">
        <f t="shared" si="18"/>
        <v>建筑品质</v>
      </c>
      <c r="AA35" s="1805">
        <f t="shared" si="15"/>
        <v>1</v>
      </c>
      <c r="AB35" s="1805">
        <f t="shared" si="16"/>
        <v>1</v>
      </c>
      <c r="AC35" s="1805">
        <f t="shared" si="17"/>
        <v>1</v>
      </c>
    </row>
    <row r="36" spans="1:29" ht="15">
      <c r="A36" s="472"/>
      <c r="B36" s="422" t="s">
        <v>2561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6"/>
      <c r="M36" s="1127"/>
      <c r="N36" s="1127"/>
      <c r="O36" s="1127"/>
      <c r="P36" s="3292"/>
      <c r="Q36" s="1804" t="str">
        <f t="shared" si="11"/>
        <v>公共部分装修</v>
      </c>
      <c r="R36" s="770" t="s">
        <v>21</v>
      </c>
      <c r="S36" s="771">
        <f t="shared" si="12"/>
        <v>100</v>
      </c>
      <c r="T36" s="770" t="s">
        <v>21</v>
      </c>
      <c r="U36" s="771">
        <f t="shared" si="13"/>
        <v>100</v>
      </c>
      <c r="V36" s="770" t="s">
        <v>21</v>
      </c>
      <c r="W36" s="771">
        <f t="shared" si="14"/>
        <v>100</v>
      </c>
      <c r="X36" s="1807"/>
      <c r="Y36" s="3294"/>
      <c r="Z36" s="1808" t="str">
        <f t="shared" si="18"/>
        <v>公共部分装修</v>
      </c>
      <c r="AA36" s="1805">
        <f t="shared" si="15"/>
        <v>1</v>
      </c>
      <c r="AB36" s="1805">
        <f t="shared" si="16"/>
        <v>1</v>
      </c>
      <c r="AC36" s="1805">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92"/>
      <c r="Q37" s="1789" t="str">
        <f t="shared" si="11"/>
        <v>成新度</v>
      </c>
      <c r="R37" s="766" t="s">
        <v>21</v>
      </c>
      <c r="S37" s="767" t="e">
        <f t="shared" si="12"/>
        <v>#N/A</v>
      </c>
      <c r="T37" s="766" t="s">
        <v>21</v>
      </c>
      <c r="U37" s="767" t="e">
        <f t="shared" si="13"/>
        <v>#N/A</v>
      </c>
      <c r="V37" s="766" t="s">
        <v>21</v>
      </c>
      <c r="W37" s="767" t="e">
        <f t="shared" si="14"/>
        <v>#N/A</v>
      </c>
      <c r="X37" s="768"/>
      <c r="Y37" s="3294"/>
      <c r="Z37" s="55" t="str">
        <f t="shared" si="18"/>
        <v>成新度</v>
      </c>
      <c r="AA37" s="769" t="e">
        <f t="shared" si="15"/>
        <v>#N/A</v>
      </c>
      <c r="AB37" s="769" t="e">
        <f t="shared" si="16"/>
        <v>#N/A</v>
      </c>
      <c r="AC37" s="769" t="e">
        <f t="shared" si="17"/>
        <v>#N/A</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6"/>
      <c r="M38" s="1127"/>
      <c r="N38" s="1127"/>
      <c r="O38" s="1127"/>
      <c r="P38" s="3292" t="s">
        <v>2557</v>
      </c>
      <c r="Q38" s="1804" t="str">
        <f t="shared" si="11"/>
        <v>物业管理</v>
      </c>
      <c r="R38" s="770" t="s">
        <v>21</v>
      </c>
      <c r="S38" s="771">
        <f t="shared" si="12"/>
        <v>100</v>
      </c>
      <c r="T38" s="770" t="s">
        <v>21</v>
      </c>
      <c r="U38" s="771">
        <f t="shared" si="13"/>
        <v>100</v>
      </c>
      <c r="V38" s="770" t="s">
        <v>21</v>
      </c>
      <c r="W38" s="771">
        <f t="shared" si="14"/>
        <v>100</v>
      </c>
      <c r="X38" s="1807"/>
      <c r="Y38" s="3294" t="s">
        <v>2557</v>
      </c>
      <c r="Z38" s="1808" t="str">
        <f t="shared" si="18"/>
        <v>物业管理</v>
      </c>
      <c r="AA38" s="1805">
        <f t="shared" si="15"/>
        <v>1</v>
      </c>
      <c r="AB38" s="1805">
        <f t="shared" si="16"/>
        <v>1</v>
      </c>
      <c r="AC38" s="1805">
        <f t="shared" si="17"/>
        <v>1</v>
      </c>
    </row>
    <row r="39" spans="1:29" ht="15">
      <c r="A39" s="472"/>
      <c r="B39" s="422" t="s">
        <v>2564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6"/>
      <c r="M39" s="1127"/>
      <c r="N39" s="1127"/>
      <c r="O39" s="1127"/>
      <c r="P39" s="3292"/>
      <c r="Q39" s="1804" t="str">
        <f t="shared" si="11"/>
        <v>市政基础设施</v>
      </c>
      <c r="R39" s="770" t="s">
        <v>21</v>
      </c>
      <c r="S39" s="771">
        <f t="shared" si="12"/>
        <v>100</v>
      </c>
      <c r="T39" s="770" t="s">
        <v>21</v>
      </c>
      <c r="U39" s="771">
        <f t="shared" si="13"/>
        <v>100</v>
      </c>
      <c r="V39" s="770" t="s">
        <v>21</v>
      </c>
      <c r="W39" s="771">
        <f t="shared" si="14"/>
        <v>100</v>
      </c>
      <c r="X39" s="1807"/>
      <c r="Y39" s="3294"/>
      <c r="Z39" s="1808" t="str">
        <f t="shared" si="18"/>
        <v>市政基础设施</v>
      </c>
      <c r="AA39" s="1805">
        <f t="shared" si="15"/>
        <v>1</v>
      </c>
      <c r="AB39" s="1805">
        <f t="shared" si="16"/>
        <v>1</v>
      </c>
      <c r="AC39" s="1805">
        <f t="shared" si="17"/>
        <v>1</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6"/>
      <c r="M40" s="1127"/>
      <c r="N40" s="1127"/>
      <c r="O40" s="1127"/>
      <c r="P40" s="3292"/>
      <c r="Q40" s="1804" t="str">
        <f t="shared" si="11"/>
        <v>房型</v>
      </c>
      <c r="R40" s="770" t="s">
        <v>21</v>
      </c>
      <c r="S40" s="771">
        <f t="shared" si="12"/>
        <v>100</v>
      </c>
      <c r="T40" s="770" t="s">
        <v>21</v>
      </c>
      <c r="U40" s="771">
        <f t="shared" si="13"/>
        <v>100</v>
      </c>
      <c r="V40" s="770" t="s">
        <v>21</v>
      </c>
      <c r="W40" s="771">
        <f t="shared" si="14"/>
        <v>100</v>
      </c>
      <c r="X40" s="1807"/>
      <c r="Y40" s="3294"/>
      <c r="Z40" s="1808" t="str">
        <f t="shared" si="18"/>
        <v>房型</v>
      </c>
      <c r="AA40" s="1805">
        <f t="shared" si="15"/>
        <v>1</v>
      </c>
      <c r="AB40" s="1805">
        <f t="shared" si="16"/>
        <v>1</v>
      </c>
      <c r="AC40" s="1805">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4"/>
      <c r="M41" s="1137"/>
      <c r="N41" s="1137"/>
      <c r="O41" s="1137"/>
      <c r="P41" s="3292"/>
      <c r="Q41" s="772" t="str">
        <f t="shared" si="11"/>
        <v>单套/主力户型建筑面积</v>
      </c>
      <c r="R41" s="773" t="s">
        <v>21</v>
      </c>
      <c r="S41" s="774">
        <f t="shared" si="12"/>
        <v>100</v>
      </c>
      <c r="T41" s="773" t="s">
        <v>21</v>
      </c>
      <c r="U41" s="774">
        <f t="shared" si="13"/>
        <v>100</v>
      </c>
      <c r="V41" s="773" t="s">
        <v>21</v>
      </c>
      <c r="W41" s="774">
        <f t="shared" si="14"/>
        <v>100</v>
      </c>
      <c r="X41" s="775"/>
      <c r="Y41" s="3294"/>
      <c r="Z41" s="776" t="str">
        <f t="shared" si="18"/>
        <v>单套/主力户型建筑面积</v>
      </c>
      <c r="AA41" s="1805">
        <f t="shared" si="15"/>
        <v>1</v>
      </c>
      <c r="AB41" s="1805">
        <f t="shared" si="16"/>
        <v>1</v>
      </c>
      <c r="AC41" s="1805">
        <f t="shared" si="17"/>
        <v>1</v>
      </c>
    </row>
    <row r="42" spans="1:29" ht="15">
      <c r="A42" s="472"/>
      <c r="B42" s="422" t="s">
        <v>2567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6"/>
      <c r="M42" s="1127"/>
      <c r="N42" s="1127"/>
      <c r="O42" s="1127"/>
      <c r="P42" s="3292"/>
      <c r="Q42" s="1804" t="str">
        <f t="shared" si="11"/>
        <v>内部装修</v>
      </c>
      <c r="R42" s="770" t="s">
        <v>21</v>
      </c>
      <c r="S42" s="771">
        <f t="shared" si="12"/>
        <v>100</v>
      </c>
      <c r="T42" s="770" t="s">
        <v>21</v>
      </c>
      <c r="U42" s="771">
        <f t="shared" si="13"/>
        <v>100</v>
      </c>
      <c r="V42" s="770" t="s">
        <v>21</v>
      </c>
      <c r="W42" s="771">
        <f t="shared" si="14"/>
        <v>100</v>
      </c>
      <c r="X42" s="1807"/>
      <c r="Y42" s="3294"/>
      <c r="Z42" s="1808" t="str">
        <f t="shared" si="18"/>
        <v>内部装修</v>
      </c>
      <c r="AA42" s="1805">
        <f t="shared" si="15"/>
        <v>1</v>
      </c>
      <c r="AB42" s="1805">
        <f t="shared" si="16"/>
        <v>1</v>
      </c>
      <c r="AC42" s="1805">
        <f t="shared" si="17"/>
        <v>1</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6"/>
      <c r="M43" s="1127"/>
      <c r="N43" s="1127"/>
      <c r="O43" s="1127"/>
      <c r="P43" s="3292"/>
      <c r="Q43" s="1804" t="str">
        <f t="shared" si="11"/>
        <v>内部装修维护情况</v>
      </c>
      <c r="R43" s="770" t="s">
        <v>21</v>
      </c>
      <c r="S43" s="771">
        <f t="shared" si="12"/>
        <v>100</v>
      </c>
      <c r="T43" s="770" t="s">
        <v>21</v>
      </c>
      <c r="U43" s="771">
        <f t="shared" si="13"/>
        <v>100</v>
      </c>
      <c r="V43" s="770" t="s">
        <v>21</v>
      </c>
      <c r="W43" s="771">
        <f t="shared" si="14"/>
        <v>100</v>
      </c>
      <c r="X43" s="1807"/>
      <c r="Y43" s="3294"/>
      <c r="Z43" s="1808" t="str">
        <f t="shared" si="18"/>
        <v>内部装修维护情况</v>
      </c>
      <c r="AA43" s="1805">
        <f t="shared" si="15"/>
        <v>1</v>
      </c>
      <c r="AB43" s="1805">
        <f t="shared" si="16"/>
        <v>1</v>
      </c>
      <c r="AC43" s="1805">
        <f t="shared" si="17"/>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8"/>
      <c r="M44" s="1129"/>
      <c r="N44" s="1129"/>
      <c r="O44" s="1129"/>
      <c r="P44" s="3292"/>
      <c r="Q44" s="1789">
        <f t="shared" si="11"/>
        <v>111</v>
      </c>
      <c r="R44" s="766" t="s">
        <v>21</v>
      </c>
      <c r="S44" s="767">
        <f t="shared" si="12"/>
        <v>100</v>
      </c>
      <c r="T44" s="766" t="s">
        <v>21</v>
      </c>
      <c r="U44" s="767">
        <f t="shared" si="13"/>
        <v>100</v>
      </c>
      <c r="V44" s="766" t="s">
        <v>21</v>
      </c>
      <c r="W44" s="767">
        <f t="shared" si="14"/>
        <v>100</v>
      </c>
      <c r="X44" s="768"/>
      <c r="Y44" s="3294"/>
      <c r="Z44" s="55">
        <f t="shared" si="18"/>
        <v>111</v>
      </c>
      <c r="AA44" s="769">
        <f t="shared" si="15"/>
        <v>1</v>
      </c>
      <c r="AB44" s="769">
        <f t="shared" si="16"/>
        <v>1</v>
      </c>
      <c r="AC44" s="769">
        <f t="shared" si="17"/>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6"/>
      <c r="M45" s="1127"/>
      <c r="N45" s="1127"/>
      <c r="O45" s="1127"/>
      <c r="P45" s="3292"/>
      <c r="Q45" s="1804">
        <f t="shared" si="11"/>
        <v>111</v>
      </c>
      <c r="R45" s="770" t="s">
        <v>21</v>
      </c>
      <c r="S45" s="771">
        <f t="shared" si="12"/>
        <v>100</v>
      </c>
      <c r="T45" s="770" t="s">
        <v>21</v>
      </c>
      <c r="U45" s="771">
        <f t="shared" si="13"/>
        <v>100</v>
      </c>
      <c r="V45" s="770" t="s">
        <v>21</v>
      </c>
      <c r="W45" s="771">
        <f t="shared" si="14"/>
        <v>100</v>
      </c>
      <c r="X45" s="1807"/>
      <c r="Y45" s="3294"/>
      <c r="Z45" s="1808">
        <f t="shared" si="18"/>
        <v>111</v>
      </c>
      <c r="AA45" s="1805">
        <f t="shared" si="15"/>
        <v>1</v>
      </c>
      <c r="AB45" s="1805">
        <f t="shared" si="16"/>
        <v>1</v>
      </c>
      <c r="AC45" s="1805">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6"/>
      <c r="M46" s="1127"/>
      <c r="N46" s="1127"/>
      <c r="O46" s="1127"/>
      <c r="P46" s="3293"/>
      <c r="Q46" s="1804">
        <f t="shared" si="11"/>
        <v>111</v>
      </c>
      <c r="R46" s="770" t="s">
        <v>20</v>
      </c>
      <c r="S46" s="771">
        <f t="shared" si="12"/>
        <v>100</v>
      </c>
      <c r="T46" s="770" t="s">
        <v>20</v>
      </c>
      <c r="U46" s="771">
        <f t="shared" si="13"/>
        <v>100</v>
      </c>
      <c r="V46" s="770" t="s">
        <v>20</v>
      </c>
      <c r="W46" s="771">
        <f t="shared" si="14"/>
        <v>100</v>
      </c>
      <c r="X46" s="1807"/>
      <c r="Y46" s="3295"/>
      <c r="Z46" s="1808">
        <f t="shared" si="18"/>
        <v>111</v>
      </c>
      <c r="AA46" s="1805">
        <f t="shared" si="15"/>
        <v>1</v>
      </c>
      <c r="AB46" s="1805">
        <f t="shared" si="16"/>
        <v>1</v>
      </c>
      <c r="AC46" s="1805">
        <f t="shared" si="17"/>
        <v>1</v>
      </c>
    </row>
    <row r="47" spans="1:29" ht="15">
      <c r="A47" s="479" t="s">
        <v>2569</v>
      </c>
      <c r="B47" s="480"/>
      <c r="C47" s="1401" t="s">
        <v>19</v>
      </c>
      <c r="D47" s="1402"/>
      <c r="E47" s="1403"/>
      <c r="F47" s="1404"/>
      <c r="G47" s="1405"/>
      <c r="H47" s="1406"/>
      <c r="I47" s="1403"/>
      <c r="J47" s="1406"/>
      <c r="K47" s="2618"/>
      <c r="L47" s="1139"/>
      <c r="M47" s="1140"/>
      <c r="N47" s="1127"/>
      <c r="O47" s="1140"/>
      <c r="P47" s="3287" t="str">
        <f>A47</f>
        <v>成交单价（元/平方米）</v>
      </c>
      <c r="Q47" s="3287"/>
      <c r="R47" s="3288">
        <f>E47</f>
        <v>0</v>
      </c>
      <c r="S47" s="3288"/>
      <c r="T47" s="3288">
        <f>G47</f>
        <v>0</v>
      </c>
      <c r="U47" s="3288"/>
      <c r="V47" s="3288">
        <f>I47</f>
        <v>0</v>
      </c>
      <c r="W47" s="3288"/>
      <c r="X47" s="755"/>
      <c r="Y47" s="777"/>
      <c r="Z47" s="755"/>
      <c r="AA47" s="755"/>
      <c r="AB47" s="755"/>
      <c r="AC47" s="755"/>
    </row>
    <row r="48" spans="1:29" ht="15.75" thickBot="1">
      <c r="A48" s="486" t="s">
        <v>2570</v>
      </c>
      <c r="B48" s="487"/>
      <c r="C48" s="1407" t="e">
        <f>R49</f>
        <v>#DIV/0!</v>
      </c>
      <c r="D48" s="1408"/>
      <c r="E48" s="1409" t="e">
        <f>R48</f>
        <v>#DIV/0!</v>
      </c>
      <c r="F48" s="1409"/>
      <c r="G48" s="1407" t="e">
        <f>T48</f>
        <v>#DIV/0!</v>
      </c>
      <c r="H48" s="1408"/>
      <c r="I48" s="1409" t="e">
        <f>V48</f>
        <v>#DIV/0!</v>
      </c>
      <c r="J48" s="1408"/>
      <c r="K48" s="2619"/>
      <c r="L48" s="1139"/>
      <c r="M48" s="1140"/>
      <c r="N48" s="1140"/>
      <c r="O48" s="1140"/>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755"/>
      <c r="Y48" s="755"/>
      <c r="Z48" s="755"/>
      <c r="AA48" s="755"/>
      <c r="AB48" s="755"/>
      <c r="AC48" s="755"/>
    </row>
    <row r="49" spans="1:29" ht="15.75" thickBot="1">
      <c r="A49" s="492" t="s">
        <v>2571</v>
      </c>
      <c r="B49" s="493"/>
      <c r="C49" s="1410" t="e">
        <f>R49</f>
        <v>#DIV/0!</v>
      </c>
      <c r="D49" s="1411"/>
      <c r="E49" s="1411"/>
      <c r="F49" s="1411"/>
      <c r="G49" s="1411"/>
      <c r="H49" s="1411"/>
      <c r="I49" s="1411"/>
      <c r="J49" s="1411"/>
      <c r="K49" s="2620"/>
      <c r="L49" s="1139"/>
      <c r="M49" s="1140"/>
      <c r="N49" s="1140"/>
      <c r="O49" s="1140"/>
      <c r="P49" s="3284" t="str">
        <f>A49</f>
        <v>估价对象XX用房的比较价值（楼面单价，元/平方米）</v>
      </c>
      <c r="Q49" s="3285"/>
      <c r="R49" s="3286" t="e">
        <f>IF(F1="售价",ROUND(AVERAGE(R48:V48),0),ROUND(AVERAGE(R48:V48),1))</f>
        <v>#DIV/0!</v>
      </c>
      <c r="S49" s="3286"/>
      <c r="T49" s="3286"/>
      <c r="U49" s="3286"/>
      <c r="V49" s="3286"/>
      <c r="W49" s="3286"/>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2"/>
    </row>
    <row r="55" spans="1:29" s="502"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1.75" thickBot="1">
      <c r="A57" s="759" t="s">
        <v>2575</v>
      </c>
      <c r="B57" s="755"/>
      <c r="C57" s="760"/>
      <c r="D57" s="760"/>
      <c r="E57" s="760"/>
      <c r="F57" s="761"/>
      <c r="G57" s="761"/>
      <c r="H57" s="760"/>
      <c r="I57" s="760"/>
      <c r="J57" s="760"/>
      <c r="K57" s="1156"/>
      <c r="L57" s="1157"/>
      <c r="M57" s="1155"/>
      <c r="N57" s="1155"/>
      <c r="O57" s="1155"/>
      <c r="P57" s="2623"/>
      <c r="Q57" s="504"/>
    </row>
    <row r="58" spans="1:29" s="508" customFormat="1" ht="15">
      <c r="A58" s="505" t="s">
        <v>2576</v>
      </c>
      <c r="B58" s="506"/>
      <c r="C58" s="1570" t="str">
        <f>YEAR(C7)&amp;"-"&amp;MONTH(C7)</f>
        <v>2019-7</v>
      </c>
      <c r="D58" s="1569">
        <f>EDATE(C58,-1)</f>
        <v>43617</v>
      </c>
      <c r="E58" s="1569">
        <f>EDATE(D58,-1)</f>
        <v>43586</v>
      </c>
      <c r="F58" s="1569">
        <f t="shared" ref="F58:O58" si="19">EDATE(E58,-1)</f>
        <v>43556</v>
      </c>
      <c r="G58" s="1569">
        <f t="shared" si="19"/>
        <v>43525</v>
      </c>
      <c r="H58" s="1569">
        <f t="shared" si="19"/>
        <v>43497</v>
      </c>
      <c r="I58" s="1569">
        <f t="shared" si="19"/>
        <v>43466</v>
      </c>
      <c r="J58" s="1569">
        <f t="shared" si="19"/>
        <v>43435</v>
      </c>
      <c r="K58" s="1569">
        <f t="shared" si="19"/>
        <v>43405</v>
      </c>
      <c r="L58" s="1569">
        <f t="shared" si="19"/>
        <v>43374</v>
      </c>
      <c r="M58" s="1569">
        <f t="shared" si="19"/>
        <v>43344</v>
      </c>
      <c r="N58" s="1569">
        <f t="shared" si="19"/>
        <v>43313</v>
      </c>
      <c r="O58" s="1569">
        <f t="shared" si="19"/>
        <v>43282</v>
      </c>
      <c r="P58" s="1564"/>
    </row>
    <row r="59" spans="1:29" s="117" customFormat="1" ht="15">
      <c r="A59" s="509"/>
      <c r="B59" s="2624"/>
      <c r="C59" s="1567">
        <v>100</v>
      </c>
      <c r="D59" s="511"/>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2578</v>
      </c>
      <c r="B61" s="510"/>
      <c r="C61" s="522" t="s">
        <v>2579</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2580</v>
      </c>
      <c r="B63" s="528" t="s">
        <v>2546</v>
      </c>
      <c r="C63" s="529">
        <f>C9</f>
        <v>0</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8"/>
      <c r="O65" s="1148"/>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7"/>
      <c r="Q67" s="504"/>
    </row>
    <row r="68" spans="1:17" ht="15">
      <c r="A68" s="534"/>
      <c r="B68" s="548"/>
      <c r="C68" s="549"/>
      <c r="D68" s="549"/>
      <c r="E68" s="549"/>
      <c r="F68" s="549"/>
      <c r="G68" s="549"/>
      <c r="H68" s="549"/>
      <c r="I68" s="549"/>
      <c r="J68" s="549"/>
      <c r="K68" s="550"/>
      <c r="L68" s="551"/>
      <c r="M68" s="552"/>
      <c r="N68" s="1148"/>
      <c r="O68" s="1148"/>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7"/>
      <c r="Q69" s="504"/>
    </row>
    <row r="70" spans="1:17" s="471" customFormat="1" ht="15.75" thickTop="1">
      <c r="A70" s="553"/>
      <c r="B70" s="538">
        <f>B12</f>
        <v>111</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111</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60"/>
      <c r="E73" s="560"/>
      <c r="F73" s="560"/>
      <c r="G73" s="560"/>
      <c r="H73" s="562"/>
      <c r="I73" s="562"/>
      <c r="J73" s="562"/>
      <c r="K73" s="562"/>
      <c r="L73" s="562"/>
      <c r="M73" s="563"/>
      <c r="N73" s="1150"/>
      <c r="O73" s="1150"/>
      <c r="P73" s="2628"/>
      <c r="Q73" s="559"/>
    </row>
    <row r="74" spans="1:17" s="471" customFormat="1" ht="15.75" thickTop="1">
      <c r="A74" s="553"/>
      <c r="B74" s="546">
        <f>B14</f>
        <v>111</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8"/>
      <c r="O76" s="1148"/>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8"/>
      <c r="O78" s="1148"/>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8"/>
      <c r="O80" s="1148"/>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7"/>
      <c r="Q81" s="504"/>
    </row>
    <row r="82" spans="1:17" ht="15.75" thickTop="1">
      <c r="A82" s="534"/>
      <c r="B82" s="546" t="s">
        <v>2092</v>
      </c>
      <c r="C82" s="539" t="s">
        <v>2596</v>
      </c>
      <c r="D82" s="539" t="s">
        <v>2597</v>
      </c>
      <c r="E82" s="539" t="s">
        <v>2598</v>
      </c>
      <c r="F82" s="539" t="s">
        <v>2599</v>
      </c>
      <c r="G82" s="539" t="s">
        <v>2600</v>
      </c>
      <c r="H82" s="539"/>
      <c r="I82" s="539"/>
      <c r="J82" s="539"/>
      <c r="K82" s="539"/>
      <c r="L82" s="539"/>
      <c r="M82" s="1376"/>
      <c r="N82" s="1149"/>
      <c r="O82" s="1149"/>
      <c r="P82" s="2627"/>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8"/>
      <c r="O84" s="1148"/>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7"/>
      <c r="Q85" s="504"/>
    </row>
    <row r="86" spans="1:17" s="117" customFormat="1" ht="15.75" thickTop="1">
      <c r="A86" s="579"/>
      <c r="B86" s="538" t="s">
        <v>2602</v>
      </c>
      <c r="C86" s="554"/>
      <c r="D86" s="554"/>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7"/>
      <c r="Q87" s="504"/>
    </row>
    <row r="88" spans="1:17" s="117" customFormat="1" ht="15.75" thickTop="1">
      <c r="A88" s="579"/>
      <c r="B88" s="538" t="s">
        <v>2603</v>
      </c>
      <c r="C88" s="554"/>
      <c r="D88" s="554"/>
      <c r="E88" s="554"/>
      <c r="F88" s="2632"/>
      <c r="G88" s="554"/>
      <c r="H88" s="554"/>
      <c r="I88" s="554"/>
      <c r="J88" s="554"/>
      <c r="K88" s="554"/>
      <c r="L88" s="554"/>
      <c r="M88" s="581"/>
      <c r="N88" s="1147"/>
      <c r="O88" s="1147"/>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7"/>
      <c r="Q89" s="504"/>
    </row>
    <row r="90" spans="1:17" s="471" customFormat="1" ht="15.75" thickTop="1">
      <c r="A90" s="553"/>
      <c r="B90" s="538">
        <f>B27</f>
        <v>111</v>
      </c>
      <c r="C90" s="554"/>
      <c r="D90" s="554"/>
      <c r="E90" s="554"/>
      <c r="F90" s="554"/>
      <c r="G90" s="554"/>
      <c r="H90" s="555"/>
      <c r="I90" s="555"/>
      <c r="J90" s="555"/>
      <c r="K90" s="555"/>
      <c r="L90" s="556"/>
      <c r="M90" s="557"/>
      <c r="N90" s="1150"/>
      <c r="O90" s="1150"/>
      <c r="P90" s="2628"/>
      <c r="Q90" s="559"/>
    </row>
    <row r="91" spans="1:17" s="471" customFormat="1" ht="15.75" thickBot="1">
      <c r="A91" s="553"/>
      <c r="B91" s="543"/>
      <c r="C91" s="560"/>
      <c r="D91" s="560"/>
      <c r="E91" s="560"/>
      <c r="F91" s="560"/>
      <c r="G91" s="560"/>
      <c r="H91" s="562"/>
      <c r="I91" s="562"/>
      <c r="J91" s="562"/>
      <c r="K91" s="562"/>
      <c r="L91" s="562"/>
      <c r="M91" s="563"/>
      <c r="N91" s="1150"/>
      <c r="O91" s="1150"/>
      <c r="P91" s="2628"/>
      <c r="Q91" s="559"/>
    </row>
    <row r="92" spans="1:17" ht="15.75" thickTop="1">
      <c r="A92" s="534"/>
      <c r="B92" s="538">
        <f>B28</f>
        <v>111</v>
      </c>
      <c r="C92" s="554"/>
      <c r="D92" s="554"/>
      <c r="E92" s="554"/>
      <c r="F92" s="554"/>
      <c r="G92" s="583"/>
      <c r="H92" s="583"/>
      <c r="I92" s="583"/>
      <c r="J92" s="583"/>
      <c r="K92" s="584"/>
      <c r="L92" s="585"/>
      <c r="M92" s="586"/>
      <c r="N92" s="1148"/>
      <c r="O92" s="1148"/>
      <c r="P92" s="2627"/>
      <c r="Q92" s="504"/>
    </row>
    <row r="93" spans="1:17" ht="15.75" thickBot="1">
      <c r="A93" s="534"/>
      <c r="B93" s="543"/>
      <c r="C93" s="560"/>
      <c r="D93" s="536"/>
      <c r="E93" s="536"/>
      <c r="F93" s="536"/>
      <c r="G93" s="536"/>
      <c r="H93" s="536"/>
      <c r="I93" s="536"/>
      <c r="J93" s="536"/>
      <c r="K93" s="536"/>
      <c r="L93" s="536"/>
      <c r="M93" s="537"/>
      <c r="N93" s="1149"/>
      <c r="O93" s="1149"/>
      <c r="P93" s="2627"/>
      <c r="Q93" s="504"/>
    </row>
    <row r="94" spans="1:17" ht="15.75" thickTop="1">
      <c r="A94" s="534"/>
      <c r="B94" s="538">
        <f>B29</f>
        <v>111</v>
      </c>
      <c r="C94" s="554"/>
      <c r="D94" s="554"/>
      <c r="E94" s="554"/>
      <c r="F94" s="554"/>
      <c r="G94" s="583"/>
      <c r="H94" s="583"/>
      <c r="I94" s="583"/>
      <c r="J94" s="583"/>
      <c r="K94" s="584"/>
      <c r="L94" s="585"/>
      <c r="M94" s="586"/>
      <c r="N94" s="1148"/>
      <c r="O94" s="1148"/>
      <c r="P94" s="2627"/>
      <c r="Q94" s="504"/>
    </row>
    <row r="95" spans="1:17" ht="15.75" thickBot="1">
      <c r="A95" s="534"/>
      <c r="B95" s="543"/>
      <c r="C95" s="560"/>
      <c r="D95" s="560"/>
      <c r="E95" s="560"/>
      <c r="F95" s="560"/>
      <c r="G95" s="536"/>
      <c r="H95" s="536"/>
      <c r="I95" s="536"/>
      <c r="J95" s="536"/>
      <c r="K95" s="536"/>
      <c r="L95" s="536"/>
      <c r="M95" s="537"/>
      <c r="N95" s="1149"/>
      <c r="O95" s="1149"/>
      <c r="P95" s="2627"/>
      <c r="Q95" s="504"/>
    </row>
    <row r="96" spans="1:17" ht="15.75" thickTop="1">
      <c r="A96" s="534"/>
      <c r="B96" s="538">
        <f>B30</f>
        <v>111</v>
      </c>
      <c r="C96" s="554"/>
      <c r="D96" s="554"/>
      <c r="E96" s="554"/>
      <c r="F96" s="554"/>
      <c r="G96" s="583"/>
      <c r="H96" s="583"/>
      <c r="I96" s="583"/>
      <c r="J96" s="583"/>
      <c r="K96" s="584"/>
      <c r="L96" s="585"/>
      <c r="M96" s="586"/>
      <c r="N96" s="1148"/>
      <c r="O96" s="1148"/>
      <c r="P96" s="2627"/>
      <c r="Q96" s="504"/>
    </row>
    <row r="97" spans="1:17" ht="15.75" thickBot="1">
      <c r="A97" s="534"/>
      <c r="B97" s="543"/>
      <c r="C97" s="570"/>
      <c r="D97" s="570"/>
      <c r="E97" s="570"/>
      <c r="F97" s="570"/>
      <c r="G97" s="536"/>
      <c r="H97" s="536"/>
      <c r="I97" s="536"/>
      <c r="J97" s="536"/>
      <c r="K97" s="536"/>
      <c r="L97" s="536"/>
      <c r="M97" s="537"/>
      <c r="N97" s="1149"/>
      <c r="O97" s="1149"/>
      <c r="P97" s="2627"/>
      <c r="Q97" s="504"/>
    </row>
    <row r="98" spans="1:17" ht="15.75" thickTop="1">
      <c r="A98" s="534"/>
      <c r="B98" s="546">
        <f>B31</f>
        <v>111</v>
      </c>
      <c r="C98" s="587"/>
      <c r="D98" s="587"/>
      <c r="E98" s="587"/>
      <c r="F98" s="587"/>
      <c r="G98" s="587"/>
      <c r="H98" s="587"/>
      <c r="I98" s="587"/>
      <c r="J98" s="587"/>
      <c r="K98" s="588"/>
      <c r="L98" s="589"/>
      <c r="M98" s="590"/>
      <c r="N98" s="1148"/>
      <c r="O98" s="1148"/>
      <c r="P98" s="2627"/>
      <c r="Q98" s="504"/>
    </row>
    <row r="99" spans="1:17" ht="15.75" thickBot="1">
      <c r="A99" s="2633"/>
      <c r="B99" s="569"/>
      <c r="C99" s="591"/>
      <c r="D99" s="591"/>
      <c r="E99" s="591"/>
      <c r="F99" s="591"/>
      <c r="G99" s="591"/>
      <c r="H99" s="591"/>
      <c r="I99" s="591"/>
      <c r="J99" s="591"/>
      <c r="K99" s="591"/>
      <c r="L99" s="591"/>
      <c r="M99" s="592"/>
      <c r="N99" s="1149"/>
      <c r="O99" s="1149"/>
      <c r="P99" s="2627"/>
      <c r="Q99" s="504"/>
    </row>
    <row r="100" spans="1:17">
      <c r="A100" s="527" t="s">
        <v>2555</v>
      </c>
      <c r="B100" s="528" t="s">
        <v>2604</v>
      </c>
      <c r="C100" s="530"/>
      <c r="D100" s="530"/>
      <c r="E100" s="530"/>
      <c r="F100" s="530"/>
      <c r="G100" s="530"/>
      <c r="H100" s="530"/>
      <c r="I100" s="530"/>
      <c r="J100" s="530"/>
      <c r="K100" s="531"/>
      <c r="L100" s="532"/>
      <c r="M100" s="533"/>
      <c r="N100" s="1148"/>
      <c r="O100" s="1148"/>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7"/>
      <c r="Q102" s="504"/>
    </row>
    <row r="103" spans="1:17" s="471" customFormat="1">
      <c r="A103" s="593"/>
      <c r="B103" s="594"/>
      <c r="C103" s="595"/>
      <c r="D103" s="595"/>
      <c r="E103" s="595"/>
      <c r="F103" s="595"/>
      <c r="G103" s="595"/>
      <c r="H103" s="595"/>
      <c r="I103" s="595"/>
      <c r="J103" s="596"/>
      <c r="K103" s="596"/>
      <c r="L103" s="597"/>
      <c r="M103" s="598"/>
      <c r="N103" s="1150"/>
      <c r="O103" s="1150"/>
      <c r="P103" s="2628"/>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8"/>
      <c r="Q104" s="559"/>
    </row>
    <row r="105" spans="1:17" ht="15" thickTop="1">
      <c r="A105" s="599"/>
      <c r="B105" s="538" t="s">
        <v>2606</v>
      </c>
      <c r="C105" s="554"/>
      <c r="D105" s="554"/>
      <c r="E105" s="583"/>
      <c r="F105" s="583"/>
      <c r="G105" s="583"/>
      <c r="H105" s="583"/>
      <c r="I105" s="583"/>
      <c r="J105" s="583"/>
      <c r="K105" s="584"/>
      <c r="L105" s="585"/>
      <c r="M105" s="586"/>
      <c r="N105" s="1148"/>
      <c r="O105" s="1148"/>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7"/>
      <c r="Q106" s="504"/>
    </row>
    <row r="107" spans="1:17" ht="15" thickTop="1">
      <c r="A107" s="599"/>
      <c r="B107" s="538" t="s">
        <v>2607</v>
      </c>
      <c r="C107" s="583"/>
      <c r="D107" s="583"/>
      <c r="E107" s="583"/>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7"/>
      <c r="Q108" s="504"/>
    </row>
    <row r="109" spans="1:17" ht="15" thickTop="1">
      <c r="A109" s="599"/>
      <c r="B109" s="538" t="s">
        <v>2608</v>
      </c>
      <c r="C109" s="554"/>
      <c r="D109" s="554"/>
      <c r="E109" s="554"/>
      <c r="F109" s="583"/>
      <c r="G109" s="583"/>
      <c r="H109" s="583"/>
      <c r="I109" s="583"/>
      <c r="J109" s="583"/>
      <c r="K109" s="584"/>
      <c r="L109" s="585"/>
      <c r="M109" s="586"/>
      <c r="N109" s="1148"/>
      <c r="O109" s="1148"/>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8"/>
      <c r="Q113" s="559"/>
    </row>
    <row r="114" spans="1:17" ht="15" thickTop="1">
      <c r="A114" s="599"/>
      <c r="B114" s="538" t="s">
        <v>2609</v>
      </c>
      <c r="C114" s="554"/>
      <c r="D114" s="554"/>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7"/>
      <c r="Q115" s="504"/>
    </row>
    <row r="116" spans="1:17" ht="15" thickTop="1">
      <c r="A116" s="599"/>
      <c r="B116" s="538" t="s">
        <v>2610</v>
      </c>
      <c r="C116" s="554"/>
      <c r="D116" s="554"/>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7"/>
      <c r="Q117" s="504"/>
    </row>
    <row r="118" spans="1:17" ht="15" thickTop="1">
      <c r="A118" s="599"/>
      <c r="B118" s="538" t="s">
        <v>2611</v>
      </c>
      <c r="C118" s="583"/>
      <c r="D118" s="583"/>
      <c r="E118" s="583"/>
      <c r="F118" s="583"/>
      <c r="G118" s="583"/>
      <c r="H118" s="583"/>
      <c r="I118" s="583"/>
      <c r="J118" s="583"/>
      <c r="K118" s="584"/>
      <c r="L118" s="585"/>
      <c r="M118" s="586"/>
      <c r="N118" s="1148"/>
      <c r="O118" s="1148"/>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7"/>
      <c r="Q119" s="504"/>
    </row>
    <row r="120" spans="1:17" s="471" customFormat="1" ht="28.5" thickTop="1">
      <c r="A120" s="593"/>
      <c r="B120" s="538" t="s">
        <v>2566</v>
      </c>
      <c r="C120" s="554"/>
      <c r="D120" s="554"/>
      <c r="E120" s="554"/>
      <c r="F120" s="554"/>
      <c r="G120" s="554"/>
      <c r="H120" s="554"/>
      <c r="I120" s="554"/>
      <c r="J120" s="554"/>
      <c r="K120" s="554"/>
      <c r="L120" s="580"/>
      <c r="M120" s="581"/>
      <c r="N120" s="1150"/>
      <c r="O120" s="1150"/>
      <c r="P120" s="2628"/>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8"/>
      <c r="Q121" s="559"/>
    </row>
    <row r="122" spans="1:17" ht="15" thickTop="1">
      <c r="A122" s="599"/>
      <c r="B122" s="538" t="s">
        <v>2612</v>
      </c>
      <c r="C122" s="554"/>
      <c r="D122" s="554"/>
      <c r="E122" s="554"/>
      <c r="F122" s="583"/>
      <c r="G122" s="583"/>
      <c r="H122" s="583"/>
      <c r="I122" s="583"/>
      <c r="J122" s="583"/>
      <c r="K122" s="584"/>
      <c r="L122" s="585"/>
      <c r="M122" s="586"/>
      <c r="N122" s="1148"/>
      <c r="O122" s="1148"/>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8"/>
      <c r="O124" s="1148"/>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7"/>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111</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60"/>
      <c r="E129" s="560"/>
      <c r="F129" s="560"/>
      <c r="G129" s="536"/>
      <c r="H129" s="536"/>
      <c r="I129" s="536"/>
      <c r="J129" s="536"/>
      <c r="K129" s="536"/>
      <c r="L129" s="536"/>
      <c r="M129" s="537"/>
      <c r="N129" s="1149"/>
      <c r="O129" s="1149"/>
      <c r="P129" s="2627"/>
      <c r="Q129" s="504"/>
    </row>
    <row r="130" spans="1:17" ht="15" thickTop="1">
      <c r="A130" s="599"/>
      <c r="B130" s="546">
        <f>B46</f>
        <v>111</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6" t="s">
        <v>2617</v>
      </c>
      <c r="D138" s="146" t="s">
        <v>2618</v>
      </c>
      <c r="E138" s="2642" t="s">
        <v>2619</v>
      </c>
      <c r="F138" s="2643" t="s">
        <v>2620</v>
      </c>
      <c r="G138" s="146" t="s">
        <v>2618</v>
      </c>
      <c r="H138" s="147" t="s">
        <v>2619</v>
      </c>
      <c r="I138" s="2644"/>
      <c r="J138" s="146" t="s">
        <v>2621</v>
      </c>
      <c r="K138" s="147" t="s">
        <v>2622</v>
      </c>
    </row>
    <row r="139" spans="1:17" ht="15">
      <c r="B139" s="1080">
        <v>6</v>
      </c>
      <c r="C139" s="1081">
        <v>96</v>
      </c>
      <c r="D139" s="2645" t="s">
        <v>2623</v>
      </c>
      <c r="E139" s="1082">
        <v>100</v>
      </c>
      <c r="F139" s="1083">
        <v>102.5</v>
      </c>
      <c r="G139" s="2645" t="s">
        <v>2623</v>
      </c>
      <c r="H139" s="1084">
        <v>105</v>
      </c>
      <c r="I139" s="2646" t="s">
        <v>2624</v>
      </c>
      <c r="J139" s="1081">
        <v>20</v>
      </c>
      <c r="K139" s="1085">
        <f>C145/(J139-2)</f>
        <v>4.0555555555555553E-3</v>
      </c>
    </row>
    <row r="140" spans="1:17" ht="15">
      <c r="B140" s="1086">
        <v>5</v>
      </c>
      <c r="C140" s="1087">
        <v>100</v>
      </c>
      <c r="D140" s="1087"/>
      <c r="E140" s="1088"/>
      <c r="F140" s="1089">
        <v>102</v>
      </c>
      <c r="G140" s="1087"/>
      <c r="H140" s="1090"/>
      <c r="I140" s="2647" t="s">
        <v>2625</v>
      </c>
      <c r="J140" s="315">
        <f>ROUNDUP((J139-1)/2,0)</f>
        <v>10</v>
      </c>
      <c r="K140" s="1091">
        <v>100</v>
      </c>
    </row>
    <row r="141" spans="1:17" ht="15">
      <c r="B141" s="1086">
        <v>4</v>
      </c>
      <c r="C141" s="1087">
        <v>102</v>
      </c>
      <c r="D141" s="1087"/>
      <c r="E141" s="1088"/>
      <c r="F141" s="1089">
        <v>101.5</v>
      </c>
      <c r="G141" s="1087"/>
      <c r="H141" s="1090"/>
      <c r="I141" s="2647" t="s">
        <v>2626</v>
      </c>
      <c r="J141" s="315">
        <v>1</v>
      </c>
      <c r="K141" s="1092">
        <f>ROUND(100+(J141-J140)*K139*100,1)</f>
        <v>96.4</v>
      </c>
    </row>
    <row r="142" spans="1:17" ht="15">
      <c r="B142" s="1086">
        <v>3</v>
      </c>
      <c r="C142" s="1087">
        <v>103</v>
      </c>
      <c r="D142" s="1087"/>
      <c r="E142" s="1088"/>
      <c r="F142" s="1089">
        <v>101</v>
      </c>
      <c r="G142" s="1087"/>
      <c r="H142" s="1090"/>
      <c r="I142" s="2647" t="s">
        <v>2627</v>
      </c>
      <c r="J142" s="315">
        <f>J139</f>
        <v>20</v>
      </c>
      <c r="K142" s="1093">
        <v>95</v>
      </c>
    </row>
    <row r="143" spans="1:17" ht="15">
      <c r="B143" s="1086">
        <v>2</v>
      </c>
      <c r="C143" s="1087">
        <v>100</v>
      </c>
      <c r="D143" s="1087"/>
      <c r="E143" s="1088"/>
      <c r="F143" s="1089">
        <v>100.5</v>
      </c>
      <c r="G143" s="1087"/>
      <c r="H143" s="1090"/>
      <c r="I143" s="2647" t="s">
        <v>2628</v>
      </c>
      <c r="J143" s="1087">
        <v>15</v>
      </c>
      <c r="K143" s="1092">
        <f>ROUND(100+(J143-J140)*K139*100,1)</f>
        <v>102</v>
      </c>
    </row>
    <row r="144" spans="1:17" ht="15">
      <c r="B144" s="1086">
        <v>1</v>
      </c>
      <c r="C144" s="1087">
        <v>98</v>
      </c>
      <c r="D144" s="2648" t="s">
        <v>2629</v>
      </c>
      <c r="E144" s="1088">
        <v>102</v>
      </c>
      <c r="F144" s="1094">
        <v>100</v>
      </c>
      <c r="G144" s="2648" t="s">
        <v>2629</v>
      </c>
      <c r="H144" s="1090">
        <v>105</v>
      </c>
      <c r="I144" s="2647" t="s">
        <v>2628</v>
      </c>
      <c r="J144" s="1087">
        <v>18</v>
      </c>
      <c r="K144" s="1092">
        <f>ROUND(100+(J144-J140)*K139*100,1)</f>
        <v>103.2</v>
      </c>
    </row>
    <row r="145" spans="2:11" ht="15.75" thickBot="1">
      <c r="B145" s="2649" t="s">
        <v>2630</v>
      </c>
      <c r="C145" s="1095">
        <f>ROUND(MAX(C139:C144)/MIN(C139:C144)-1,3)</f>
        <v>7.2999999999999995E-2</v>
      </c>
      <c r="D145" s="1096"/>
      <c r="E145" s="1096"/>
      <c r="F145" s="2650" t="s">
        <v>2631</v>
      </c>
      <c r="G145" s="2651"/>
      <c r="H145" s="2652"/>
      <c r="I145" s="2653" t="s">
        <v>2628</v>
      </c>
      <c r="J145" s="1097">
        <v>8</v>
      </c>
      <c r="K145" s="1098">
        <f>ROUND(100+(J145-J140)*K139*100,1)</f>
        <v>99.2</v>
      </c>
    </row>
    <row r="147" spans="2:11">
      <c r="B147" s="2634" t="s">
        <v>2632</v>
      </c>
    </row>
    <row r="148" spans="2:11">
      <c r="B148" s="2634"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M17" sqref="M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2520</v>
      </c>
      <c r="B1" s="2579" t="s">
        <v>2634</v>
      </c>
      <c r="C1" s="1628" t="s">
        <v>2522</v>
      </c>
      <c r="D1" s="1615" t="s">
        <v>3459</v>
      </c>
      <c r="E1" s="2654"/>
      <c r="F1" s="2581" t="s">
        <v>3464</v>
      </c>
      <c r="G1" s="1625" t="s">
        <v>2635</v>
      </c>
      <c r="H1" s="1624"/>
      <c r="I1" s="1624"/>
      <c r="J1" s="1624"/>
      <c r="K1" s="1626"/>
      <c r="L1" s="1627"/>
      <c r="M1" s="1628"/>
      <c r="N1" s="1628"/>
      <c r="O1" s="1628"/>
      <c r="P1" s="2655"/>
      <c r="Q1" s="2656"/>
      <c r="R1" s="2656"/>
      <c r="S1" s="2656"/>
      <c r="T1" s="2656"/>
      <c r="U1" s="2656"/>
      <c r="V1" s="2656"/>
      <c r="W1" s="2656"/>
      <c r="X1" s="2656"/>
      <c r="Y1" s="2656"/>
      <c r="Z1" s="2656"/>
      <c r="AA1" s="2656"/>
      <c r="AB1" s="2656"/>
      <c r="AC1" s="2657"/>
    </row>
    <row r="2" spans="1:29" s="398" customFormat="1" ht="28.5" customHeight="1" thickTop="1">
      <c r="A2" s="1611" t="s">
        <v>2319</v>
      </c>
      <c r="B2" s="1412">
        <f>IF(C2="——",ROUND(C49*D3/10000,0),ROUND(C49*D3/10000,0)-D2)</f>
        <v>13843</v>
      </c>
      <c r="C2" s="2583" t="s">
        <v>70</v>
      </c>
      <c r="D2" s="1359" t="e">
        <f ca="1">SUMIF(INDIRECT("'"&amp;F2&amp;"'"&amp;"!A:A"),"承租人权益价值",INDIRECT("'"&amp;F2&amp;"'"&amp;"!c:c"))</f>
        <v>#REF!</v>
      </c>
      <c r="E2" s="2584" t="s">
        <v>2320</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2321</v>
      </c>
      <c r="B3" s="609">
        <f>IF(C2="——",C49,ROUND(B2*10000/D3,0))</f>
        <v>39578</v>
      </c>
      <c r="C3" s="400" t="s">
        <v>2636</v>
      </c>
      <c r="D3" s="399">
        <f>IF(D1="",'数据-汇总表'!E3,SUMIF('数据-汇总表'!$C19:$C33,D1,'数据-汇总表'!$E19:$E33))</f>
        <v>3497.5499999999993</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401" t="s">
        <v>2637</v>
      </c>
      <c r="B4" s="402"/>
      <c r="C4" s="3302" t="s">
        <v>2638</v>
      </c>
      <c r="D4" s="3303"/>
      <c r="E4" s="3304" t="s">
        <v>2639</v>
      </c>
      <c r="F4" s="3305"/>
      <c r="G4" s="3302" t="s">
        <v>2640</v>
      </c>
      <c r="H4" s="3303"/>
      <c r="I4" s="3302" t="s">
        <v>2641</v>
      </c>
      <c r="J4" s="3303"/>
      <c r="K4" s="610" t="s">
        <v>2642</v>
      </c>
      <c r="L4" s="1126"/>
      <c r="M4" s="1127"/>
      <c r="N4" s="1127"/>
      <c r="O4" s="1127"/>
      <c r="P4" s="3306" t="s">
        <v>2643</v>
      </c>
      <c r="Q4" s="3307"/>
      <c r="R4" s="3312" t="s">
        <v>2639</v>
      </c>
      <c r="S4" s="3313"/>
      <c r="T4" s="3312" t="s">
        <v>2640</v>
      </c>
      <c r="U4" s="3313"/>
      <c r="V4" s="3318" t="s">
        <v>2641</v>
      </c>
      <c r="W4" s="3318"/>
      <c r="X4" s="1807"/>
      <c r="Y4" s="3312" t="s">
        <v>2643</v>
      </c>
      <c r="Z4" s="3313"/>
      <c r="AA4" s="3299" t="s">
        <v>2639</v>
      </c>
      <c r="AB4" s="3318" t="s">
        <v>2640</v>
      </c>
      <c r="AC4" s="3299" t="s">
        <v>2641</v>
      </c>
    </row>
    <row r="5" spans="1:29" ht="15">
      <c r="A5" s="404"/>
      <c r="B5" s="405"/>
      <c r="C5" s="3321" t="s">
        <v>2534</v>
      </c>
      <c r="D5" s="3322"/>
      <c r="E5" s="3331" t="s">
        <v>3465</v>
      </c>
      <c r="F5" s="3329"/>
      <c r="G5" s="3330" t="s">
        <v>3466</v>
      </c>
      <c r="H5" s="3322"/>
      <c r="I5" s="3330" t="s">
        <v>3467</v>
      </c>
      <c r="J5" s="3322"/>
      <c r="K5" s="610"/>
      <c r="L5" s="1126"/>
      <c r="M5" s="1127"/>
      <c r="N5" s="1127"/>
      <c r="O5" s="1127"/>
      <c r="P5" s="3308"/>
      <c r="Q5" s="3309"/>
      <c r="R5" s="3314"/>
      <c r="S5" s="3315"/>
      <c r="T5" s="3314"/>
      <c r="U5" s="3315"/>
      <c r="V5" s="3318"/>
      <c r="W5" s="3318"/>
      <c r="X5" s="1807"/>
      <c r="Y5" s="3314"/>
      <c r="Z5" s="3315"/>
      <c r="AA5" s="3300"/>
      <c r="AB5" s="3318"/>
      <c r="AC5" s="3300"/>
    </row>
    <row r="6" spans="1:29" ht="15.75" thickBot="1">
      <c r="A6" s="406"/>
      <c r="B6" s="407"/>
      <c r="C6" s="3319" t="s">
        <v>2538</v>
      </c>
      <c r="D6" s="3320"/>
      <c r="E6" s="3326" t="s">
        <v>2538</v>
      </c>
      <c r="F6" s="3327"/>
      <c r="G6" s="3319" t="s">
        <v>2538</v>
      </c>
      <c r="H6" s="3320"/>
      <c r="I6" s="3319" t="s">
        <v>2538</v>
      </c>
      <c r="J6" s="3320"/>
      <c r="K6" s="610" t="s">
        <v>2539</v>
      </c>
      <c r="L6" s="1126"/>
      <c r="M6" s="1127"/>
      <c r="N6" s="1127"/>
      <c r="O6" s="1127"/>
      <c r="P6" s="3310"/>
      <c r="Q6" s="3311"/>
      <c r="R6" s="3314"/>
      <c r="S6" s="3315"/>
      <c r="T6" s="3316"/>
      <c r="U6" s="3317"/>
      <c r="V6" s="3318"/>
      <c r="W6" s="3318"/>
      <c r="X6" s="1807"/>
      <c r="Y6" s="3316"/>
      <c r="Z6" s="3317"/>
      <c r="AA6" s="3301"/>
      <c r="AB6" s="3318"/>
      <c r="AC6" s="3301"/>
    </row>
    <row r="7" spans="1:29" s="117" customFormat="1" ht="15.75" thickBot="1">
      <c r="A7" s="408" t="s">
        <v>2540</v>
      </c>
      <c r="B7" s="409"/>
      <c r="C7" s="410">
        <f>'数据-取费表'!B2</f>
        <v>43670</v>
      </c>
      <c r="D7" s="411">
        <v>100</v>
      </c>
      <c r="E7" s="412">
        <f>C7</f>
        <v>43670</v>
      </c>
      <c r="F7" s="413">
        <f>SUMIF(58:58,YEAR(E7)&amp;"-"&amp;MONTH(E7),59:59)</f>
        <v>100</v>
      </c>
      <c r="G7" s="412">
        <f>C7</f>
        <v>43670</v>
      </c>
      <c r="H7" s="411">
        <f>SUMIF(58:58,YEAR(G7)&amp;"-"&amp;MONTH(G7),59:59)</f>
        <v>100</v>
      </c>
      <c r="I7" s="412">
        <f>C7</f>
        <v>43670</v>
      </c>
      <c r="J7" s="411">
        <f>SUMIF(58:58,YEAR(I7)&amp;"-"&amp;MONTH(I7),59:59)</f>
        <v>100</v>
      </c>
      <c r="K7" s="611"/>
      <c r="L7" s="1128"/>
      <c r="M7" s="1129"/>
      <c r="N7" s="1129"/>
      <c r="O7" s="1129"/>
      <c r="P7" s="3323" t="s">
        <v>2541</v>
      </c>
      <c r="Q7" s="3325"/>
      <c r="R7" s="766" t="s">
        <v>17</v>
      </c>
      <c r="S7" s="767">
        <f t="shared" ref="S7:S15" si="0">F7</f>
        <v>100</v>
      </c>
      <c r="T7" s="766" t="s">
        <v>17</v>
      </c>
      <c r="U7" s="767">
        <f t="shared" ref="U7:U15" si="1">H7</f>
        <v>100</v>
      </c>
      <c r="V7" s="766" t="s">
        <v>17</v>
      </c>
      <c r="W7" s="767">
        <f t="shared" ref="W7:W15" si="2">J7</f>
        <v>100</v>
      </c>
      <c r="X7" s="768"/>
      <c r="Y7" s="3323" t="s">
        <v>2541</v>
      </c>
      <c r="Z7" s="3324"/>
      <c r="AA7" s="769">
        <f>D7/F7</f>
        <v>1</v>
      </c>
      <c r="AB7" s="769">
        <f>D7/H7</f>
        <v>1</v>
      </c>
      <c r="AC7" s="769">
        <f>D7/J7</f>
        <v>1</v>
      </c>
    </row>
    <row r="8" spans="1:29" s="117" customFormat="1" ht="15.75" thickBot="1">
      <c r="A8" s="408" t="s">
        <v>2542</v>
      </c>
      <c r="B8" s="409"/>
      <c r="C8" s="414" t="s">
        <v>2644</v>
      </c>
      <c r="D8" s="411">
        <v>100</v>
      </c>
      <c r="E8" s="414" t="s">
        <v>3468</v>
      </c>
      <c r="F8" s="413">
        <f>SUMIF(61:61,E8,62:62)-SUMIF(61:61,C8,62:62)+100</f>
        <v>100</v>
      </c>
      <c r="G8" s="414" t="s">
        <v>3468</v>
      </c>
      <c r="H8" s="411">
        <f>SUMIF(61:61,G8,62:62)-SUMIF(61:61,C8,62:62)+100</f>
        <v>100</v>
      </c>
      <c r="I8" s="414" t="s">
        <v>3468</v>
      </c>
      <c r="J8" s="411">
        <f>SUMIF(61:61,I8,62:62)-SUMIF(61:61,C8,62:62)+100</f>
        <v>100</v>
      </c>
      <c r="K8" s="611"/>
      <c r="L8" s="1128"/>
      <c r="M8" s="1129"/>
      <c r="N8" s="1129"/>
      <c r="O8" s="1129"/>
      <c r="P8" s="3323" t="s">
        <v>2544</v>
      </c>
      <c r="Q8" s="3324"/>
      <c r="R8" s="766" t="s">
        <v>17</v>
      </c>
      <c r="S8" s="767">
        <f t="shared" si="0"/>
        <v>100</v>
      </c>
      <c r="T8" s="766" t="s">
        <v>17</v>
      </c>
      <c r="U8" s="767">
        <f t="shared" si="1"/>
        <v>100</v>
      </c>
      <c r="V8" s="766" t="s">
        <v>17</v>
      </c>
      <c r="W8" s="767">
        <f t="shared" si="2"/>
        <v>100</v>
      </c>
      <c r="X8" s="768"/>
      <c r="Y8" s="3323" t="s">
        <v>2544</v>
      </c>
      <c r="Z8" s="3324"/>
      <c r="AA8" s="769">
        <f t="shared" ref="AA8:AA46" si="3">D8/F8</f>
        <v>1</v>
      </c>
      <c r="AB8" s="769">
        <f t="shared" ref="AB8:AB46" si="4">D8/H8</f>
        <v>1</v>
      </c>
      <c r="AC8" s="769">
        <f t="shared" ref="AC8:AC46" si="5">D8/J8</f>
        <v>1</v>
      </c>
    </row>
    <row r="9" spans="1:29" s="117" customFormat="1">
      <c r="A9" s="415" t="s">
        <v>2545</v>
      </c>
      <c r="B9" s="71" t="s">
        <v>2546</v>
      </c>
      <c r="C9" s="2950" t="s">
        <v>3469</v>
      </c>
      <c r="D9" s="135">
        <v>100</v>
      </c>
      <c r="E9" s="417" t="s">
        <v>1373</v>
      </c>
      <c r="F9" s="418">
        <f>SUMIF(63:63,E9,64:64)-SUMIF(63:63,C9,64:64)+100</f>
        <v>100</v>
      </c>
      <c r="G9" s="417" t="s">
        <v>1373</v>
      </c>
      <c r="H9" s="135">
        <f>SUMIF(63:63,G9,64:64)-SUMIF(63:63,C9,64:64)+100</f>
        <v>100</v>
      </c>
      <c r="I9" s="417" t="s">
        <v>1373</v>
      </c>
      <c r="J9" s="135">
        <f>SUMIF(63:63,I9,64:64)-SUMIF(63:63,C9,64:64)+100</f>
        <v>100</v>
      </c>
      <c r="K9" s="611"/>
      <c r="L9" s="1128"/>
      <c r="M9" s="1129"/>
      <c r="N9" s="1129"/>
      <c r="O9" s="1129"/>
      <c r="P9" s="3298" t="s">
        <v>2547</v>
      </c>
      <c r="Q9" s="1789" t="str">
        <f t="shared" ref="Q9:Q15" si="6">B9</f>
        <v>用途</v>
      </c>
      <c r="R9" s="766" t="s">
        <v>17</v>
      </c>
      <c r="S9" s="767">
        <f t="shared" si="0"/>
        <v>100</v>
      </c>
      <c r="T9" s="766" t="s">
        <v>17</v>
      </c>
      <c r="U9" s="767">
        <f t="shared" si="1"/>
        <v>100</v>
      </c>
      <c r="V9" s="766" t="s">
        <v>17</v>
      </c>
      <c r="W9" s="767">
        <f t="shared" si="2"/>
        <v>100</v>
      </c>
      <c r="X9" s="768"/>
      <c r="Y9" s="3112" t="s">
        <v>2548</v>
      </c>
      <c r="Z9" s="55" t="str">
        <f t="shared" ref="Z9:Z15" si="7">Q9</f>
        <v>用途</v>
      </c>
      <c r="AA9" s="769">
        <f t="shared" si="3"/>
        <v>1</v>
      </c>
      <c r="AB9" s="769">
        <f t="shared" si="4"/>
        <v>1</v>
      </c>
      <c r="AC9" s="769">
        <f t="shared" si="5"/>
        <v>1</v>
      </c>
    </row>
    <row r="10" spans="1:29" s="427" customFormat="1" ht="27.75" thickBot="1">
      <c r="A10" s="421"/>
      <c r="B10" s="422" t="s">
        <v>2549</v>
      </c>
      <c r="C10" s="423" t="s">
        <v>3470</v>
      </c>
      <c r="D10" s="136">
        <v>100</v>
      </c>
      <c r="E10" s="423" t="s">
        <v>3470</v>
      </c>
      <c r="F10" s="425">
        <f>SUMIF(65:65,E10,66:66)-SUMIF(65:65,C10,66:66)+100</f>
        <v>100</v>
      </c>
      <c r="G10" s="423" t="s">
        <v>3470</v>
      </c>
      <c r="H10" s="136">
        <f>SUMIF(65:65,G10,66:66)-SUMIF(65:65,C10,66:66)+100</f>
        <v>100</v>
      </c>
      <c r="I10" s="423" t="s">
        <v>3470</v>
      </c>
      <c r="J10" s="136">
        <f>SUMIF(65:65,I10,66:66)-SUMIF(65:65,C10,66:66)+100</f>
        <v>100</v>
      </c>
      <c r="K10" s="612">
        <v>1</v>
      </c>
      <c r="L10" s="1131"/>
      <c r="M10" s="1132"/>
      <c r="N10" s="1132"/>
      <c r="O10" s="1132"/>
      <c r="P10" s="3298"/>
      <c r="Q10" s="1789" t="str">
        <f t="shared" si="6"/>
        <v>土地使用年限（年）</v>
      </c>
      <c r="R10" s="766" t="s">
        <v>17</v>
      </c>
      <c r="S10" s="767">
        <f t="shared" si="0"/>
        <v>100</v>
      </c>
      <c r="T10" s="766" t="s">
        <v>17</v>
      </c>
      <c r="U10" s="767">
        <f t="shared" si="1"/>
        <v>100</v>
      </c>
      <c r="V10" s="766" t="s">
        <v>17</v>
      </c>
      <c r="W10" s="767">
        <f t="shared" si="2"/>
        <v>100</v>
      </c>
      <c r="X10" s="768"/>
      <c r="Y10" s="3112"/>
      <c r="Z10" s="55" t="str">
        <f t="shared" si="7"/>
        <v>土地使用年限（年）</v>
      </c>
      <c r="AA10" s="769">
        <f t="shared" si="3"/>
        <v>1</v>
      </c>
      <c r="AB10" s="769">
        <f t="shared" si="4"/>
        <v>1</v>
      </c>
      <c r="AC10" s="769">
        <f t="shared" si="5"/>
        <v>1</v>
      </c>
    </row>
    <row r="11" spans="1:29" ht="15" hidden="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98"/>
      <c r="Q11" s="1789" t="str">
        <f t="shared" si="6"/>
        <v>容积率</v>
      </c>
      <c r="R11" s="766" t="s">
        <v>17</v>
      </c>
      <c r="S11" s="767">
        <f t="shared" si="0"/>
        <v>100</v>
      </c>
      <c r="T11" s="766" t="s">
        <v>17</v>
      </c>
      <c r="U11" s="767">
        <f t="shared" si="1"/>
        <v>100</v>
      </c>
      <c r="V11" s="766" t="s">
        <v>17</v>
      </c>
      <c r="W11" s="767">
        <f t="shared" si="2"/>
        <v>100</v>
      </c>
      <c r="X11" s="768"/>
      <c r="Y11" s="3112"/>
      <c r="Z11" s="55" t="str">
        <f t="shared" si="7"/>
        <v>容积率</v>
      </c>
      <c r="AA11" s="769">
        <f t="shared" si="3"/>
        <v>1</v>
      </c>
      <c r="AB11" s="769">
        <f t="shared" si="4"/>
        <v>1</v>
      </c>
      <c r="AC11" s="769">
        <f t="shared" si="5"/>
        <v>1</v>
      </c>
    </row>
    <row r="12" spans="1:29" s="117" customFormat="1" ht="15" hidden="1">
      <c r="A12" s="431"/>
      <c r="B12" s="2597"/>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98"/>
      <c r="Q12" s="1789">
        <f t="shared" si="6"/>
        <v>0</v>
      </c>
      <c r="R12" s="766" t="s">
        <v>17</v>
      </c>
      <c r="S12" s="767">
        <f t="shared" si="0"/>
        <v>100</v>
      </c>
      <c r="T12" s="766" t="s">
        <v>17</v>
      </c>
      <c r="U12" s="767">
        <f t="shared" si="1"/>
        <v>100</v>
      </c>
      <c r="V12" s="766" t="s">
        <v>17</v>
      </c>
      <c r="W12" s="767">
        <f t="shared" si="2"/>
        <v>100</v>
      </c>
      <c r="X12" s="768"/>
      <c r="Y12" s="3112"/>
      <c r="Z12" s="55">
        <f t="shared" si="7"/>
        <v>0</v>
      </c>
      <c r="AA12" s="769">
        <f>D12/F12</f>
        <v>1</v>
      </c>
      <c r="AB12" s="769">
        <f>D12/H12</f>
        <v>1</v>
      </c>
      <c r="AC12" s="769">
        <f>D12/J12</f>
        <v>1</v>
      </c>
    </row>
    <row r="13" spans="1:29" ht="15" hidden="1">
      <c r="A13" s="428"/>
      <c r="B13" s="2597"/>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98"/>
      <c r="Q13" s="1789">
        <f t="shared" si="6"/>
        <v>0</v>
      </c>
      <c r="R13" s="766" t="s">
        <v>17</v>
      </c>
      <c r="S13" s="767">
        <f t="shared" si="0"/>
        <v>100</v>
      </c>
      <c r="T13" s="766" t="s">
        <v>17</v>
      </c>
      <c r="U13" s="767">
        <f t="shared" si="1"/>
        <v>100</v>
      </c>
      <c r="V13" s="766" t="s">
        <v>17</v>
      </c>
      <c r="W13" s="767">
        <f t="shared" si="2"/>
        <v>100</v>
      </c>
      <c r="X13" s="768"/>
      <c r="Y13" s="3112"/>
      <c r="Z13" s="55">
        <f t="shared" si="7"/>
        <v>0</v>
      </c>
      <c r="AA13" s="769">
        <f t="shared" si="3"/>
        <v>1</v>
      </c>
      <c r="AB13" s="769">
        <f t="shared" si="4"/>
        <v>1</v>
      </c>
      <c r="AC13" s="769">
        <f t="shared" si="5"/>
        <v>1</v>
      </c>
    </row>
    <row r="14" spans="1:29" ht="15.75" hidden="1" thickBot="1">
      <c r="A14" s="436"/>
      <c r="B14" s="2599"/>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98"/>
      <c r="Q14" s="1789">
        <f t="shared" si="6"/>
        <v>0</v>
      </c>
      <c r="R14" s="766" t="s">
        <v>17</v>
      </c>
      <c r="S14" s="767">
        <f t="shared" si="0"/>
        <v>100</v>
      </c>
      <c r="T14" s="766" t="s">
        <v>17</v>
      </c>
      <c r="U14" s="767">
        <f t="shared" si="1"/>
        <v>100</v>
      </c>
      <c r="V14" s="766" t="s">
        <v>17</v>
      </c>
      <c r="W14" s="767">
        <f t="shared" si="2"/>
        <v>100</v>
      </c>
      <c r="X14" s="768"/>
      <c r="Y14" s="3112"/>
      <c r="Z14" s="55">
        <f t="shared" si="7"/>
        <v>0</v>
      </c>
      <c r="AA14" s="769">
        <f t="shared" si="3"/>
        <v>1</v>
      </c>
      <c r="AB14" s="769">
        <f t="shared" si="4"/>
        <v>1</v>
      </c>
      <c r="AC14" s="769">
        <f t="shared" si="5"/>
        <v>1</v>
      </c>
    </row>
    <row r="15" spans="1:29" ht="15">
      <c r="A15" s="440" t="s">
        <v>2551</v>
      </c>
      <c r="B15" s="69" t="s">
        <v>2645</v>
      </c>
      <c r="C15" s="2600">
        <f>估价对象房地状况!C4</f>
        <v>0</v>
      </c>
      <c r="D15" s="441">
        <v>100</v>
      </c>
      <c r="E15" s="442"/>
      <c r="F15" s="443">
        <f>SUMIF(76:76,E16,77:77)-SUMIF(76:76,C16,77:77)+100</f>
        <v>100</v>
      </c>
      <c r="G15" s="444"/>
      <c r="H15" s="441">
        <f>SUMIF(76:76,G16,77:77)-SUMIF(76:76,C16,77:77)+100</f>
        <v>90</v>
      </c>
      <c r="I15" s="442"/>
      <c r="J15" s="441">
        <f>SUMIF(76:76,I16,77:77)-SUMIF(76:76,C16,77:77)+100</f>
        <v>100</v>
      </c>
      <c r="K15" s="614">
        <v>10</v>
      </c>
      <c r="L15" s="1136"/>
      <c r="M15" s="1127"/>
      <c r="N15" s="1127"/>
      <c r="O15" s="1127"/>
      <c r="P15" s="3296" t="s">
        <v>2552</v>
      </c>
      <c r="Q15" s="1804" t="str">
        <f t="shared" si="6"/>
        <v>商业繁华度</v>
      </c>
      <c r="R15" s="770" t="s">
        <v>17</v>
      </c>
      <c r="S15" s="771">
        <f t="shared" si="0"/>
        <v>100</v>
      </c>
      <c r="T15" s="770" t="s">
        <v>17</v>
      </c>
      <c r="U15" s="771">
        <f t="shared" si="1"/>
        <v>90</v>
      </c>
      <c r="V15" s="770" t="s">
        <v>17</v>
      </c>
      <c r="W15" s="771">
        <f t="shared" si="2"/>
        <v>100</v>
      </c>
      <c r="X15" s="1807"/>
      <c r="Y15" s="3289" t="s">
        <v>2552</v>
      </c>
      <c r="Z15" s="1808" t="str">
        <f t="shared" si="7"/>
        <v>商业繁华度</v>
      </c>
      <c r="AA15" s="1805">
        <f t="shared" si="3"/>
        <v>1</v>
      </c>
      <c r="AB15" s="1805">
        <f t="shared" si="4"/>
        <v>1.1111111111111112</v>
      </c>
      <c r="AC15" s="1805">
        <f t="shared" si="5"/>
        <v>1</v>
      </c>
    </row>
    <row r="16" spans="1:29" ht="15">
      <c r="A16" s="428"/>
      <c r="B16" s="446"/>
      <c r="C16" s="447" t="s">
        <v>3471</v>
      </c>
      <c r="D16" s="448"/>
      <c r="E16" s="447" t="s">
        <v>3471</v>
      </c>
      <c r="F16" s="449"/>
      <c r="G16" s="447" t="s">
        <v>3473</v>
      </c>
      <c r="H16" s="450"/>
      <c r="I16" s="447" t="s">
        <v>3471</v>
      </c>
      <c r="J16" s="448"/>
      <c r="K16" s="615"/>
      <c r="L16" s="1136"/>
      <c r="M16" s="1127"/>
      <c r="N16" s="1127"/>
      <c r="O16" s="1127"/>
      <c r="P16" s="3297"/>
      <c r="Q16" s="1804"/>
      <c r="R16" s="770"/>
      <c r="S16" s="771"/>
      <c r="T16" s="770"/>
      <c r="U16" s="771"/>
      <c r="V16" s="770"/>
      <c r="W16" s="771"/>
      <c r="X16" s="1807"/>
      <c r="Y16" s="3290"/>
      <c r="Z16" s="1808"/>
      <c r="AA16" s="1805">
        <v>1</v>
      </c>
      <c r="AB16" s="1805">
        <v>1</v>
      </c>
      <c r="AC16" s="1805">
        <v>1</v>
      </c>
    </row>
    <row r="17" spans="1:29" ht="15">
      <c r="A17" s="428"/>
      <c r="B17" s="451" t="s">
        <v>2091</v>
      </c>
      <c r="C17" s="2604">
        <f>估价对象房地状况!C6</f>
        <v>0</v>
      </c>
      <c r="D17" s="450">
        <v>100</v>
      </c>
      <c r="E17" s="452"/>
      <c r="F17" s="453">
        <f>SUMIF(78:78,E18,79:79)-SUMIF(78:78,C18,79:79)+100</f>
        <v>100</v>
      </c>
      <c r="G17" s="454"/>
      <c r="H17" s="455">
        <f>SUMIF(78:78,G18,79:79)-SUMIF(78:78,C18,79:79)+100</f>
        <v>95</v>
      </c>
      <c r="I17" s="452"/>
      <c r="J17" s="455">
        <f>SUMIF(78:78,I18,79:79)-SUMIF(78:78,C18,79:79)+100</f>
        <v>100</v>
      </c>
      <c r="K17" s="614">
        <v>5</v>
      </c>
      <c r="L17" s="1136"/>
      <c r="M17" s="1127"/>
      <c r="N17" s="1127"/>
      <c r="O17" s="1127"/>
      <c r="P17" s="3297"/>
      <c r="Q17" s="1804" t="str">
        <f>B17</f>
        <v>交通便捷度</v>
      </c>
      <c r="R17" s="770" t="s">
        <v>17</v>
      </c>
      <c r="S17" s="771">
        <f>F17</f>
        <v>100</v>
      </c>
      <c r="T17" s="770" t="s">
        <v>17</v>
      </c>
      <c r="U17" s="771">
        <f>H17</f>
        <v>95</v>
      </c>
      <c r="V17" s="770" t="s">
        <v>17</v>
      </c>
      <c r="W17" s="771">
        <f>J17</f>
        <v>100</v>
      </c>
      <c r="X17" s="1807"/>
      <c r="Y17" s="3290"/>
      <c r="Z17" s="1808" t="str">
        <f>Q17</f>
        <v>交通便捷度</v>
      </c>
      <c r="AA17" s="1805">
        <f t="shared" si="3"/>
        <v>1</v>
      </c>
      <c r="AB17" s="1805">
        <f t="shared" si="4"/>
        <v>1.0526315789473684</v>
      </c>
      <c r="AC17" s="1805">
        <f t="shared" si="5"/>
        <v>1</v>
      </c>
    </row>
    <row r="18" spans="1:29" ht="15">
      <c r="A18" s="428"/>
      <c r="B18" s="456"/>
      <c r="C18" s="447" t="s">
        <v>3471</v>
      </c>
      <c r="D18" s="450"/>
      <c r="E18" s="447" t="s">
        <v>3471</v>
      </c>
      <c r="F18" s="453"/>
      <c r="G18" s="447" t="s">
        <v>3473</v>
      </c>
      <c r="H18" s="448"/>
      <c r="I18" s="447" t="s">
        <v>3471</v>
      </c>
      <c r="J18" s="448"/>
      <c r="K18" s="615"/>
      <c r="L18" s="1136"/>
      <c r="M18" s="1127"/>
      <c r="N18" s="1127"/>
      <c r="O18" s="1127"/>
      <c r="P18" s="3297"/>
      <c r="Q18" s="1804"/>
      <c r="R18" s="770"/>
      <c r="S18" s="771"/>
      <c r="T18" s="770"/>
      <c r="U18" s="771"/>
      <c r="V18" s="770"/>
      <c r="W18" s="771"/>
      <c r="X18" s="1807"/>
      <c r="Y18" s="3290"/>
      <c r="Z18" s="1808"/>
      <c r="AA18" s="1805">
        <v>1</v>
      </c>
      <c r="AB18" s="1805">
        <v>1</v>
      </c>
      <c r="AC18" s="1805">
        <v>1</v>
      </c>
    </row>
    <row r="19" spans="1:29" ht="15">
      <c r="A19" s="428"/>
      <c r="B19" s="451" t="s">
        <v>2646</v>
      </c>
      <c r="C19" s="2604">
        <f>估价对象房地状况!C7</f>
        <v>0</v>
      </c>
      <c r="D19" s="455">
        <v>100</v>
      </c>
      <c r="E19" s="457"/>
      <c r="F19" s="458">
        <f>SUMIF(80:80,E20,81:81)-SUMIF(80:80,C20,81:81)+100</f>
        <v>100</v>
      </c>
      <c r="G19" s="459"/>
      <c r="H19" s="450">
        <f>SUMIF(80:80,G20,81:81)-SUMIF(80:80,C20,81:81)+100</f>
        <v>97</v>
      </c>
      <c r="I19" s="457"/>
      <c r="J19" s="450">
        <f>SUMIF(80:80,I20,81:81)-SUMIF(80:80,C20,81:81)+100</f>
        <v>100</v>
      </c>
      <c r="K19" s="614">
        <v>3</v>
      </c>
      <c r="L19" s="1136"/>
      <c r="M19" s="1127"/>
      <c r="N19" s="1127"/>
      <c r="O19" s="1127"/>
      <c r="P19" s="3297"/>
      <c r="Q19" s="1804" t="str">
        <f>B19</f>
        <v>公共配套设施</v>
      </c>
      <c r="R19" s="770" t="s">
        <v>17</v>
      </c>
      <c r="S19" s="771">
        <f>F19</f>
        <v>100</v>
      </c>
      <c r="T19" s="770" t="s">
        <v>17</v>
      </c>
      <c r="U19" s="771">
        <f>H19</f>
        <v>97</v>
      </c>
      <c r="V19" s="770" t="s">
        <v>17</v>
      </c>
      <c r="W19" s="771">
        <f>J19</f>
        <v>100</v>
      </c>
      <c r="X19" s="1807"/>
      <c r="Y19" s="3290"/>
      <c r="Z19" s="1808" t="str">
        <f>Q19</f>
        <v>公共配套设施</v>
      </c>
      <c r="AA19" s="1805">
        <f t="shared" si="3"/>
        <v>1</v>
      </c>
      <c r="AB19" s="1805">
        <f t="shared" si="4"/>
        <v>1.0309278350515463</v>
      </c>
      <c r="AC19" s="1805">
        <f t="shared" si="5"/>
        <v>1</v>
      </c>
    </row>
    <row r="20" spans="1:29" ht="15">
      <c r="A20" s="428"/>
      <c r="B20" s="456"/>
      <c r="C20" s="447" t="s">
        <v>3471</v>
      </c>
      <c r="D20" s="448"/>
      <c r="E20" s="447" t="s">
        <v>3471</v>
      </c>
      <c r="F20" s="449"/>
      <c r="G20" s="447" t="s">
        <v>3473</v>
      </c>
      <c r="H20" s="448"/>
      <c r="I20" s="447" t="s">
        <v>3471</v>
      </c>
      <c r="J20" s="448"/>
      <c r="K20" s="615"/>
      <c r="L20" s="1136"/>
      <c r="M20" s="1127"/>
      <c r="N20" s="1127"/>
      <c r="O20" s="1127"/>
      <c r="P20" s="3297"/>
      <c r="Q20" s="1804"/>
      <c r="R20" s="770"/>
      <c r="S20" s="771"/>
      <c r="T20" s="770"/>
      <c r="U20" s="771"/>
      <c r="V20" s="770"/>
      <c r="W20" s="771"/>
      <c r="X20" s="1807"/>
      <c r="Y20" s="3290"/>
      <c r="Z20" s="1808"/>
      <c r="AA20" s="1805">
        <v>1</v>
      </c>
      <c r="AB20" s="1805">
        <v>1</v>
      </c>
      <c r="AC20" s="1805">
        <v>1</v>
      </c>
    </row>
    <row r="21" spans="1:29" ht="15">
      <c r="A21" s="428"/>
      <c r="B21" s="1378" t="s">
        <v>2647</v>
      </c>
      <c r="C21" s="2604">
        <f>估价对象房地状况!C8</f>
        <v>0</v>
      </c>
      <c r="D21" s="455">
        <v>100</v>
      </c>
      <c r="E21" s="457"/>
      <c r="F21" s="458">
        <f>SUMIF(82:82,E22,83:83)-SUMIF(82:82,C22,83:83)+100</f>
        <v>100</v>
      </c>
      <c r="G21" s="459"/>
      <c r="H21" s="450">
        <f>SUMIF(82:82,G22,83:83)-SUMIF(82:82,C22,83:83)+100</f>
        <v>100</v>
      </c>
      <c r="I21" s="457"/>
      <c r="J21" s="450">
        <f>SUMIF(82:82,I22,83:83)-SUMIF(82:82,C22,83:83)+100</f>
        <v>100</v>
      </c>
      <c r="K21" s="614">
        <v>3</v>
      </c>
      <c r="L21" s="1136"/>
      <c r="M21" s="1127"/>
      <c r="N21" s="1127"/>
      <c r="O21" s="1127"/>
      <c r="P21" s="3297"/>
      <c r="Q21" s="1804" t="str">
        <f>B21</f>
        <v>基础设施水平</v>
      </c>
      <c r="R21" s="770" t="s">
        <v>17</v>
      </c>
      <c r="S21" s="771">
        <f>F21</f>
        <v>100</v>
      </c>
      <c r="T21" s="770" t="s">
        <v>17</v>
      </c>
      <c r="U21" s="771">
        <f>H21</f>
        <v>100</v>
      </c>
      <c r="V21" s="770" t="s">
        <v>17</v>
      </c>
      <c r="W21" s="771">
        <f>J21</f>
        <v>100</v>
      </c>
      <c r="X21" s="1807"/>
      <c r="Y21" s="3290"/>
      <c r="Z21" s="1808" t="str">
        <f>Q21</f>
        <v>基础设施水平</v>
      </c>
      <c r="AA21" s="1805">
        <f t="shared" ref="AA21" si="8">D21/F21</f>
        <v>1</v>
      </c>
      <c r="AB21" s="1805">
        <f t="shared" ref="AB21" si="9">D21/H21</f>
        <v>1</v>
      </c>
      <c r="AC21" s="1805">
        <f t="shared" ref="AC21" si="10">D21/J21</f>
        <v>1</v>
      </c>
    </row>
    <row r="22" spans="1:29" ht="15">
      <c r="A22" s="428"/>
      <c r="B22" s="1378"/>
      <c r="C22" s="2605" t="s">
        <v>3472</v>
      </c>
      <c r="D22" s="448"/>
      <c r="E22" s="2605" t="s">
        <v>3472</v>
      </c>
      <c r="F22" s="449"/>
      <c r="G22" s="2605" t="s">
        <v>3472</v>
      </c>
      <c r="H22" s="448"/>
      <c r="I22" s="2605" t="s">
        <v>3472</v>
      </c>
      <c r="J22" s="448"/>
      <c r="K22" s="1377"/>
      <c r="L22" s="1136"/>
      <c r="M22" s="1127"/>
      <c r="N22" s="1127"/>
      <c r="O22" s="1127"/>
      <c r="P22" s="3297"/>
      <c r="Q22" s="1804"/>
      <c r="R22" s="770"/>
      <c r="S22" s="771"/>
      <c r="T22" s="770"/>
      <c r="U22" s="771"/>
      <c r="V22" s="770"/>
      <c r="W22" s="771"/>
      <c r="X22" s="1807"/>
      <c r="Y22" s="3290"/>
      <c r="Z22" s="1808"/>
      <c r="AA22" s="1805">
        <v>1</v>
      </c>
      <c r="AB22" s="1805">
        <v>1</v>
      </c>
      <c r="AC22" s="1805">
        <v>1</v>
      </c>
    </row>
    <row r="23" spans="1:29" ht="15">
      <c r="A23" s="428"/>
      <c r="B23" s="451" t="s">
        <v>2094</v>
      </c>
      <c r="C23" s="2661">
        <f>估价对象房地状况!C9</f>
        <v>0</v>
      </c>
      <c r="D23" s="450">
        <v>100</v>
      </c>
      <c r="E23" s="452"/>
      <c r="F23" s="453">
        <f>SUMIF(84:84,E24,85:85)-SUMIF(84:84,C24,85:85)+100</f>
        <v>100</v>
      </c>
      <c r="G23" s="454"/>
      <c r="H23" s="450">
        <f>SUMIF(84:84,G24,85:85)-SUMIF(84:84,C24,85:85)+100</f>
        <v>100</v>
      </c>
      <c r="I23" s="452"/>
      <c r="J23" s="450">
        <f>SUMIF(84:84,I24,85:85)-SUMIF(84:84,C24,85:85)+100</f>
        <v>100</v>
      </c>
      <c r="K23" s="614">
        <v>3</v>
      </c>
      <c r="L23" s="1136"/>
      <c r="M23" s="1127"/>
      <c r="N23" s="1127"/>
      <c r="O23" s="1127"/>
      <c r="P23" s="3297"/>
      <c r="Q23" s="1804" t="str">
        <f>B23</f>
        <v>自然及人文环境</v>
      </c>
      <c r="R23" s="770" t="s">
        <v>17</v>
      </c>
      <c r="S23" s="771">
        <f>F23</f>
        <v>100</v>
      </c>
      <c r="T23" s="770" t="s">
        <v>17</v>
      </c>
      <c r="U23" s="771">
        <f>H23</f>
        <v>100</v>
      </c>
      <c r="V23" s="770" t="s">
        <v>17</v>
      </c>
      <c r="W23" s="771">
        <f>J23</f>
        <v>100</v>
      </c>
      <c r="X23" s="1807"/>
      <c r="Y23" s="3290"/>
      <c r="Z23" s="1808" t="str">
        <f>Q23</f>
        <v>自然及人文环境</v>
      </c>
      <c r="AA23" s="1805">
        <f t="shared" si="3"/>
        <v>1</v>
      </c>
      <c r="AB23" s="1805">
        <f t="shared" si="4"/>
        <v>1</v>
      </c>
      <c r="AC23" s="1805">
        <f t="shared" si="5"/>
        <v>1</v>
      </c>
    </row>
    <row r="24" spans="1:29" ht="15">
      <c r="A24" s="428"/>
      <c r="B24" s="456"/>
      <c r="C24" s="447" t="s">
        <v>3471</v>
      </c>
      <c r="D24" s="448"/>
      <c r="E24" s="447" t="s">
        <v>3471</v>
      </c>
      <c r="F24" s="449"/>
      <c r="G24" s="447" t="s">
        <v>3471</v>
      </c>
      <c r="H24" s="448"/>
      <c r="I24" s="447" t="s">
        <v>3471</v>
      </c>
      <c r="J24" s="448"/>
      <c r="K24" s="615"/>
      <c r="L24" s="1136"/>
      <c r="M24" s="1127"/>
      <c r="N24" s="1127"/>
      <c r="O24" s="1127"/>
      <c r="P24" s="3297"/>
      <c r="Q24" s="1804"/>
      <c r="R24" s="770"/>
      <c r="S24" s="771"/>
      <c r="T24" s="770"/>
      <c r="U24" s="771"/>
      <c r="V24" s="770"/>
      <c r="W24" s="771"/>
      <c r="X24" s="1807"/>
      <c r="Y24" s="3290"/>
      <c r="Z24" s="1808"/>
      <c r="AA24" s="1805">
        <v>1</v>
      </c>
      <c r="AB24" s="1805">
        <v>1</v>
      </c>
      <c r="AC24" s="1805">
        <v>1</v>
      </c>
    </row>
    <row r="25" spans="1:29" ht="15">
      <c r="A25" s="428"/>
      <c r="B25" s="422" t="s">
        <v>2648</v>
      </c>
      <c r="C25" s="447" t="s">
        <v>3471</v>
      </c>
      <c r="D25" s="435">
        <v>100</v>
      </c>
      <c r="E25" s="447" t="s">
        <v>3471</v>
      </c>
      <c r="F25" s="461">
        <f>SUMIF(86:86,E25,87:87)-SUMIF(86:86,C25,87:87)+100</f>
        <v>100</v>
      </c>
      <c r="G25" s="447" t="s">
        <v>3471</v>
      </c>
      <c r="H25" s="435">
        <f>SUMIF(86:86,G25,87:87)-SUMIF(86:86,C25,87:87)+100</f>
        <v>100</v>
      </c>
      <c r="I25" s="447" t="s">
        <v>3471</v>
      </c>
      <c r="J25" s="435">
        <f>SUMIF(86:86,I25,87:87)-SUMIF(86:86,C25,87:87)+100</f>
        <v>100</v>
      </c>
      <c r="K25" s="612">
        <v>5</v>
      </c>
      <c r="L25" s="1136"/>
      <c r="M25" s="1127"/>
      <c r="N25" s="1127"/>
      <c r="O25" s="1127"/>
      <c r="P25" s="3297"/>
      <c r="Q25" s="1804" t="str">
        <f t="shared" ref="Q25:Q46" si="11">B25</f>
        <v>临街状况</v>
      </c>
      <c r="R25" s="770" t="s">
        <v>17</v>
      </c>
      <c r="S25" s="771">
        <f>F25</f>
        <v>100</v>
      </c>
      <c r="T25" s="770" t="s">
        <v>17</v>
      </c>
      <c r="U25" s="771">
        <f>H25</f>
        <v>100</v>
      </c>
      <c r="V25" s="770" t="s">
        <v>17</v>
      </c>
      <c r="W25" s="771">
        <f>J25</f>
        <v>100</v>
      </c>
      <c r="X25" s="1807"/>
      <c r="Y25" s="3290"/>
      <c r="Z25" s="1808" t="str">
        <f>Q25</f>
        <v>临街状况</v>
      </c>
      <c r="AA25" s="1805">
        <f t="shared" si="3"/>
        <v>1</v>
      </c>
      <c r="AB25" s="1805">
        <f t="shared" si="4"/>
        <v>1</v>
      </c>
      <c r="AC25" s="1805">
        <f t="shared" si="5"/>
        <v>1</v>
      </c>
    </row>
    <row r="26" spans="1:29" ht="15">
      <c r="A26" s="428"/>
      <c r="B26" s="1380" t="s">
        <v>2649</v>
      </c>
      <c r="C26" s="2951" t="s">
        <v>3474</v>
      </c>
      <c r="D26" s="435">
        <v>100</v>
      </c>
      <c r="E26" s="2951" t="s">
        <v>3475</v>
      </c>
      <c r="F26" s="461">
        <f>SUMIF(88:88,E26,89:89)-SUMIF(88:88,C26,89:89)+100</f>
        <v>100</v>
      </c>
      <c r="G26" s="2951" t="s">
        <v>3475</v>
      </c>
      <c r="H26" s="435">
        <f>SUMIF(88:88,G26,89:89)-SUMIF(88:88,C26,89:89)+100</f>
        <v>100</v>
      </c>
      <c r="I26" s="2951" t="s">
        <v>3475</v>
      </c>
      <c r="J26" s="435">
        <f>SUMIF(88:88,I26,89:89)-SUMIF(88:88,C26,89:89)+100</f>
        <v>100</v>
      </c>
      <c r="K26" s="613"/>
      <c r="L26" s="1136"/>
      <c r="M26" s="1127"/>
      <c r="N26" s="1127"/>
      <c r="O26" s="1127"/>
      <c r="P26" s="3297"/>
      <c r="Q26" s="1804" t="str">
        <f t="shared" si="11"/>
        <v>平面位置/可视性</v>
      </c>
      <c r="R26" s="770" t="s">
        <v>17</v>
      </c>
      <c r="S26" s="771">
        <f>F26</f>
        <v>100</v>
      </c>
      <c r="T26" s="770" t="s">
        <v>17</v>
      </c>
      <c r="U26" s="771">
        <f>H26</f>
        <v>100</v>
      </c>
      <c r="V26" s="770" t="s">
        <v>17</v>
      </c>
      <c r="W26" s="771">
        <f>J26</f>
        <v>100</v>
      </c>
      <c r="X26" s="1807"/>
      <c r="Y26" s="3290"/>
      <c r="Z26" s="1808" t="str">
        <f>Q26</f>
        <v>平面位置/可视性</v>
      </c>
      <c r="AA26" s="1805">
        <f t="shared" si="3"/>
        <v>1</v>
      </c>
      <c r="AB26" s="1805">
        <f t="shared" si="4"/>
        <v>1</v>
      </c>
      <c r="AC26" s="1805">
        <f t="shared" si="5"/>
        <v>1</v>
      </c>
    </row>
    <row r="27" spans="1:29" s="117" customFormat="1" ht="15">
      <c r="A27" s="431"/>
      <c r="B27" s="451" t="s">
        <v>2650</v>
      </c>
      <c r="C27" s="2662" t="s">
        <v>3476</v>
      </c>
      <c r="D27" s="462">
        <v>100</v>
      </c>
      <c r="E27" s="2662" t="s">
        <v>3476</v>
      </c>
      <c r="F27" s="464">
        <f>SUMIF(90:90,E27,91:91)-SUMIF(90:90,C27,91:91)+100</f>
        <v>100</v>
      </c>
      <c r="G27" s="2662" t="s">
        <v>3473</v>
      </c>
      <c r="H27" s="462">
        <f>SUMIF(90:90,G27,91:91)-SUMIF(90:90,C27,91:91)+100</f>
        <v>95</v>
      </c>
      <c r="I27" s="2662" t="s">
        <v>3476</v>
      </c>
      <c r="J27" s="462">
        <f>SUMIF(90:90,I27,91:91)-SUMIF(90:90,C27,91:91)+100</f>
        <v>100</v>
      </c>
      <c r="K27" s="612">
        <v>5</v>
      </c>
      <c r="L27" s="1128"/>
      <c r="M27" s="1129"/>
      <c r="N27" s="1129"/>
      <c r="O27" s="1129"/>
      <c r="P27" s="3297"/>
      <c r="Q27" s="1789" t="str">
        <f t="shared" si="11"/>
        <v>人流量</v>
      </c>
      <c r="R27" s="766" t="s">
        <v>17</v>
      </c>
      <c r="S27" s="767">
        <f>F27</f>
        <v>100</v>
      </c>
      <c r="T27" s="766" t="s">
        <v>17</v>
      </c>
      <c r="U27" s="767">
        <f>H27</f>
        <v>95</v>
      </c>
      <c r="V27" s="766" t="s">
        <v>17</v>
      </c>
      <c r="W27" s="767">
        <f>J27</f>
        <v>100</v>
      </c>
      <c r="X27" s="768"/>
      <c r="Y27" s="3290"/>
      <c r="Z27" s="55" t="str">
        <f>Q27</f>
        <v>人流量</v>
      </c>
      <c r="AA27" s="1805">
        <f>D27/F27</f>
        <v>1</v>
      </c>
      <c r="AB27" s="1805">
        <f>D27/H27</f>
        <v>1.0526315789473684</v>
      </c>
      <c r="AC27" s="1805">
        <f>D27/J27</f>
        <v>1</v>
      </c>
    </row>
    <row r="28" spans="1:29" ht="15.75" thickBot="1">
      <c r="A28" s="428"/>
      <c r="B28" s="422" t="s">
        <v>2651</v>
      </c>
      <c r="C28" s="616" t="s">
        <v>3438</v>
      </c>
      <c r="D28" s="435">
        <v>100</v>
      </c>
      <c r="E28" s="616" t="s">
        <v>3438</v>
      </c>
      <c r="F28" s="461">
        <f>SUMIF(92:92,E28,93:93)-SUMIF(92:92,C28,93:93)+100</f>
        <v>100</v>
      </c>
      <c r="G28" s="616" t="s">
        <v>3438</v>
      </c>
      <c r="H28" s="435">
        <f>SUMIF(92:92,G28,93:93)-SUMIF(92:92,C28,93:93)+100</f>
        <v>100</v>
      </c>
      <c r="I28" s="616" t="s">
        <v>3438</v>
      </c>
      <c r="J28" s="435">
        <f>SUMIF(92:92,I28,93:93)-SUMIF(92:92,C28,93:93)+100</f>
        <v>100</v>
      </c>
      <c r="K28" s="613"/>
      <c r="L28" s="1136"/>
      <c r="M28" s="1127"/>
      <c r="N28" s="1127"/>
      <c r="O28" s="1127"/>
      <c r="P28" s="3297"/>
      <c r="Q28" s="1804" t="str">
        <f t="shared" si="11"/>
        <v>楼层</v>
      </c>
      <c r="R28" s="770" t="s">
        <v>17</v>
      </c>
      <c r="S28" s="771">
        <f t="shared" ref="S28:S46" si="12">F28</f>
        <v>100</v>
      </c>
      <c r="T28" s="770" t="s">
        <v>17</v>
      </c>
      <c r="U28" s="771">
        <f t="shared" ref="U28:U46" si="13">H28</f>
        <v>100</v>
      </c>
      <c r="V28" s="770" t="s">
        <v>17</v>
      </c>
      <c r="W28" s="771">
        <f t="shared" ref="W28:W46" si="14">J28</f>
        <v>100</v>
      </c>
      <c r="X28" s="1807"/>
      <c r="Y28" s="3290"/>
      <c r="Z28" s="1808" t="str">
        <f t="shared" ref="Z28:Z46" si="15">Q28</f>
        <v>楼层</v>
      </c>
      <c r="AA28" s="1805">
        <f t="shared" si="3"/>
        <v>1</v>
      </c>
      <c r="AB28" s="1805">
        <f t="shared" si="4"/>
        <v>1</v>
      </c>
      <c r="AC28" s="1805">
        <f t="shared" si="5"/>
        <v>1</v>
      </c>
    </row>
    <row r="29" spans="1:29" ht="15" hidden="1">
      <c r="A29" s="428"/>
      <c r="B29" s="1380"/>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97"/>
      <c r="Q29" s="1804">
        <f t="shared" si="11"/>
        <v>0</v>
      </c>
      <c r="R29" s="770" t="s">
        <v>17</v>
      </c>
      <c r="S29" s="771">
        <f t="shared" si="12"/>
        <v>100</v>
      </c>
      <c r="T29" s="770" t="s">
        <v>17</v>
      </c>
      <c r="U29" s="771">
        <f t="shared" si="13"/>
        <v>100</v>
      </c>
      <c r="V29" s="770" t="s">
        <v>17</v>
      </c>
      <c r="W29" s="771">
        <f t="shared" si="14"/>
        <v>100</v>
      </c>
      <c r="X29" s="1807"/>
      <c r="Y29" s="3290"/>
      <c r="Z29" s="1808">
        <f t="shared" si="15"/>
        <v>0</v>
      </c>
      <c r="AA29" s="1805">
        <f t="shared" si="3"/>
        <v>1</v>
      </c>
      <c r="AB29" s="1805">
        <f t="shared" si="4"/>
        <v>1</v>
      </c>
      <c r="AC29" s="1805">
        <f t="shared" si="5"/>
        <v>1</v>
      </c>
    </row>
    <row r="30" spans="1:29" ht="15" hidden="1">
      <c r="A30" s="428"/>
      <c r="B30" s="1380"/>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97"/>
      <c r="Q30" s="1804">
        <f t="shared" si="11"/>
        <v>0</v>
      </c>
      <c r="R30" s="770" t="s">
        <v>17</v>
      </c>
      <c r="S30" s="771">
        <f t="shared" si="12"/>
        <v>100</v>
      </c>
      <c r="T30" s="770" t="s">
        <v>17</v>
      </c>
      <c r="U30" s="771">
        <f t="shared" si="13"/>
        <v>100</v>
      </c>
      <c r="V30" s="770" t="s">
        <v>17</v>
      </c>
      <c r="W30" s="771">
        <f t="shared" si="14"/>
        <v>100</v>
      </c>
      <c r="X30" s="1807"/>
      <c r="Y30" s="3290"/>
      <c r="Z30" s="1808">
        <f t="shared" si="15"/>
        <v>0</v>
      </c>
      <c r="AA30" s="1805">
        <f t="shared" si="3"/>
        <v>1</v>
      </c>
      <c r="AB30" s="1805">
        <f t="shared" si="4"/>
        <v>1</v>
      </c>
      <c r="AC30" s="1805">
        <f t="shared" si="5"/>
        <v>1</v>
      </c>
    </row>
    <row r="31" spans="1:29" ht="15.75" hidden="1" thickBot="1">
      <c r="A31" s="436"/>
      <c r="B31" s="1380"/>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97"/>
      <c r="Q31" s="1804">
        <f t="shared" si="11"/>
        <v>0</v>
      </c>
      <c r="R31" s="770" t="s">
        <v>17</v>
      </c>
      <c r="S31" s="771">
        <f t="shared" si="12"/>
        <v>100</v>
      </c>
      <c r="T31" s="770" t="s">
        <v>17</v>
      </c>
      <c r="U31" s="771">
        <f t="shared" si="13"/>
        <v>100</v>
      </c>
      <c r="V31" s="770" t="s">
        <v>17</v>
      </c>
      <c r="W31" s="771">
        <f t="shared" si="14"/>
        <v>100</v>
      </c>
      <c r="X31" s="1807"/>
      <c r="Y31" s="3290"/>
      <c r="Z31" s="1808">
        <f t="shared" si="15"/>
        <v>0</v>
      </c>
      <c r="AA31" s="1805">
        <f t="shared" si="3"/>
        <v>1</v>
      </c>
      <c r="AB31" s="1805">
        <f t="shared" si="4"/>
        <v>1</v>
      </c>
      <c r="AC31" s="1805">
        <f t="shared" si="5"/>
        <v>1</v>
      </c>
    </row>
    <row r="32" spans="1:29" ht="15">
      <c r="A32" s="440" t="s">
        <v>2555</v>
      </c>
      <c r="B32" s="71" t="s">
        <v>2652</v>
      </c>
      <c r="C32" s="2614" t="s">
        <v>3456</v>
      </c>
      <c r="D32" s="467">
        <v>100</v>
      </c>
      <c r="E32" s="2614" t="s">
        <v>3477</v>
      </c>
      <c r="F32" s="461">
        <f>SUMIF(100:100,E32,101:101)-SUMIF(100:100,C32,101:101)+100</f>
        <v>95</v>
      </c>
      <c r="G32" s="2614" t="s">
        <v>3477</v>
      </c>
      <c r="H32" s="435">
        <f>SUMIF(100:100,G32,101:101)-SUMIF(100:100,C32,101:101)+100</f>
        <v>95</v>
      </c>
      <c r="I32" s="2614" t="s">
        <v>3477</v>
      </c>
      <c r="J32" s="467">
        <f>SUMIF(100:100,I32,101:101)-SUMIF(100:100,C32,101:101)+100</f>
        <v>95</v>
      </c>
      <c r="K32" s="612">
        <v>5</v>
      </c>
      <c r="L32" s="1136"/>
      <c r="M32" s="1127"/>
      <c r="N32" s="1127"/>
      <c r="O32" s="1127"/>
      <c r="P32" s="3291" t="s">
        <v>2557</v>
      </c>
      <c r="Q32" s="1804" t="str">
        <f t="shared" si="11"/>
        <v>商业类型</v>
      </c>
      <c r="R32" s="770" t="s">
        <v>17</v>
      </c>
      <c r="S32" s="771">
        <f t="shared" si="12"/>
        <v>95</v>
      </c>
      <c r="T32" s="770" t="s">
        <v>17</v>
      </c>
      <c r="U32" s="771">
        <f t="shared" si="13"/>
        <v>95</v>
      </c>
      <c r="V32" s="770" t="s">
        <v>17</v>
      </c>
      <c r="W32" s="771">
        <f t="shared" si="14"/>
        <v>95</v>
      </c>
      <c r="X32" s="1807"/>
      <c r="Y32" s="3294" t="s">
        <v>2557</v>
      </c>
      <c r="Z32" s="1808" t="str">
        <f t="shared" si="15"/>
        <v>商业类型</v>
      </c>
      <c r="AA32" s="1805">
        <f t="shared" si="3"/>
        <v>1.0526315789473684</v>
      </c>
      <c r="AB32" s="1805">
        <f t="shared" si="4"/>
        <v>1.0526315789473684</v>
      </c>
      <c r="AC32" s="1805">
        <f t="shared" si="5"/>
        <v>1.0526315789473684</v>
      </c>
    </row>
    <row r="33" spans="1:29" s="471" customFormat="1" ht="15">
      <c r="A33" s="468"/>
      <c r="B33" s="422" t="s">
        <v>2558</v>
      </c>
      <c r="C33" s="469">
        <f>'数据-汇总表'!F19</f>
        <v>3497.5499999999993</v>
      </c>
      <c r="D33" s="136">
        <v>100</v>
      </c>
      <c r="E33" s="430">
        <v>69</v>
      </c>
      <c r="F33" s="425">
        <f>LOOKUP(E33,103:103,104:104)-LOOKUP(C33,103:103,104:104)+100</f>
        <v>110</v>
      </c>
      <c r="G33" s="429">
        <v>39</v>
      </c>
      <c r="H33" s="136">
        <f>LOOKUP(G33,103:103,104:104)-LOOKUP(C33,103:103,104:104)+100</f>
        <v>112</v>
      </c>
      <c r="I33" s="429">
        <v>38</v>
      </c>
      <c r="J33" s="136">
        <f>LOOKUP(I33,103:103,104:104)-LOOKUP(C33,103:103,104:104)+100</f>
        <v>112</v>
      </c>
      <c r="K33" s="613"/>
      <c r="L33" s="1134"/>
      <c r="M33" s="1137"/>
      <c r="N33" s="1137"/>
      <c r="O33" s="1137"/>
      <c r="P33" s="3292"/>
      <c r="Q33" s="772" t="str">
        <f t="shared" si="11"/>
        <v>项目建筑规模</v>
      </c>
      <c r="R33" s="773" t="s">
        <v>17</v>
      </c>
      <c r="S33" s="774">
        <f t="shared" si="12"/>
        <v>110</v>
      </c>
      <c r="T33" s="773" t="s">
        <v>17</v>
      </c>
      <c r="U33" s="774">
        <f t="shared" si="13"/>
        <v>112</v>
      </c>
      <c r="V33" s="773" t="s">
        <v>17</v>
      </c>
      <c r="W33" s="774">
        <f t="shared" si="14"/>
        <v>112</v>
      </c>
      <c r="X33" s="775"/>
      <c r="Y33" s="3294"/>
      <c r="Z33" s="776" t="str">
        <f t="shared" si="15"/>
        <v>项目建筑规模</v>
      </c>
      <c r="AA33" s="1805">
        <f t="shared" si="3"/>
        <v>0.90909090909090906</v>
      </c>
      <c r="AB33" s="1805">
        <f t="shared" si="4"/>
        <v>0.8928571428571429</v>
      </c>
      <c r="AC33" s="1805">
        <f t="shared" si="5"/>
        <v>0.8928571428571429</v>
      </c>
    </row>
    <row r="34" spans="1:29" ht="15">
      <c r="A34" s="472"/>
      <c r="B34" s="422" t="s">
        <v>2559</v>
      </c>
      <c r="C34" s="2616" t="s">
        <v>3460</v>
      </c>
      <c r="D34" s="435">
        <v>100</v>
      </c>
      <c r="E34" s="2616" t="s">
        <v>3460</v>
      </c>
      <c r="F34" s="461">
        <f>SUMIF(105:105,E34,106:106)-SUMIF(105:105,C34,106:106)+100</f>
        <v>100</v>
      </c>
      <c r="G34" s="2616" t="s">
        <v>3460</v>
      </c>
      <c r="H34" s="435">
        <f>SUMIF(105:105,G34,106:106)-SUMIF(105:105,C34,106:106)+100</f>
        <v>100</v>
      </c>
      <c r="I34" s="2616" t="s">
        <v>3460</v>
      </c>
      <c r="J34" s="435">
        <f>SUMIF(105:105,I34,106:106)-SUMIF(105:105,C34,106:106)+100</f>
        <v>100</v>
      </c>
      <c r="K34" s="612">
        <v>1</v>
      </c>
      <c r="L34" s="1136"/>
      <c r="M34" s="1127"/>
      <c r="N34" s="1127"/>
      <c r="O34" s="1127"/>
      <c r="P34" s="3292"/>
      <c r="Q34" s="1804" t="str">
        <f t="shared" si="11"/>
        <v>建筑结构</v>
      </c>
      <c r="R34" s="770" t="s">
        <v>17</v>
      </c>
      <c r="S34" s="771">
        <f t="shared" si="12"/>
        <v>100</v>
      </c>
      <c r="T34" s="770" t="s">
        <v>17</v>
      </c>
      <c r="U34" s="771">
        <f t="shared" si="13"/>
        <v>100</v>
      </c>
      <c r="V34" s="770" t="s">
        <v>17</v>
      </c>
      <c r="W34" s="771">
        <f t="shared" si="14"/>
        <v>100</v>
      </c>
      <c r="X34" s="1807"/>
      <c r="Y34" s="3294"/>
      <c r="Z34" s="1808" t="str">
        <f t="shared" si="15"/>
        <v>建筑结构</v>
      </c>
      <c r="AA34" s="1805">
        <f t="shared" si="3"/>
        <v>1</v>
      </c>
      <c r="AB34" s="1805">
        <f t="shared" si="4"/>
        <v>1</v>
      </c>
      <c r="AC34" s="1805">
        <f t="shared" si="5"/>
        <v>1</v>
      </c>
    </row>
    <row r="35" spans="1:29" ht="15">
      <c r="A35" s="472"/>
      <c r="B35" s="422" t="s">
        <v>2653</v>
      </c>
      <c r="C35" s="2610" t="s">
        <v>3486</v>
      </c>
      <c r="D35" s="435">
        <v>100</v>
      </c>
      <c r="E35" s="2610" t="s">
        <v>3486</v>
      </c>
      <c r="F35" s="461">
        <f>SUMIF(107:107,E35,108:108)-SUMIF(107:107,C35,108:108)+100</f>
        <v>100</v>
      </c>
      <c r="G35" s="2610" t="s">
        <v>3486</v>
      </c>
      <c r="H35" s="435">
        <f>SUMIF(107:107,G35,108:108)-SUMIF(107:107,C35,108:108)+100</f>
        <v>100</v>
      </c>
      <c r="I35" s="2610" t="s">
        <v>3486</v>
      </c>
      <c r="J35" s="435">
        <f>SUMIF(107:107,I35,108:108)-SUMIF(107:107,C35,108:108)+100</f>
        <v>100</v>
      </c>
      <c r="K35" s="612">
        <v>1</v>
      </c>
      <c r="L35" s="1136"/>
      <c r="M35" s="1127"/>
      <c r="N35" s="1127"/>
      <c r="O35" s="1127"/>
      <c r="P35" s="3292"/>
      <c r="Q35" s="1804" t="str">
        <f t="shared" si="11"/>
        <v>公共部分装修</v>
      </c>
      <c r="R35" s="770" t="s">
        <v>17</v>
      </c>
      <c r="S35" s="771">
        <f t="shared" si="12"/>
        <v>100</v>
      </c>
      <c r="T35" s="770" t="s">
        <v>17</v>
      </c>
      <c r="U35" s="771">
        <f t="shared" si="13"/>
        <v>100</v>
      </c>
      <c r="V35" s="770" t="s">
        <v>17</v>
      </c>
      <c r="W35" s="771">
        <f t="shared" si="14"/>
        <v>100</v>
      </c>
      <c r="X35" s="1807"/>
      <c r="Y35" s="3294"/>
      <c r="Z35" s="1808" t="str">
        <f t="shared" si="15"/>
        <v>公共部分装修</v>
      </c>
      <c r="AA35" s="1805">
        <f t="shared" si="3"/>
        <v>1</v>
      </c>
      <c r="AB35" s="1805">
        <f t="shared" si="4"/>
        <v>1</v>
      </c>
      <c r="AC35" s="1805">
        <f t="shared" si="5"/>
        <v>1</v>
      </c>
    </row>
    <row r="36" spans="1:29" ht="15">
      <c r="A36" s="472"/>
      <c r="B36" s="422" t="s">
        <v>2654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36"/>
      <c r="M36" s="1127"/>
      <c r="N36" s="1127"/>
      <c r="O36" s="1127"/>
      <c r="P36" s="3292"/>
      <c r="Q36" s="1804" t="str">
        <f t="shared" si="11"/>
        <v>成新度</v>
      </c>
      <c r="R36" s="770" t="s">
        <v>17</v>
      </c>
      <c r="S36" s="771">
        <f t="shared" si="12"/>
        <v>100</v>
      </c>
      <c r="T36" s="770" t="s">
        <v>17</v>
      </c>
      <c r="U36" s="771">
        <f t="shared" si="13"/>
        <v>100</v>
      </c>
      <c r="V36" s="770" t="s">
        <v>17</v>
      </c>
      <c r="W36" s="771">
        <f t="shared" si="14"/>
        <v>100</v>
      </c>
      <c r="X36" s="1807"/>
      <c r="Y36" s="3294"/>
      <c r="Z36" s="1808" t="str">
        <f t="shared" si="15"/>
        <v>成新度</v>
      </c>
      <c r="AA36" s="1805">
        <f t="shared" si="3"/>
        <v>1</v>
      </c>
      <c r="AB36" s="1805">
        <f t="shared" si="4"/>
        <v>1</v>
      </c>
      <c r="AC36" s="1805">
        <f t="shared" si="5"/>
        <v>1</v>
      </c>
    </row>
    <row r="37" spans="1:29" s="117" customFormat="1" ht="15">
      <c r="A37" s="473"/>
      <c r="B37" s="422" t="s">
        <v>2655</v>
      </c>
      <c r="C37" s="2610" t="s">
        <v>3495</v>
      </c>
      <c r="D37" s="136">
        <v>100</v>
      </c>
      <c r="E37" s="2610" t="s">
        <v>3495</v>
      </c>
      <c r="F37" s="461">
        <f>SUMIF(112:112,E37,113:113)-SUMIF(112:112,C37,113:113)+100</f>
        <v>100</v>
      </c>
      <c r="G37" s="2610" t="s">
        <v>3495</v>
      </c>
      <c r="H37" s="435">
        <f>SUMIF(112:112,G37,113:113)-SUMIF(112:112,C37,113:113)+100</f>
        <v>100</v>
      </c>
      <c r="I37" s="2610" t="s">
        <v>3495</v>
      </c>
      <c r="J37" s="435">
        <f>SUMIF(112:112,I37,113:113)-SUMIF(112:112,C37,113:113)+100</f>
        <v>100</v>
      </c>
      <c r="K37" s="612">
        <v>1</v>
      </c>
      <c r="L37" s="1128"/>
      <c r="M37" s="1129"/>
      <c r="N37" s="1129"/>
      <c r="O37" s="1129"/>
      <c r="P37" s="3292"/>
      <c r="Q37" s="1789" t="str">
        <f t="shared" si="11"/>
        <v>市政基础设施</v>
      </c>
      <c r="R37" s="766" t="s">
        <v>17</v>
      </c>
      <c r="S37" s="767">
        <f t="shared" si="12"/>
        <v>100</v>
      </c>
      <c r="T37" s="766" t="s">
        <v>17</v>
      </c>
      <c r="U37" s="767">
        <f t="shared" si="13"/>
        <v>100</v>
      </c>
      <c r="V37" s="766" t="s">
        <v>17</v>
      </c>
      <c r="W37" s="767">
        <f t="shared" si="14"/>
        <v>100</v>
      </c>
      <c r="X37" s="768"/>
      <c r="Y37" s="3294"/>
      <c r="Z37" s="55" t="str">
        <f t="shared" si="15"/>
        <v>市政基础设施</v>
      </c>
      <c r="AA37" s="769">
        <f t="shared" si="3"/>
        <v>1</v>
      </c>
      <c r="AB37" s="769">
        <f t="shared" si="4"/>
        <v>1</v>
      </c>
      <c r="AC37" s="769">
        <f t="shared" si="5"/>
        <v>1</v>
      </c>
    </row>
    <row r="38" spans="1:29" ht="15">
      <c r="A38" s="472"/>
      <c r="B38" s="422" t="s">
        <v>2656</v>
      </c>
      <c r="C38" s="2610" t="s">
        <v>3487</v>
      </c>
      <c r="D38" s="435">
        <v>100</v>
      </c>
      <c r="E38" s="2610" t="s">
        <v>3487</v>
      </c>
      <c r="F38" s="461">
        <f>SUMIF(114:114,E38,115:115)-SUMIF(114:114,C38,115:115)+100</f>
        <v>100</v>
      </c>
      <c r="G38" s="2610" t="s">
        <v>3487</v>
      </c>
      <c r="H38" s="435">
        <f>SUMIF(114:114,G38,115:115)-SUMIF(114:114,C38,115:115)+100</f>
        <v>100</v>
      </c>
      <c r="I38" s="2610" t="s">
        <v>3487</v>
      </c>
      <c r="J38" s="435">
        <f>SUMIF(114:114,I38,115:115)-SUMIF(114:114,C38,115:115)+100</f>
        <v>100</v>
      </c>
      <c r="K38" s="612">
        <v>5</v>
      </c>
      <c r="L38" s="1136"/>
      <c r="M38" s="1127"/>
      <c r="N38" s="1127"/>
      <c r="O38" s="1127"/>
      <c r="P38" s="3292" t="s">
        <v>2557</v>
      </c>
      <c r="Q38" s="1804" t="str">
        <f t="shared" si="11"/>
        <v>业态</v>
      </c>
      <c r="R38" s="770" t="s">
        <v>17</v>
      </c>
      <c r="S38" s="771">
        <f t="shared" si="12"/>
        <v>100</v>
      </c>
      <c r="T38" s="770" t="s">
        <v>17</v>
      </c>
      <c r="U38" s="771">
        <f t="shared" si="13"/>
        <v>100</v>
      </c>
      <c r="V38" s="770" t="s">
        <v>17</v>
      </c>
      <c r="W38" s="771">
        <f t="shared" si="14"/>
        <v>100</v>
      </c>
      <c r="X38" s="1807"/>
      <c r="Y38" s="3294" t="s">
        <v>2557</v>
      </c>
      <c r="Z38" s="1808" t="str">
        <f t="shared" si="15"/>
        <v>业态</v>
      </c>
      <c r="AA38" s="1805">
        <f t="shared" si="3"/>
        <v>1</v>
      </c>
      <c r="AB38" s="1805">
        <f t="shared" si="4"/>
        <v>1</v>
      </c>
      <c r="AC38" s="1805">
        <f t="shared" si="5"/>
        <v>1</v>
      </c>
    </row>
    <row r="39" spans="1:29" ht="15">
      <c r="A39" s="472"/>
      <c r="B39" s="422" t="s">
        <v>2657</v>
      </c>
      <c r="C39" s="2610" t="s">
        <v>3490</v>
      </c>
      <c r="D39" s="435">
        <v>100</v>
      </c>
      <c r="E39" s="2610" t="s">
        <v>3490</v>
      </c>
      <c r="F39" s="461">
        <f>SUMIF(116:116,E39,117:117)-SUMIF(116:116,C39,117:117)+100</f>
        <v>100</v>
      </c>
      <c r="G39" s="2610" t="s">
        <v>3490</v>
      </c>
      <c r="H39" s="435">
        <f>SUMIF(116:116,G39,117:117)-SUMIF(116:116,C39,117:117)+100</f>
        <v>100</v>
      </c>
      <c r="I39" s="2610" t="s">
        <v>3490</v>
      </c>
      <c r="J39" s="435">
        <f>SUMIF(116:116,I39,117:117)-SUMIF(116:116,C39,117:117)+100</f>
        <v>100</v>
      </c>
      <c r="K39" s="612">
        <v>1</v>
      </c>
      <c r="L39" s="1136"/>
      <c r="M39" s="1127"/>
      <c r="N39" s="1127"/>
      <c r="O39" s="1127"/>
      <c r="P39" s="3292"/>
      <c r="Q39" s="1804" t="str">
        <f t="shared" si="11"/>
        <v>层高</v>
      </c>
      <c r="R39" s="770" t="s">
        <v>17</v>
      </c>
      <c r="S39" s="771">
        <f t="shared" si="12"/>
        <v>100</v>
      </c>
      <c r="T39" s="770" t="s">
        <v>17</v>
      </c>
      <c r="U39" s="771">
        <f t="shared" si="13"/>
        <v>100</v>
      </c>
      <c r="V39" s="770" t="s">
        <v>17</v>
      </c>
      <c r="W39" s="771">
        <f t="shared" si="14"/>
        <v>100</v>
      </c>
      <c r="X39" s="1807"/>
      <c r="Y39" s="3294"/>
      <c r="Z39" s="1808" t="str">
        <f t="shared" si="15"/>
        <v>层高</v>
      </c>
      <c r="AA39" s="1805">
        <f t="shared" si="3"/>
        <v>1</v>
      </c>
      <c r="AB39" s="1805">
        <f t="shared" si="4"/>
        <v>1</v>
      </c>
      <c r="AC39" s="1805">
        <f t="shared" si="5"/>
        <v>1</v>
      </c>
    </row>
    <row r="40" spans="1:29" ht="15" hidden="1">
      <c r="A40" s="472"/>
      <c r="B40" s="422" t="s">
        <v>2658</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92"/>
      <c r="Q40" s="1804" t="str">
        <f t="shared" si="11"/>
        <v>单套建筑面积</v>
      </c>
      <c r="R40" s="770" t="s">
        <v>17</v>
      </c>
      <c r="S40" s="771">
        <f t="shared" si="12"/>
        <v>100</v>
      </c>
      <c r="T40" s="770" t="s">
        <v>17</v>
      </c>
      <c r="U40" s="771">
        <f t="shared" si="13"/>
        <v>100</v>
      </c>
      <c r="V40" s="770" t="s">
        <v>17</v>
      </c>
      <c r="W40" s="771">
        <f t="shared" si="14"/>
        <v>100</v>
      </c>
      <c r="X40" s="1807"/>
      <c r="Y40" s="3294"/>
      <c r="Z40" s="1808" t="str">
        <f t="shared" si="15"/>
        <v>单套建筑面积</v>
      </c>
      <c r="AA40" s="1805">
        <f t="shared" si="3"/>
        <v>1</v>
      </c>
      <c r="AB40" s="1805">
        <f t="shared" si="4"/>
        <v>1</v>
      </c>
      <c r="AC40" s="1805">
        <f t="shared" si="5"/>
        <v>1</v>
      </c>
    </row>
    <row r="41" spans="1:29" s="471" customFormat="1" ht="15" hidden="1">
      <c r="A41" s="468"/>
      <c r="B41" s="1806"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92"/>
      <c r="Q41" s="772" t="str">
        <f t="shared" si="11"/>
        <v>进深比</v>
      </c>
      <c r="R41" s="773" t="s">
        <v>17</v>
      </c>
      <c r="S41" s="774">
        <f t="shared" si="12"/>
        <v>100</v>
      </c>
      <c r="T41" s="773" t="s">
        <v>17</v>
      </c>
      <c r="U41" s="774">
        <f t="shared" si="13"/>
        <v>100</v>
      </c>
      <c r="V41" s="773" t="s">
        <v>17</v>
      </c>
      <c r="W41" s="774">
        <f t="shared" si="14"/>
        <v>100</v>
      </c>
      <c r="X41" s="775"/>
      <c r="Y41" s="3294"/>
      <c r="Z41" s="776" t="str">
        <f t="shared" si="15"/>
        <v>进深比</v>
      </c>
      <c r="AA41" s="1805">
        <f t="shared" si="3"/>
        <v>1</v>
      </c>
      <c r="AB41" s="1805">
        <f t="shared" si="4"/>
        <v>1</v>
      </c>
      <c r="AC41" s="1805">
        <f t="shared" si="5"/>
        <v>1</v>
      </c>
    </row>
    <row r="42" spans="1:29" ht="15">
      <c r="A42" s="472"/>
      <c r="B42" s="422" t="s">
        <v>2660</v>
      </c>
      <c r="C42" s="2610" t="s">
        <v>3494</v>
      </c>
      <c r="D42" s="435">
        <v>100</v>
      </c>
      <c r="E42" s="2610" t="s">
        <v>3493</v>
      </c>
      <c r="F42" s="461">
        <f>SUMIF(122:122,E42,123:123)-SUMIF(122:122,C42,123:123)+100</f>
        <v>102</v>
      </c>
      <c r="G42" s="2610" t="s">
        <v>3493</v>
      </c>
      <c r="H42" s="435">
        <f>SUMIF(122:122,G42,123:123)-SUMIF(122:122,C42,123:123)+100</f>
        <v>102</v>
      </c>
      <c r="I42" s="2610" t="s">
        <v>3493</v>
      </c>
      <c r="J42" s="435">
        <f>SUMIF(122:122,I42,123:123)-SUMIF(122:122,C42,123:123)+100</f>
        <v>102</v>
      </c>
      <c r="K42" s="612">
        <v>2</v>
      </c>
      <c r="L42" s="1136"/>
      <c r="M42" s="1127"/>
      <c r="N42" s="1127"/>
      <c r="O42" s="1127"/>
      <c r="P42" s="3292"/>
      <c r="Q42" s="1804" t="str">
        <f t="shared" si="11"/>
        <v>内部装修</v>
      </c>
      <c r="R42" s="770" t="s">
        <v>17</v>
      </c>
      <c r="S42" s="771">
        <f t="shared" si="12"/>
        <v>102</v>
      </c>
      <c r="T42" s="770" t="s">
        <v>17</v>
      </c>
      <c r="U42" s="771">
        <f t="shared" si="13"/>
        <v>102</v>
      </c>
      <c r="V42" s="770" t="s">
        <v>17</v>
      </c>
      <c r="W42" s="771">
        <f t="shared" si="14"/>
        <v>102</v>
      </c>
      <c r="X42" s="1807"/>
      <c r="Y42" s="3294"/>
      <c r="Z42" s="1808" t="str">
        <f t="shared" si="15"/>
        <v>内部装修</v>
      </c>
      <c r="AA42" s="1805">
        <f t="shared" si="3"/>
        <v>0.98039215686274506</v>
      </c>
      <c r="AB42" s="1805">
        <f t="shared" si="4"/>
        <v>0.98039215686274506</v>
      </c>
      <c r="AC42" s="1805">
        <f t="shared" si="5"/>
        <v>0.98039215686274506</v>
      </c>
    </row>
    <row r="43" spans="1:29" ht="15.75" thickBot="1">
      <c r="A43" s="472"/>
      <c r="B43" s="422" t="s">
        <v>2568</v>
      </c>
      <c r="C43" s="2610" t="s">
        <v>3473</v>
      </c>
      <c r="D43" s="435">
        <v>100</v>
      </c>
      <c r="E43" s="2610" t="s">
        <v>3473</v>
      </c>
      <c r="F43" s="461">
        <f>SUMIF(124:124,E43,125:125)-SUMIF(124:124,C43,125:125)+100</f>
        <v>100</v>
      </c>
      <c r="G43" s="2610" t="s">
        <v>3473</v>
      </c>
      <c r="H43" s="435">
        <f>SUMIF(124:124,G43,125:125)-SUMIF(124:124,C43,125:125)+100</f>
        <v>100</v>
      </c>
      <c r="I43" s="2610" t="s">
        <v>3473</v>
      </c>
      <c r="J43" s="435">
        <f>SUMIF(124:124,I43,125:125)-SUMIF(124:124,C43,125:125)+100</f>
        <v>100</v>
      </c>
      <c r="K43" s="612">
        <v>1</v>
      </c>
      <c r="L43" s="1136"/>
      <c r="M43" s="1127"/>
      <c r="N43" s="1127"/>
      <c r="O43" s="1127"/>
      <c r="P43" s="3292"/>
      <c r="Q43" s="1804" t="str">
        <f t="shared" si="11"/>
        <v>内部装修维护情况</v>
      </c>
      <c r="R43" s="770" t="s">
        <v>17</v>
      </c>
      <c r="S43" s="771">
        <f t="shared" si="12"/>
        <v>100</v>
      </c>
      <c r="T43" s="770" t="s">
        <v>17</v>
      </c>
      <c r="U43" s="771">
        <f t="shared" si="13"/>
        <v>100</v>
      </c>
      <c r="V43" s="770" t="s">
        <v>17</v>
      </c>
      <c r="W43" s="771">
        <f t="shared" si="14"/>
        <v>100</v>
      </c>
      <c r="X43" s="1807"/>
      <c r="Y43" s="3294"/>
      <c r="Z43" s="1808" t="str">
        <f t="shared" si="15"/>
        <v>内部装修维护情况</v>
      </c>
      <c r="AA43" s="1805">
        <f t="shared" si="3"/>
        <v>1</v>
      </c>
      <c r="AB43" s="1805">
        <f t="shared" si="4"/>
        <v>1</v>
      </c>
      <c r="AC43" s="1805">
        <f t="shared" si="5"/>
        <v>1</v>
      </c>
    </row>
    <row r="44" spans="1:29" s="117" customFormat="1" ht="15" hidden="1">
      <c r="A44" s="473"/>
      <c r="B44" s="1380"/>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92"/>
      <c r="Q44" s="1789">
        <f t="shared" si="11"/>
        <v>0</v>
      </c>
      <c r="R44" s="766" t="s">
        <v>17</v>
      </c>
      <c r="S44" s="767">
        <f t="shared" si="12"/>
        <v>100</v>
      </c>
      <c r="T44" s="766" t="s">
        <v>17</v>
      </c>
      <c r="U44" s="767">
        <f t="shared" si="13"/>
        <v>100</v>
      </c>
      <c r="V44" s="766" t="s">
        <v>17</v>
      </c>
      <c r="W44" s="767">
        <f t="shared" si="14"/>
        <v>100</v>
      </c>
      <c r="X44" s="768"/>
      <c r="Y44" s="3294"/>
      <c r="Z44" s="55">
        <f t="shared" si="15"/>
        <v>0</v>
      </c>
      <c r="AA44" s="769">
        <f t="shared" si="3"/>
        <v>1</v>
      </c>
      <c r="AB44" s="769">
        <f t="shared" si="4"/>
        <v>1</v>
      </c>
      <c r="AC44" s="769">
        <f t="shared" si="5"/>
        <v>1</v>
      </c>
    </row>
    <row r="45" spans="1:29" ht="15" hidden="1">
      <c r="A45" s="472"/>
      <c r="B45" s="1380"/>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92"/>
      <c r="Q45" s="1804">
        <f t="shared" si="11"/>
        <v>0</v>
      </c>
      <c r="R45" s="770" t="s">
        <v>17</v>
      </c>
      <c r="S45" s="771">
        <f t="shared" si="12"/>
        <v>100</v>
      </c>
      <c r="T45" s="770" t="s">
        <v>17</v>
      </c>
      <c r="U45" s="771">
        <f t="shared" si="13"/>
        <v>100</v>
      </c>
      <c r="V45" s="770" t="s">
        <v>17</v>
      </c>
      <c r="W45" s="771">
        <f t="shared" si="14"/>
        <v>100</v>
      </c>
      <c r="X45" s="1807"/>
      <c r="Y45" s="3294"/>
      <c r="Z45" s="1808">
        <f t="shared" si="15"/>
        <v>0</v>
      </c>
      <c r="AA45" s="1805">
        <f t="shared" si="3"/>
        <v>1</v>
      </c>
      <c r="AB45" s="1805">
        <f t="shared" si="4"/>
        <v>1</v>
      </c>
      <c r="AC45" s="1805">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93"/>
      <c r="Q46" s="1804">
        <f t="shared" si="11"/>
        <v>0</v>
      </c>
      <c r="R46" s="770" t="s">
        <v>17</v>
      </c>
      <c r="S46" s="771">
        <f t="shared" si="12"/>
        <v>100</v>
      </c>
      <c r="T46" s="770" t="s">
        <v>17</v>
      </c>
      <c r="U46" s="771">
        <f t="shared" si="13"/>
        <v>100</v>
      </c>
      <c r="V46" s="770" t="s">
        <v>17</v>
      </c>
      <c r="W46" s="771">
        <f t="shared" si="14"/>
        <v>100</v>
      </c>
      <c r="X46" s="1807"/>
      <c r="Y46" s="3295"/>
      <c r="Z46" s="1808">
        <f t="shared" si="15"/>
        <v>0</v>
      </c>
      <c r="AA46" s="1805">
        <f t="shared" si="3"/>
        <v>1</v>
      </c>
      <c r="AB46" s="1805">
        <f t="shared" si="4"/>
        <v>1</v>
      </c>
      <c r="AC46" s="1805">
        <f t="shared" si="5"/>
        <v>1</v>
      </c>
    </row>
    <row r="47" spans="1:29" ht="15">
      <c r="A47" s="479" t="s">
        <v>2569</v>
      </c>
      <c r="B47" s="480"/>
      <c r="C47" s="1401" t="s">
        <v>1</v>
      </c>
      <c r="D47" s="1402"/>
      <c r="E47" s="1403">
        <v>43000</v>
      </c>
      <c r="F47" s="1404"/>
      <c r="G47" s="1405">
        <v>30000</v>
      </c>
      <c r="H47" s="1406"/>
      <c r="I47" s="1403">
        <v>47000</v>
      </c>
      <c r="J47" s="1406"/>
      <c r="K47" s="779"/>
      <c r="L47" s="1139"/>
      <c r="M47" s="1140"/>
      <c r="N47" s="1127"/>
      <c r="O47" s="1140"/>
      <c r="P47" s="3287" t="str">
        <f>A47</f>
        <v>成交单价（元/平方米）</v>
      </c>
      <c r="Q47" s="3287"/>
      <c r="R47" s="3318">
        <f>E47</f>
        <v>43000</v>
      </c>
      <c r="S47" s="3318"/>
      <c r="T47" s="3318">
        <f>G47</f>
        <v>30000</v>
      </c>
      <c r="U47" s="3318"/>
      <c r="V47" s="3318">
        <f>I47</f>
        <v>47000</v>
      </c>
      <c r="W47" s="3318"/>
      <c r="X47" s="755"/>
      <c r="Y47" s="777"/>
      <c r="Z47" s="755"/>
      <c r="AA47" s="755"/>
      <c r="AB47" s="755"/>
      <c r="AC47" s="755"/>
    </row>
    <row r="48" spans="1:29" ht="15.75" thickBot="1">
      <c r="A48" s="486" t="s">
        <v>2661</v>
      </c>
      <c r="B48" s="487"/>
      <c r="C48" s="1407">
        <f>R49</f>
        <v>39578</v>
      </c>
      <c r="D48" s="1408"/>
      <c r="E48" s="1409">
        <f>R48</f>
        <v>40341</v>
      </c>
      <c r="F48" s="1409"/>
      <c r="G48" s="1407">
        <f>T48</f>
        <v>35085</v>
      </c>
      <c r="H48" s="1408"/>
      <c r="I48" s="1409">
        <f>V48</f>
        <v>43307</v>
      </c>
      <c r="J48" s="1408"/>
      <c r="K48" s="780"/>
      <c r="L48" s="1139"/>
      <c r="M48" s="1140"/>
      <c r="N48" s="1127"/>
      <c r="O48" s="1140"/>
      <c r="P48" s="3287" t="str">
        <f>A48</f>
        <v>比较价值（元/平方米）</v>
      </c>
      <c r="Q48" s="3287"/>
      <c r="R48" s="3288">
        <f>IF(F1="售价",ROUND(PRODUCT(R47,AA7:AA46),0),ROUND(PRODUCT(R47,AA7:AA46),1))</f>
        <v>40341</v>
      </c>
      <c r="S48" s="3288"/>
      <c r="T48" s="3288">
        <f>IF(F1="售价",ROUND(PRODUCT(T47,AB7:AB46),0),ROUND(PRODUCT(T47,AB7:AB46),1))</f>
        <v>35085</v>
      </c>
      <c r="U48" s="3288"/>
      <c r="V48" s="3288">
        <f>IF(F1="售价",ROUND(PRODUCT(V47,AC7:AC46),0),ROUND(PRODUCT(V47,AC7:AC46),1))</f>
        <v>43307</v>
      </c>
      <c r="W48" s="3288"/>
      <c r="X48" s="755"/>
      <c r="Y48" s="755"/>
      <c r="Z48" s="755"/>
      <c r="AA48" s="755"/>
      <c r="AB48" s="755"/>
      <c r="AC48" s="755"/>
    </row>
    <row r="49" spans="1:29" ht="15.75" thickBot="1">
      <c r="A49" s="492" t="s">
        <v>2662</v>
      </c>
      <c r="B49" s="493"/>
      <c r="C49" s="1411">
        <f>R49</f>
        <v>39578</v>
      </c>
      <c r="D49" s="1411"/>
      <c r="E49" s="1411"/>
      <c r="F49" s="1411"/>
      <c r="G49" s="1411"/>
      <c r="H49" s="1411"/>
      <c r="I49" s="1411"/>
      <c r="J49" s="1411"/>
      <c r="K49" s="781"/>
      <c r="L49" s="1139"/>
      <c r="M49" s="1140"/>
      <c r="N49" s="1127"/>
      <c r="O49" s="1140"/>
      <c r="P49" s="3284" t="str">
        <f>A49</f>
        <v>估价对象XX用房的比较价值（楼面单价，元/平方米）</v>
      </c>
      <c r="Q49" s="3285"/>
      <c r="R49" s="3286">
        <f>IF(F1="售价",ROUND(AVERAGE(R48:V48),0),ROUND(AVERAGE(R48:V48),1))</f>
        <v>39578</v>
      </c>
      <c r="S49" s="3286"/>
      <c r="T49" s="3286"/>
      <c r="U49" s="3286"/>
      <c r="V49" s="3286"/>
      <c r="W49" s="3286"/>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2663</v>
      </c>
      <c r="D52" s="498"/>
      <c r="E52" s="499">
        <f>IF(E47&lt;E48,E48/E47-1,E47/E48-1)</f>
        <v>6.5913090900076909E-2</v>
      </c>
      <c r="F52" s="500" t="str">
        <f>IF(OR(E52&gt;=0.3,E52&lt;=-0.3),"超过30%","")</f>
        <v/>
      </c>
      <c r="G52" s="499">
        <f>IF(G47&lt;G48,G48/G47-1,G47/G48-1)</f>
        <v>0.16949999999999998</v>
      </c>
      <c r="H52" s="500" t="str">
        <f>IF(OR(G52&gt;=0.3,G52&lt;=-0.3),"超过30%","")</f>
        <v/>
      </c>
      <c r="I52" s="499">
        <f>IF(I47&lt;I48,I48/I47-1,I47/I48-1)</f>
        <v>8.5274897822522844E-2</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2664</v>
      </c>
      <c r="D53" s="501"/>
      <c r="E53" s="499">
        <f>IF(E48&lt;G48,G48/E48-1,E48/G48-1)</f>
        <v>0.14980761008978205</v>
      </c>
      <c r="F53" s="500" t="str">
        <f>IF(OR(E53&gt;=0.2,E53&lt;=-0.2),"超过20%","")</f>
        <v/>
      </c>
      <c r="G53" s="499">
        <f>IF(G48&lt;I48,I48/G48-1,G48/I48-1)</f>
        <v>0.23434516175003561</v>
      </c>
      <c r="H53" s="500" t="str">
        <f>IF(OR(G53&gt;=0.2,G53&lt;=-0.2),"超过20%","")</f>
        <v>超过20%</v>
      </c>
      <c r="I53" s="499">
        <f>IF(I48&lt;E48,E48/I48-1,I48/E48-1)</f>
        <v>7.352321459557265E-2</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2665</v>
      </c>
      <c r="D54" s="501"/>
      <c r="E54" s="499">
        <f>IF(E47&lt;G47,G47/E47-1,E47/G47-1)</f>
        <v>0.43333333333333335</v>
      </c>
      <c r="F54" s="500" t="str">
        <f>IF(OR(E54&gt;=0.3,E54&lt;=-0.3),"超过30%","")</f>
        <v>超过30%</v>
      </c>
      <c r="G54" s="499">
        <f>IF(G47&lt;I47,I47/G47-1,G47/I47-1)</f>
        <v>0.56666666666666665</v>
      </c>
      <c r="H54" s="500" t="str">
        <f>IF(OR(G54&gt;=0.3,G54&lt;=-0.3),"超过30%","")</f>
        <v>超过30%</v>
      </c>
      <c r="I54" s="499">
        <f>IF(I47&lt;E47,E47/I47-1,I47/E47-1)</f>
        <v>9.3023255813953432E-2</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2666</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5">
      <c r="A58" s="505" t="s">
        <v>2540</v>
      </c>
      <c r="B58" s="506"/>
      <c r="C58" s="1568" t="str">
        <f>YEAR(C7)&amp;"-"&amp;MONTH(C7)</f>
        <v>2019-7</v>
      </c>
      <c r="D58" s="1569">
        <f>EDATE(C58,-1)</f>
        <v>43617</v>
      </c>
      <c r="E58" s="1569">
        <f t="shared" ref="E58:N58" si="16">EDATE(D58,-1)</f>
        <v>43586</v>
      </c>
      <c r="F58" s="1569">
        <f t="shared" si="16"/>
        <v>43556</v>
      </c>
      <c r="G58" s="1569">
        <f t="shared" si="16"/>
        <v>43525</v>
      </c>
      <c r="H58" s="1569">
        <f t="shared" si="16"/>
        <v>43497</v>
      </c>
      <c r="I58" s="1569">
        <f t="shared" si="16"/>
        <v>43466</v>
      </c>
      <c r="J58" s="1569">
        <f t="shared" si="16"/>
        <v>43435</v>
      </c>
      <c r="K58" s="1569">
        <f t="shared" si="16"/>
        <v>43405</v>
      </c>
      <c r="L58" s="1569">
        <f t="shared" si="16"/>
        <v>43374</v>
      </c>
      <c r="M58" s="1569">
        <f t="shared" si="16"/>
        <v>43344</v>
      </c>
      <c r="N58" s="1569">
        <f t="shared" si="16"/>
        <v>43313</v>
      </c>
      <c r="O58" s="1569">
        <f>EDATE(N58,-1)</f>
        <v>43282</v>
      </c>
      <c r="P58" s="1564"/>
    </row>
    <row r="59" spans="1:29" s="117" customFormat="1" ht="15">
      <c r="A59" s="509"/>
      <c r="B59" s="510"/>
      <c r="C59" s="1567">
        <v>100</v>
      </c>
      <c r="D59" s="512"/>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2644</v>
      </c>
      <c r="D61" s="523"/>
      <c r="E61" s="523"/>
      <c r="F61" s="523"/>
      <c r="G61" s="523"/>
      <c r="H61" s="523"/>
      <c r="I61" s="523"/>
      <c r="J61" s="523"/>
      <c r="K61" s="523"/>
      <c r="L61" s="524"/>
      <c r="M61" s="525"/>
      <c r="N61" s="1147"/>
      <c r="O61" s="1147"/>
      <c r="P61" s="2626"/>
      <c r="Q61" s="504"/>
    </row>
    <row r="62" spans="1:29" s="117" customFormat="1" ht="15.75" thickBot="1">
      <c r="A62" s="521"/>
      <c r="B62" s="510"/>
      <c r="C62" s="511">
        <v>100</v>
      </c>
      <c r="D62" s="512"/>
      <c r="E62" s="512"/>
      <c r="F62" s="512"/>
      <c r="G62" s="512"/>
      <c r="H62" s="512"/>
      <c r="I62" s="512"/>
      <c r="J62" s="512"/>
      <c r="K62" s="512"/>
      <c r="L62" s="512"/>
      <c r="M62" s="514"/>
      <c r="N62" s="1147"/>
      <c r="O62" s="1147"/>
      <c r="P62" s="2625"/>
      <c r="Q62" s="504"/>
    </row>
    <row r="63" spans="1:29">
      <c r="A63" s="527" t="s">
        <v>2580</v>
      </c>
      <c r="B63" s="528" t="s">
        <v>2546</v>
      </c>
      <c r="C63" s="529" t="str">
        <f>C9</f>
        <v>商业</v>
      </c>
      <c r="D63" s="530"/>
      <c r="E63" s="530"/>
      <c r="F63" s="530"/>
      <c r="G63" s="530"/>
      <c r="H63" s="530"/>
      <c r="I63" s="530"/>
      <c r="J63" s="530"/>
      <c r="K63" s="531"/>
      <c r="L63" s="532"/>
      <c r="M63" s="533"/>
      <c r="N63" s="1148"/>
      <c r="O63" s="1148"/>
      <c r="P63" s="2627"/>
      <c r="Q63" s="504"/>
    </row>
    <row r="64" spans="1:29" ht="15.75" thickBot="1">
      <c r="A64" s="534"/>
      <c r="B64" s="535"/>
      <c r="C64" s="536">
        <v>100</v>
      </c>
      <c r="D64" s="536"/>
      <c r="E64" s="536"/>
      <c r="F64" s="536"/>
      <c r="G64" s="536"/>
      <c r="H64" s="536"/>
      <c r="I64" s="536"/>
      <c r="J64" s="536"/>
      <c r="K64" s="536"/>
      <c r="L64" s="536"/>
      <c r="M64" s="537"/>
      <c r="N64" s="1149"/>
      <c r="O64" s="1149"/>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8"/>
      <c r="O65" s="1148"/>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7"/>
      <c r="Q66" s="504"/>
    </row>
    <row r="67" spans="1:17" ht="15.75" thickTop="1">
      <c r="A67" s="534"/>
      <c r="B67" s="546" t="s">
        <v>2550</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49"/>
      <c r="O67" s="1149"/>
      <c r="P67" s="2627"/>
      <c r="Q67" s="504"/>
    </row>
    <row r="68" spans="1:17" ht="15">
      <c r="A68" s="534"/>
      <c r="B68" s="548"/>
      <c r="C68" s="549">
        <v>0</v>
      </c>
      <c r="D68" s="549">
        <v>1</v>
      </c>
      <c r="E68" s="549">
        <v>2</v>
      </c>
      <c r="F68" s="549">
        <v>3</v>
      </c>
      <c r="G68" s="549">
        <v>4</v>
      </c>
      <c r="H68" s="549">
        <v>5</v>
      </c>
      <c r="I68" s="549">
        <v>6</v>
      </c>
      <c r="J68" s="549">
        <v>7</v>
      </c>
      <c r="K68" s="550">
        <v>8</v>
      </c>
      <c r="L68" s="551">
        <v>9</v>
      </c>
      <c r="M68" s="552">
        <v>10</v>
      </c>
      <c r="N68" s="1148"/>
      <c r="O68" s="1148"/>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7"/>
      <c r="Q69" s="504"/>
    </row>
    <row r="70" spans="1:17" s="471" customFormat="1" ht="15.75" thickTop="1">
      <c r="A70" s="553"/>
      <c r="B70" s="538">
        <f>B12</f>
        <v>0</v>
      </c>
      <c r="C70" s="554"/>
      <c r="D70" s="554"/>
      <c r="E70" s="554"/>
      <c r="F70" s="554"/>
      <c r="G70" s="554"/>
      <c r="H70" s="555"/>
      <c r="I70" s="555"/>
      <c r="J70" s="555"/>
      <c r="K70" s="555"/>
      <c r="L70" s="556"/>
      <c r="M70" s="557"/>
      <c r="N70" s="1150"/>
      <c r="O70" s="1150"/>
      <c r="P70" s="2628"/>
      <c r="Q70" s="559"/>
    </row>
    <row r="71" spans="1:17" s="471" customFormat="1" ht="15.75" thickBot="1">
      <c r="A71" s="553"/>
      <c r="B71" s="543"/>
      <c r="C71" s="560"/>
      <c r="D71" s="536"/>
      <c r="E71" s="536"/>
      <c r="F71" s="536"/>
      <c r="G71" s="536"/>
      <c r="H71" s="536"/>
      <c r="I71" s="536"/>
      <c r="J71" s="536"/>
      <c r="K71" s="536"/>
      <c r="L71" s="536"/>
      <c r="M71" s="537"/>
      <c r="N71" s="1149"/>
      <c r="O71" s="1149"/>
      <c r="P71" s="2628"/>
      <c r="Q71" s="559"/>
    </row>
    <row r="72" spans="1:17" s="471" customFormat="1" ht="15.75" thickTop="1">
      <c r="A72" s="553"/>
      <c r="B72" s="538">
        <f>B13</f>
        <v>0</v>
      </c>
      <c r="C72" s="554"/>
      <c r="D72" s="554"/>
      <c r="E72" s="554"/>
      <c r="F72" s="554"/>
      <c r="G72" s="554"/>
      <c r="H72" s="555"/>
      <c r="I72" s="555"/>
      <c r="J72" s="555"/>
      <c r="K72" s="555"/>
      <c r="L72" s="556"/>
      <c r="M72" s="557"/>
      <c r="N72" s="1150"/>
      <c r="O72" s="1150"/>
      <c r="P72" s="2629"/>
      <c r="Q72" s="561"/>
    </row>
    <row r="73" spans="1:17" s="471" customFormat="1" ht="15.75" thickBot="1">
      <c r="A73" s="553"/>
      <c r="B73" s="543"/>
      <c r="C73" s="560"/>
      <c r="D73" s="536"/>
      <c r="E73" s="536"/>
      <c r="F73" s="536"/>
      <c r="G73" s="560"/>
      <c r="H73" s="562"/>
      <c r="I73" s="562"/>
      <c r="J73" s="562"/>
      <c r="K73" s="562"/>
      <c r="L73" s="562"/>
      <c r="M73" s="563"/>
      <c r="N73" s="1150"/>
      <c r="O73" s="1150"/>
      <c r="P73" s="2628"/>
      <c r="Q73" s="559"/>
    </row>
    <row r="74" spans="1:17" s="471" customFormat="1" ht="15.75" thickTop="1">
      <c r="A74" s="553"/>
      <c r="B74" s="546">
        <f>B14</f>
        <v>0</v>
      </c>
      <c r="C74" s="554"/>
      <c r="D74" s="554"/>
      <c r="E74" s="554"/>
      <c r="F74" s="554"/>
      <c r="G74" s="523"/>
      <c r="H74" s="564"/>
      <c r="I74" s="564"/>
      <c r="J74" s="564"/>
      <c r="K74" s="564"/>
      <c r="L74" s="565"/>
      <c r="M74" s="566"/>
      <c r="N74" s="1150"/>
      <c r="O74" s="1150"/>
      <c r="P74" s="2630"/>
      <c r="Q74" s="559"/>
    </row>
    <row r="75" spans="1:17" s="471" customFormat="1" ht="15.75" thickBot="1">
      <c r="A75" s="568"/>
      <c r="B75" s="569"/>
      <c r="C75" s="570"/>
      <c r="D75" s="570"/>
      <c r="E75" s="570"/>
      <c r="F75" s="570"/>
      <c r="G75" s="570"/>
      <c r="H75" s="571"/>
      <c r="I75" s="571"/>
      <c r="J75" s="571"/>
      <c r="K75" s="571"/>
      <c r="L75" s="571"/>
      <c r="M75" s="572"/>
      <c r="N75" s="1150"/>
      <c r="O75" s="1150"/>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8"/>
      <c r="O76" s="1148"/>
      <c r="P76" s="2631"/>
      <c r="Q76" s="504"/>
    </row>
    <row r="77" spans="1:17" ht="15.75" thickBot="1">
      <c r="A77" s="534"/>
      <c r="B77" s="543"/>
      <c r="C77" s="544">
        <v>100</v>
      </c>
      <c r="D77" s="544">
        <f>C77-$K15</f>
        <v>90</v>
      </c>
      <c r="E77" s="544">
        <f>D77-$K15</f>
        <v>80</v>
      </c>
      <c r="F77" s="544">
        <f>E77-$K15</f>
        <v>70</v>
      </c>
      <c r="G77" s="544">
        <f>F77-$K15</f>
        <v>60</v>
      </c>
      <c r="H77" s="544"/>
      <c r="I77" s="544"/>
      <c r="J77" s="544"/>
      <c r="K77" s="544"/>
      <c r="L77" s="544"/>
      <c r="M77" s="545"/>
      <c r="N77" s="1149"/>
      <c r="O77" s="1149"/>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8"/>
      <c r="O78" s="1148"/>
      <c r="P78" s="2627"/>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8"/>
      <c r="O80" s="1148"/>
      <c r="P80" s="2627"/>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7"/>
      <c r="Q81" s="504"/>
    </row>
    <row r="82" spans="1:17" ht="15.75" thickTop="1">
      <c r="A82" s="534"/>
      <c r="B82" s="546" t="s">
        <v>2647</v>
      </c>
      <c r="C82" s="659" t="s">
        <v>2667</v>
      </c>
      <c r="D82" s="659" t="s">
        <v>2668</v>
      </c>
      <c r="E82" s="659" t="s">
        <v>2669</v>
      </c>
      <c r="F82" s="659" t="s">
        <v>2670</v>
      </c>
      <c r="G82" s="659" t="s">
        <v>2671</v>
      </c>
      <c r="H82" s="539"/>
      <c r="I82" s="539"/>
      <c r="J82" s="539"/>
      <c r="K82" s="539"/>
      <c r="L82" s="539"/>
      <c r="M82" s="1376"/>
      <c r="N82" s="1149"/>
      <c r="O82" s="1149"/>
      <c r="P82" s="2627"/>
      <c r="Q82" s="504"/>
    </row>
    <row r="83" spans="1:17" ht="15.75" thickBot="1">
      <c r="A83" s="534"/>
      <c r="B83" s="546"/>
      <c r="C83" s="544">
        <v>100</v>
      </c>
      <c r="D83" s="544">
        <f>C83-$K21</f>
        <v>97</v>
      </c>
      <c r="E83" s="544">
        <f t="shared" ref="E83:G83" si="19">D83-$K21</f>
        <v>94</v>
      </c>
      <c r="F83" s="544">
        <f t="shared" si="19"/>
        <v>91</v>
      </c>
      <c r="G83" s="544">
        <f t="shared" si="19"/>
        <v>88</v>
      </c>
      <c r="H83" s="659"/>
      <c r="I83" s="659"/>
      <c r="J83" s="659"/>
      <c r="K83" s="659"/>
      <c r="L83" s="659"/>
      <c r="M83" s="450"/>
      <c r="N83" s="1149"/>
      <c r="O83" s="1149"/>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8"/>
      <c r="O84" s="1148"/>
      <c r="P84" s="262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49"/>
      <c r="O85" s="1149"/>
      <c r="P85" s="2627"/>
      <c r="Q85" s="504"/>
    </row>
    <row r="86" spans="1:17" s="117" customFormat="1" ht="15.75" thickTop="1">
      <c r="A86" s="579"/>
      <c r="B86" s="538" t="s">
        <v>2672</v>
      </c>
      <c r="C86" s="554"/>
      <c r="D86" s="554"/>
      <c r="E86" s="554"/>
      <c r="F86" s="554"/>
      <c r="G86" s="554"/>
      <c r="H86" s="554"/>
      <c r="I86" s="554"/>
      <c r="J86" s="554"/>
      <c r="K86" s="554"/>
      <c r="L86" s="580"/>
      <c r="M86" s="581"/>
      <c r="N86" s="1147"/>
      <c r="O86" s="1147"/>
      <c r="P86" s="2627"/>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49"/>
      <c r="O87" s="1149"/>
      <c r="P87" s="2627"/>
      <c r="Q87" s="504"/>
    </row>
    <row r="88" spans="1:17" s="117" customFormat="1" ht="15.75" thickTop="1">
      <c r="A88" s="579"/>
      <c r="B88" s="538" t="str">
        <f>B26</f>
        <v>平面位置/可视性</v>
      </c>
      <c r="C88" s="3039" t="s">
        <v>3480</v>
      </c>
      <c r="D88" s="3039" t="s">
        <v>3471</v>
      </c>
      <c r="E88" s="3039" t="s">
        <v>3473</v>
      </c>
      <c r="F88" s="3041" t="s">
        <v>3481</v>
      </c>
      <c r="G88" s="3039" t="s">
        <v>3482</v>
      </c>
      <c r="H88" s="554"/>
      <c r="I88" s="554"/>
      <c r="J88" s="554"/>
      <c r="K88" s="554"/>
      <c r="L88" s="554"/>
      <c r="M88" s="581"/>
      <c r="N88" s="1147"/>
      <c r="O88" s="1147"/>
      <c r="P88" s="2627"/>
      <c r="Q88" s="504"/>
    </row>
    <row r="89" spans="1:17" s="117" customFormat="1" ht="15.75" thickBot="1">
      <c r="A89" s="579"/>
      <c r="B89" s="543"/>
      <c r="C89" s="3040">
        <v>100</v>
      </c>
      <c r="D89" s="3038">
        <v>95</v>
      </c>
      <c r="E89" s="3038">
        <v>90</v>
      </c>
      <c r="F89" s="3038">
        <v>85</v>
      </c>
      <c r="G89" s="3038">
        <v>80</v>
      </c>
      <c r="H89" s="536"/>
      <c r="I89" s="536"/>
      <c r="J89" s="536"/>
      <c r="K89" s="536"/>
      <c r="L89" s="536"/>
      <c r="M89" s="536"/>
      <c r="N89" s="1149"/>
      <c r="O89" s="1149"/>
      <c r="P89" s="2627"/>
      <c r="Q89" s="504"/>
    </row>
    <row r="90" spans="1:17" s="471" customFormat="1" ht="15.75" thickTop="1">
      <c r="A90" s="553"/>
      <c r="B90" s="538" t="str">
        <f>B27</f>
        <v>人流量</v>
      </c>
      <c r="C90" s="3042" t="s">
        <v>3483</v>
      </c>
      <c r="D90" s="3042" t="s">
        <v>3476</v>
      </c>
      <c r="E90" s="3042" t="s">
        <v>3473</v>
      </c>
      <c r="F90" s="3042" t="s">
        <v>3484</v>
      </c>
      <c r="G90" s="3042" t="s">
        <v>3485</v>
      </c>
      <c r="H90" s="555"/>
      <c r="I90" s="555"/>
      <c r="J90" s="555"/>
      <c r="K90" s="555"/>
      <c r="L90" s="556"/>
      <c r="M90" s="557"/>
      <c r="N90" s="1150"/>
      <c r="O90" s="1150"/>
      <c r="P90" s="2628"/>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0"/>
      <c r="O91" s="1150"/>
      <c r="P91" s="2628"/>
      <c r="Q91" s="559"/>
    </row>
    <row r="92" spans="1:17" ht="16.5" thickTop="1" thickBot="1">
      <c r="A92" s="534"/>
      <c r="B92" s="538" t="str">
        <f>B28</f>
        <v>楼层</v>
      </c>
      <c r="C92" s="3043" t="s">
        <v>3438</v>
      </c>
      <c r="D92" s="3043" t="s">
        <v>3440</v>
      </c>
      <c r="E92" s="3043" t="s">
        <v>3442</v>
      </c>
      <c r="F92" s="554"/>
      <c r="G92" s="554"/>
      <c r="H92" s="554"/>
      <c r="I92" s="554"/>
      <c r="J92" s="554"/>
      <c r="K92" s="554"/>
      <c r="L92" s="580"/>
      <c r="M92" s="581"/>
      <c r="N92" s="1148"/>
      <c r="O92" s="1148"/>
      <c r="P92" s="2627"/>
      <c r="Q92" s="504"/>
    </row>
    <row r="93" spans="1:17" ht="16.5" thickTop="1" thickBot="1">
      <c r="A93" s="534"/>
      <c r="B93" s="543"/>
      <c r="C93" s="3043">
        <v>100</v>
      </c>
      <c r="D93" s="3043">
        <v>60</v>
      </c>
      <c r="E93" s="3043">
        <v>50</v>
      </c>
      <c r="F93" s="536"/>
      <c r="G93" s="536"/>
      <c r="H93" s="536"/>
      <c r="I93" s="536"/>
      <c r="J93" s="536"/>
      <c r="K93" s="536"/>
      <c r="L93" s="536"/>
      <c r="M93" s="537"/>
      <c r="N93" s="1149"/>
      <c r="O93" s="1149"/>
      <c r="P93" s="2627"/>
      <c r="Q93" s="504"/>
    </row>
    <row r="94" spans="1:17" ht="15.75" thickTop="1">
      <c r="A94" s="534"/>
      <c r="B94" s="538">
        <f>B29</f>
        <v>0</v>
      </c>
      <c r="C94" s="554"/>
      <c r="D94" s="554"/>
      <c r="E94" s="554"/>
      <c r="F94" s="554"/>
      <c r="G94" s="583"/>
      <c r="H94" s="583"/>
      <c r="I94" s="583"/>
      <c r="J94" s="583"/>
      <c r="K94" s="584"/>
      <c r="L94" s="585"/>
      <c r="M94" s="586"/>
      <c r="N94" s="1148"/>
      <c r="O94" s="1148"/>
      <c r="P94" s="2627"/>
      <c r="Q94" s="504"/>
    </row>
    <row r="95" spans="1:17" ht="15.75" thickBot="1">
      <c r="A95" s="534"/>
      <c r="B95" s="543"/>
      <c r="C95" s="560"/>
      <c r="D95" s="536"/>
      <c r="E95" s="536"/>
      <c r="F95" s="536"/>
      <c r="G95" s="536"/>
      <c r="H95" s="536"/>
      <c r="I95" s="536"/>
      <c r="J95" s="536"/>
      <c r="K95" s="536"/>
      <c r="L95" s="536"/>
      <c r="M95" s="537"/>
      <c r="N95" s="1149"/>
      <c r="O95" s="1149"/>
      <c r="P95" s="2627"/>
      <c r="Q95" s="504"/>
    </row>
    <row r="96" spans="1:17" ht="15.75" thickTop="1">
      <c r="A96" s="534"/>
      <c r="B96" s="538">
        <f>B30</f>
        <v>0</v>
      </c>
      <c r="C96" s="554"/>
      <c r="D96" s="554"/>
      <c r="E96" s="554"/>
      <c r="F96" s="554"/>
      <c r="G96" s="583"/>
      <c r="H96" s="583"/>
      <c r="I96" s="583"/>
      <c r="J96" s="583"/>
      <c r="K96" s="584"/>
      <c r="L96" s="585"/>
      <c r="M96" s="586"/>
      <c r="N96" s="1148"/>
      <c r="O96" s="1148"/>
      <c r="P96" s="2627"/>
      <c r="Q96" s="504"/>
    </row>
    <row r="97" spans="1:17" ht="15.75" thickBot="1">
      <c r="A97" s="534"/>
      <c r="B97" s="543"/>
      <c r="C97" s="560"/>
      <c r="D97" s="536"/>
      <c r="E97" s="536"/>
      <c r="F97" s="536"/>
      <c r="G97" s="536"/>
      <c r="H97" s="536"/>
      <c r="I97" s="536"/>
      <c r="J97" s="536"/>
      <c r="K97" s="536"/>
      <c r="L97" s="536"/>
      <c r="M97" s="537"/>
      <c r="N97" s="1149"/>
      <c r="O97" s="1149"/>
      <c r="P97" s="2627"/>
      <c r="Q97" s="504"/>
    </row>
    <row r="98" spans="1:17" ht="15.75" thickTop="1">
      <c r="A98" s="534"/>
      <c r="B98" s="546">
        <f>B31</f>
        <v>0</v>
      </c>
      <c r="C98" s="554"/>
      <c r="D98" s="554"/>
      <c r="E98" s="554"/>
      <c r="F98" s="554"/>
      <c r="G98" s="587"/>
      <c r="H98" s="587"/>
      <c r="I98" s="587"/>
      <c r="J98" s="587"/>
      <c r="K98" s="588"/>
      <c r="L98" s="589"/>
      <c r="M98" s="590"/>
      <c r="N98" s="1148"/>
      <c r="O98" s="1148"/>
      <c r="P98" s="2627"/>
      <c r="Q98" s="504"/>
    </row>
    <row r="99" spans="1:17" ht="15.75" thickBot="1">
      <c r="A99" s="2633"/>
      <c r="B99" s="569"/>
      <c r="C99" s="570"/>
      <c r="D99" s="570"/>
      <c r="E99" s="570"/>
      <c r="F99" s="570"/>
      <c r="G99" s="591"/>
      <c r="H99" s="591"/>
      <c r="I99" s="591"/>
      <c r="J99" s="591"/>
      <c r="K99" s="591"/>
      <c r="L99" s="591"/>
      <c r="M99" s="592"/>
      <c r="N99" s="1149"/>
      <c r="O99" s="1149"/>
      <c r="P99" s="2627"/>
      <c r="Q99" s="504"/>
    </row>
    <row r="100" spans="1:17">
      <c r="A100" s="527" t="s">
        <v>2555</v>
      </c>
      <c r="B100" s="528" t="s">
        <v>2673</v>
      </c>
      <c r="C100" s="3037" t="s">
        <v>3456</v>
      </c>
      <c r="D100" s="3037" t="s">
        <v>3477</v>
      </c>
      <c r="E100" s="3037" t="s">
        <v>3478</v>
      </c>
      <c r="F100" s="3037" t="s">
        <v>3479</v>
      </c>
      <c r="G100" s="530"/>
      <c r="H100" s="530"/>
      <c r="I100" s="530"/>
      <c r="J100" s="530"/>
      <c r="K100" s="531"/>
      <c r="L100" s="532"/>
      <c r="M100" s="533"/>
      <c r="N100" s="1148"/>
      <c r="O100" s="1148"/>
      <c r="P100" s="2627"/>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49"/>
      <c r="O101" s="1149"/>
      <c r="P101" s="2627"/>
      <c r="Q101" s="504"/>
    </row>
    <row r="102" spans="1:17" ht="29.25" thickTop="1">
      <c r="A102" s="534"/>
      <c r="B102" s="538" t="s">
        <v>2605</v>
      </c>
      <c r="C102" s="578" t="str">
        <f>C103&amp;"(含)"&amp;"-"&amp;D103</f>
        <v>0(含)-50</v>
      </c>
      <c r="D102" s="578" t="str">
        <f t="shared" ref="D102:L102" si="23">D103&amp;"(含)"&amp;"-"&amp;E103</f>
        <v>50(含)-100</v>
      </c>
      <c r="E102" s="578" t="str">
        <f t="shared" si="23"/>
        <v>100(含)-500</v>
      </c>
      <c r="F102" s="578" t="str">
        <f t="shared" si="23"/>
        <v>500(含)-1000</v>
      </c>
      <c r="G102" s="578" t="str">
        <f t="shared" si="23"/>
        <v>1000(含)-2000</v>
      </c>
      <c r="H102" s="578" t="str">
        <f t="shared" si="23"/>
        <v>2000(含)-3000</v>
      </c>
      <c r="I102" s="578" t="str">
        <f t="shared" si="23"/>
        <v>3000(含)-4000</v>
      </c>
      <c r="J102" s="578" t="str">
        <f t="shared" si="23"/>
        <v>4000(含)-</v>
      </c>
      <c r="K102" s="578" t="str">
        <f t="shared" si="23"/>
        <v>(含)-</v>
      </c>
      <c r="L102" s="578" t="str">
        <f t="shared" si="23"/>
        <v>(含)-</v>
      </c>
      <c r="M102" s="621" t="str">
        <f>M103&amp;"(含)"&amp;"-"&amp;P103</f>
        <v>(含)-</v>
      </c>
      <c r="N102" s="1147"/>
      <c r="O102" s="1147"/>
      <c r="P102" s="2627"/>
      <c r="Q102" s="504"/>
    </row>
    <row r="103" spans="1:17" s="471" customFormat="1">
      <c r="A103" s="593"/>
      <c r="B103" s="594"/>
      <c r="C103" s="3047">
        <v>0</v>
      </c>
      <c r="D103" s="3047">
        <v>50</v>
      </c>
      <c r="E103" s="3047">
        <v>100</v>
      </c>
      <c r="F103" s="3047">
        <v>500</v>
      </c>
      <c r="G103" s="3047">
        <v>1000</v>
      </c>
      <c r="H103" s="3047">
        <v>2000</v>
      </c>
      <c r="I103" s="3047">
        <v>3000</v>
      </c>
      <c r="J103" s="3047">
        <v>4000</v>
      </c>
      <c r="K103" s="596"/>
      <c r="L103" s="597"/>
      <c r="M103" s="598"/>
      <c r="N103" s="1150"/>
      <c r="O103" s="1150"/>
      <c r="P103" s="2628"/>
      <c r="Q103" s="559"/>
    </row>
    <row r="104" spans="1:17" s="471" customFormat="1" ht="15.75" thickBot="1">
      <c r="A104" s="553"/>
      <c r="B104" s="543"/>
      <c r="C104" s="3047">
        <v>100</v>
      </c>
      <c r="D104" s="3047">
        <v>98</v>
      </c>
      <c r="E104" s="3047">
        <v>96</v>
      </c>
      <c r="F104" s="3047">
        <v>94</v>
      </c>
      <c r="G104" s="3047">
        <v>92</v>
      </c>
      <c r="H104" s="3047">
        <v>90</v>
      </c>
      <c r="I104" s="3047">
        <v>88</v>
      </c>
      <c r="J104" s="3047">
        <v>86</v>
      </c>
      <c r="K104" s="536"/>
      <c r="L104" s="536"/>
      <c r="M104" s="537"/>
      <c r="N104" s="1149"/>
      <c r="O104" s="1149"/>
      <c r="P104" s="2628"/>
      <c r="Q104" s="559"/>
    </row>
    <row r="105" spans="1:17" ht="15" thickTop="1">
      <c r="A105" s="599"/>
      <c r="B105" s="538" t="s">
        <v>2606</v>
      </c>
      <c r="C105" s="3046" t="s">
        <v>3460</v>
      </c>
      <c r="D105" s="3044"/>
      <c r="E105" s="3045"/>
      <c r="F105" s="3045"/>
      <c r="G105" s="3045"/>
      <c r="H105" s="3045"/>
      <c r="I105" s="3045"/>
      <c r="J105" s="3045"/>
      <c r="K105" s="584"/>
      <c r="L105" s="585"/>
      <c r="M105" s="586"/>
      <c r="N105" s="1148"/>
      <c r="O105" s="1148"/>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2608</v>
      </c>
      <c r="C107" s="3048" t="s">
        <v>3486</v>
      </c>
      <c r="D107" s="554"/>
      <c r="E107" s="554"/>
      <c r="F107" s="583"/>
      <c r="G107" s="583"/>
      <c r="H107" s="583"/>
      <c r="I107" s="583"/>
      <c r="J107" s="583"/>
      <c r="K107" s="584"/>
      <c r="L107" s="585"/>
      <c r="M107" s="586"/>
      <c r="N107" s="1148"/>
      <c r="O107" s="1148"/>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2610</v>
      </c>
      <c r="C112" s="3049" t="s">
        <v>3496</v>
      </c>
      <c r="D112" s="554"/>
      <c r="E112" s="554"/>
      <c r="F112" s="554"/>
      <c r="G112" s="554"/>
      <c r="H112" s="583"/>
      <c r="I112" s="583"/>
      <c r="J112" s="583"/>
      <c r="K112" s="584"/>
      <c r="L112" s="585"/>
      <c r="M112" s="586"/>
      <c r="N112" s="1150"/>
      <c r="O112" s="1150"/>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2674</v>
      </c>
      <c r="C114" s="3050" t="s">
        <v>3487</v>
      </c>
      <c r="D114" s="3050" t="s">
        <v>3488</v>
      </c>
      <c r="E114" s="583"/>
      <c r="F114" s="583"/>
      <c r="G114" s="583"/>
      <c r="H114" s="583"/>
      <c r="I114" s="583"/>
      <c r="J114" s="583"/>
      <c r="K114" s="584"/>
      <c r="L114" s="585"/>
      <c r="M114" s="586"/>
      <c r="N114" s="1148"/>
      <c r="O114" s="1148"/>
      <c r="P114" s="2627"/>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49"/>
      <c r="O115" s="1149"/>
      <c r="P115" s="2627"/>
      <c r="Q115" s="504"/>
    </row>
    <row r="116" spans="1:17" ht="15" thickTop="1">
      <c r="A116" s="599"/>
      <c r="B116" s="538" t="s">
        <v>2675</v>
      </c>
      <c r="C116" s="3051" t="s">
        <v>3489</v>
      </c>
      <c r="D116" s="3051" t="s">
        <v>3490</v>
      </c>
      <c r="E116" s="554"/>
      <c r="F116" s="554"/>
      <c r="G116" s="554"/>
      <c r="H116" s="583"/>
      <c r="I116" s="583"/>
      <c r="J116" s="583"/>
      <c r="K116" s="584"/>
      <c r="L116" s="585"/>
      <c r="M116" s="586"/>
      <c r="N116" s="1148"/>
      <c r="O116" s="1148"/>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2676</v>
      </c>
      <c r="C118" s="3054">
        <v>0</v>
      </c>
      <c r="D118" s="3054">
        <v>0</v>
      </c>
      <c r="E118" s="3054">
        <v>0</v>
      </c>
      <c r="F118" s="3054">
        <v>0</v>
      </c>
      <c r="G118" s="626"/>
      <c r="H118" s="555"/>
      <c r="I118" s="555"/>
      <c r="J118" s="555"/>
      <c r="K118" s="555"/>
      <c r="L118" s="556"/>
      <c r="M118" s="557"/>
      <c r="N118" s="1148"/>
      <c r="O118" s="1148"/>
      <c r="P118" s="2627"/>
      <c r="Q118" s="504"/>
    </row>
    <row r="119" spans="1:17" ht="15.75" thickBot="1">
      <c r="A119" s="534"/>
      <c r="B119" s="543"/>
      <c r="C119" s="3052">
        <v>100</v>
      </c>
      <c r="D119" s="3052">
        <v>100</v>
      </c>
      <c r="E119" s="3052">
        <v>100</v>
      </c>
      <c r="F119" s="3052">
        <v>100</v>
      </c>
      <c r="G119" s="536"/>
      <c r="H119" s="536"/>
      <c r="I119" s="536"/>
      <c r="J119" s="536"/>
      <c r="K119" s="536"/>
      <c r="L119" s="536"/>
      <c r="M119" s="537"/>
      <c r="N119" s="1149"/>
      <c r="O119" s="1149"/>
      <c r="P119" s="2627"/>
      <c r="Q119" s="504"/>
    </row>
    <row r="120" spans="1:17" s="471" customFormat="1" ht="15" thickTop="1">
      <c r="A120" s="593"/>
      <c r="B120" s="538" t="s">
        <v>2677</v>
      </c>
      <c r="C120" s="3055" t="s">
        <v>3491</v>
      </c>
      <c r="D120" s="3053"/>
      <c r="E120" s="3053"/>
      <c r="F120" s="3053"/>
      <c r="G120" s="555"/>
      <c r="H120" s="555"/>
      <c r="I120" s="555"/>
      <c r="J120" s="555"/>
      <c r="K120" s="555"/>
      <c r="L120" s="556"/>
      <c r="M120" s="557"/>
      <c r="N120" s="1150"/>
      <c r="O120" s="1150"/>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2612</v>
      </c>
      <c r="C122" s="3057" t="s">
        <v>3486</v>
      </c>
      <c r="D122" s="3057" t="s">
        <v>3492</v>
      </c>
      <c r="E122" s="3057" t="s">
        <v>3493</v>
      </c>
      <c r="F122" s="3058" t="s">
        <v>3494</v>
      </c>
      <c r="G122" s="3056"/>
      <c r="H122" s="583"/>
      <c r="I122" s="583"/>
      <c r="J122" s="583"/>
      <c r="K122" s="584"/>
      <c r="L122" s="585"/>
      <c r="M122" s="586"/>
      <c r="N122" s="1148"/>
      <c r="O122" s="1148"/>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8"/>
      <c r="O124" s="1148"/>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8"/>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8"/>
      <c r="Q127" s="559"/>
    </row>
    <row r="128" spans="1:17" ht="15" thickTop="1">
      <c r="A128" s="599"/>
      <c r="B128" s="538">
        <f>B45</f>
        <v>0</v>
      </c>
      <c r="C128" s="554"/>
      <c r="D128" s="554"/>
      <c r="E128" s="554"/>
      <c r="F128" s="554"/>
      <c r="G128" s="583"/>
      <c r="H128" s="583"/>
      <c r="I128" s="583"/>
      <c r="J128" s="583"/>
      <c r="K128" s="584"/>
      <c r="L128" s="585"/>
      <c r="M128" s="586"/>
      <c r="N128" s="1148"/>
      <c r="O128" s="1148"/>
      <c r="P128" s="2627"/>
      <c r="Q128" s="504"/>
    </row>
    <row r="129" spans="1:17" ht="15.75" thickBot="1">
      <c r="A129" s="534"/>
      <c r="B129" s="543"/>
      <c r="C129" s="560"/>
      <c r="D129" s="536"/>
      <c r="E129" s="536"/>
      <c r="F129" s="536"/>
      <c r="G129" s="536"/>
      <c r="H129" s="536"/>
      <c r="I129" s="536"/>
      <c r="J129" s="536"/>
      <c r="K129" s="536"/>
      <c r="L129" s="536"/>
      <c r="M129" s="537"/>
      <c r="N129" s="1149"/>
      <c r="O129" s="1149"/>
      <c r="P129" s="2627"/>
      <c r="Q129" s="504"/>
    </row>
    <row r="130" spans="1:17" ht="15" thickTop="1">
      <c r="A130" s="599"/>
      <c r="B130" s="546">
        <f>B46</f>
        <v>0</v>
      </c>
      <c r="C130" s="554"/>
      <c r="D130" s="554"/>
      <c r="E130" s="554"/>
      <c r="F130" s="554"/>
      <c r="G130" s="587"/>
      <c r="H130" s="587"/>
      <c r="I130" s="587"/>
      <c r="J130" s="587"/>
      <c r="K130" s="523"/>
      <c r="L130" s="524"/>
      <c r="M130" s="590"/>
      <c r="N130" s="1148"/>
      <c r="O130" s="1148"/>
      <c r="P130" s="2627"/>
      <c r="Q130" s="504"/>
    </row>
    <row r="131" spans="1:17" ht="15.75"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2520</v>
      </c>
      <c r="B1" s="2666" t="s">
        <v>2678</v>
      </c>
      <c r="C1" s="1614" t="s">
        <v>2522</v>
      </c>
      <c r="D1" s="1615"/>
      <c r="E1" s="1624"/>
      <c r="F1" s="2581"/>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2319</v>
      </c>
      <c r="B2" s="1412" t="e">
        <f ca="1">IF(C2="——",ROUND(C50*D3/10000,0),ROUND(C50*D3/10000,0)-D2)</f>
        <v>#DIV/0!</v>
      </c>
      <c r="C2" s="2583"/>
      <c r="D2" s="1359" t="e">
        <f ca="1">SUMIF(INDIRECT("'"&amp;F2&amp;"'"&amp;"!A:A"),"承租人权益价值",INDIRECT("'"&amp;F2&amp;"'"&amp;"!c:c"))</f>
        <v>#REF!</v>
      </c>
      <c r="E2" s="2584" t="s">
        <v>2320</v>
      </c>
      <c r="F2" s="2585"/>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2321</v>
      </c>
      <c r="B3" s="609" t="e">
        <f ca="1">IF(C2="——",C50,ROUND(B2*10000/D3,0))</f>
        <v>#DIV/0!</v>
      </c>
      <c r="C3" s="400" t="s">
        <v>2636</v>
      </c>
      <c r="D3" s="399">
        <f>IF(D1="",'数据-汇总表'!E3,SUMIF('数据-汇总表'!$C19:$C33,D1,'数据-汇总表'!$E19:$E33))</f>
        <v>3497.5499999999993</v>
      </c>
      <c r="E3" s="2660"/>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2637</v>
      </c>
      <c r="B4" s="402"/>
      <c r="C4" s="3302" t="s">
        <v>2638</v>
      </c>
      <c r="D4" s="3303"/>
      <c r="E4" s="3304" t="s">
        <v>2639</v>
      </c>
      <c r="F4" s="3305"/>
      <c r="G4" s="3302" t="s">
        <v>2640</v>
      </c>
      <c r="H4" s="3303"/>
      <c r="I4" s="3302" t="s">
        <v>2641</v>
      </c>
      <c r="J4" s="3303"/>
      <c r="K4" s="610" t="s">
        <v>2642</v>
      </c>
      <c r="L4" s="1126"/>
      <c r="M4" s="1127"/>
      <c r="N4" s="1127"/>
      <c r="O4" s="1127"/>
      <c r="P4" s="3338" t="s">
        <v>2643</v>
      </c>
      <c r="Q4" s="3339"/>
      <c r="R4" s="3342" t="s">
        <v>2639</v>
      </c>
      <c r="S4" s="3343"/>
      <c r="T4" s="3342" t="s">
        <v>2640</v>
      </c>
      <c r="U4" s="3343"/>
      <c r="V4" s="3344" t="s">
        <v>2641</v>
      </c>
      <c r="W4" s="3344"/>
      <c r="X4" s="2667"/>
      <c r="Y4" s="3342" t="s">
        <v>2643</v>
      </c>
      <c r="Z4" s="3343"/>
      <c r="AA4" s="3346" t="s">
        <v>2639</v>
      </c>
      <c r="AB4" s="3346" t="s">
        <v>2640</v>
      </c>
      <c r="AC4" s="3335" t="s">
        <v>2641</v>
      </c>
    </row>
    <row r="5" spans="1:29" ht="15">
      <c r="A5" s="404"/>
      <c r="B5" s="405"/>
      <c r="C5" s="3321" t="s">
        <v>2534</v>
      </c>
      <c r="D5" s="3322"/>
      <c r="E5" s="3328" t="s">
        <v>2535</v>
      </c>
      <c r="F5" s="3329"/>
      <c r="G5" s="3321" t="s">
        <v>2536</v>
      </c>
      <c r="H5" s="3322"/>
      <c r="I5" s="3321" t="s">
        <v>2537</v>
      </c>
      <c r="J5" s="3322"/>
      <c r="K5" s="610"/>
      <c r="L5" s="1126"/>
      <c r="M5" s="1127"/>
      <c r="N5" s="1127"/>
      <c r="O5" s="1127"/>
      <c r="P5" s="3340"/>
      <c r="Q5" s="3309"/>
      <c r="R5" s="3314"/>
      <c r="S5" s="3315"/>
      <c r="T5" s="3314"/>
      <c r="U5" s="3315"/>
      <c r="V5" s="3318"/>
      <c r="W5" s="3318"/>
      <c r="X5" s="1807"/>
      <c r="Y5" s="3314"/>
      <c r="Z5" s="3315"/>
      <c r="AA5" s="3300"/>
      <c r="AB5" s="3300"/>
      <c r="AC5" s="3336"/>
    </row>
    <row r="6" spans="1:29" ht="15.75" thickBot="1">
      <c r="A6" s="406"/>
      <c r="B6" s="407"/>
      <c r="C6" s="3319" t="s">
        <v>2538</v>
      </c>
      <c r="D6" s="3320"/>
      <c r="E6" s="3326" t="s">
        <v>2538</v>
      </c>
      <c r="F6" s="3327"/>
      <c r="G6" s="3319" t="s">
        <v>2538</v>
      </c>
      <c r="H6" s="3320"/>
      <c r="I6" s="3319" t="s">
        <v>2538</v>
      </c>
      <c r="J6" s="3320"/>
      <c r="K6" s="610" t="s">
        <v>2539</v>
      </c>
      <c r="L6" s="1126"/>
      <c r="M6" s="1127"/>
      <c r="N6" s="1127"/>
      <c r="O6" s="1127"/>
      <c r="P6" s="3341"/>
      <c r="Q6" s="3311"/>
      <c r="R6" s="3314"/>
      <c r="S6" s="3315"/>
      <c r="T6" s="3316"/>
      <c r="U6" s="3317"/>
      <c r="V6" s="3318"/>
      <c r="W6" s="3318"/>
      <c r="X6" s="1807"/>
      <c r="Y6" s="3316"/>
      <c r="Z6" s="3317"/>
      <c r="AA6" s="3301"/>
      <c r="AB6" s="3301"/>
      <c r="AC6" s="3337"/>
    </row>
    <row r="7" spans="1:29" s="117" customFormat="1" ht="15.75" thickBot="1">
      <c r="A7" s="408" t="s">
        <v>2540</v>
      </c>
      <c r="B7" s="409"/>
      <c r="C7" s="410">
        <f>'数据-取费表'!B2</f>
        <v>43670</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45" t="s">
        <v>2541</v>
      </c>
      <c r="Q7" s="3325"/>
      <c r="R7" s="766" t="s">
        <v>17</v>
      </c>
      <c r="S7" s="767">
        <f t="shared" ref="S7:S15" si="0">F7</f>
        <v>0</v>
      </c>
      <c r="T7" s="766" t="s">
        <v>17</v>
      </c>
      <c r="U7" s="767">
        <f t="shared" ref="U7:U15" si="1">H7</f>
        <v>0</v>
      </c>
      <c r="V7" s="766" t="s">
        <v>17</v>
      </c>
      <c r="W7" s="767">
        <f t="shared" ref="W7:W15" si="2">J7</f>
        <v>0</v>
      </c>
      <c r="X7" s="768"/>
      <c r="Y7" s="3323" t="s">
        <v>2541</v>
      </c>
      <c r="Z7" s="3324"/>
      <c r="AA7" s="769" t="e">
        <f>D7/F7</f>
        <v>#DIV/0!</v>
      </c>
      <c r="AB7" s="769" t="e">
        <f>D7/H7</f>
        <v>#DIV/0!</v>
      </c>
      <c r="AC7" s="2668"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45" t="s">
        <v>2544</v>
      </c>
      <c r="Q8" s="3324"/>
      <c r="R8" s="766" t="s">
        <v>17</v>
      </c>
      <c r="S8" s="767">
        <f t="shared" si="0"/>
        <v>0</v>
      </c>
      <c r="T8" s="766" t="s">
        <v>17</v>
      </c>
      <c r="U8" s="767">
        <f t="shared" si="1"/>
        <v>0</v>
      </c>
      <c r="V8" s="766" t="s">
        <v>17</v>
      </c>
      <c r="W8" s="767">
        <f t="shared" si="2"/>
        <v>0</v>
      </c>
      <c r="X8" s="768"/>
      <c r="Y8" s="3323" t="s">
        <v>2544</v>
      </c>
      <c r="Z8" s="3324"/>
      <c r="AA8" s="769" t="e">
        <f t="shared" ref="AA8:AA47" si="3">D8/F8</f>
        <v>#DIV/0!</v>
      </c>
      <c r="AB8" s="769" t="e">
        <f t="shared" ref="AB8:AB47" si="4">D8/H8</f>
        <v>#DIV/0!</v>
      </c>
      <c r="AC8" s="2668"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98" t="s">
        <v>2547</v>
      </c>
      <c r="Q9" s="1789" t="str">
        <f t="shared" ref="Q9:Q15" si="6">B9</f>
        <v>用途</v>
      </c>
      <c r="R9" s="766" t="s">
        <v>17</v>
      </c>
      <c r="S9" s="767">
        <f t="shared" si="0"/>
        <v>100</v>
      </c>
      <c r="T9" s="766" t="s">
        <v>17</v>
      </c>
      <c r="U9" s="767">
        <f t="shared" si="1"/>
        <v>100</v>
      </c>
      <c r="V9" s="766" t="s">
        <v>17</v>
      </c>
      <c r="W9" s="767">
        <f t="shared" si="2"/>
        <v>100</v>
      </c>
      <c r="X9" s="768"/>
      <c r="Y9" s="3112" t="s">
        <v>2548</v>
      </c>
      <c r="Z9" s="55" t="str">
        <f t="shared" ref="Z9:Z15" si="7">Q9</f>
        <v>用途</v>
      </c>
      <c r="AA9" s="769">
        <f t="shared" si="3"/>
        <v>1</v>
      </c>
      <c r="AB9" s="769">
        <f t="shared" si="4"/>
        <v>1</v>
      </c>
      <c r="AC9" s="2668">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98"/>
      <c r="Q10" s="1789" t="str">
        <f t="shared" si="6"/>
        <v>土地使用年限（年）</v>
      </c>
      <c r="R10" s="766" t="s">
        <v>17</v>
      </c>
      <c r="S10" s="767">
        <f t="shared" si="0"/>
        <v>100</v>
      </c>
      <c r="T10" s="766" t="s">
        <v>17</v>
      </c>
      <c r="U10" s="767">
        <f t="shared" si="1"/>
        <v>100</v>
      </c>
      <c r="V10" s="766" t="s">
        <v>17</v>
      </c>
      <c r="W10" s="767">
        <f t="shared" si="2"/>
        <v>100</v>
      </c>
      <c r="X10" s="768"/>
      <c r="Y10" s="3112"/>
      <c r="Z10" s="55" t="str">
        <f t="shared" si="7"/>
        <v>土地使用年限（年）</v>
      </c>
      <c r="AA10" s="769">
        <f t="shared" si="3"/>
        <v>1</v>
      </c>
      <c r="AB10" s="769">
        <f t="shared" si="4"/>
        <v>1</v>
      </c>
      <c r="AC10" s="2668">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98"/>
      <c r="Q11" s="1789" t="str">
        <f t="shared" si="6"/>
        <v>容积率</v>
      </c>
      <c r="R11" s="766" t="s">
        <v>17</v>
      </c>
      <c r="S11" s="767" t="e">
        <f t="shared" si="0"/>
        <v>#N/A</v>
      </c>
      <c r="T11" s="766" t="s">
        <v>17</v>
      </c>
      <c r="U11" s="767" t="e">
        <f t="shared" si="1"/>
        <v>#N/A</v>
      </c>
      <c r="V11" s="766" t="s">
        <v>17</v>
      </c>
      <c r="W11" s="767" t="e">
        <f t="shared" si="2"/>
        <v>#N/A</v>
      </c>
      <c r="X11" s="768"/>
      <c r="Y11" s="3112"/>
      <c r="Z11" s="55" t="str">
        <f t="shared" si="7"/>
        <v>容积率</v>
      </c>
      <c r="AA11" s="769" t="e">
        <f t="shared" si="3"/>
        <v>#N/A</v>
      </c>
      <c r="AB11" s="769"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8"/>
      <c r="M12" s="1129"/>
      <c r="N12" s="1129"/>
      <c r="O12" s="1129"/>
      <c r="P12" s="3298"/>
      <c r="Q12" s="1789">
        <f t="shared" si="6"/>
        <v>111</v>
      </c>
      <c r="R12" s="766" t="s">
        <v>17</v>
      </c>
      <c r="S12" s="767">
        <f t="shared" si="0"/>
        <v>100</v>
      </c>
      <c r="T12" s="766" t="s">
        <v>17</v>
      </c>
      <c r="U12" s="767">
        <f t="shared" si="1"/>
        <v>100</v>
      </c>
      <c r="V12" s="766" t="s">
        <v>17</v>
      </c>
      <c r="W12" s="767">
        <f t="shared" si="2"/>
        <v>100</v>
      </c>
      <c r="X12" s="768"/>
      <c r="Y12" s="3112"/>
      <c r="Z12" s="55">
        <f t="shared" si="7"/>
        <v>111</v>
      </c>
      <c r="AA12" s="769">
        <f>D12/F12</f>
        <v>1</v>
      </c>
      <c r="AB12" s="769">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6"/>
      <c r="M13" s="1127"/>
      <c r="N13" s="1127"/>
      <c r="O13" s="1127"/>
      <c r="P13" s="3298"/>
      <c r="Q13" s="1789">
        <f t="shared" si="6"/>
        <v>111</v>
      </c>
      <c r="R13" s="766" t="s">
        <v>17</v>
      </c>
      <c r="S13" s="767">
        <f t="shared" si="0"/>
        <v>100</v>
      </c>
      <c r="T13" s="766" t="s">
        <v>17</v>
      </c>
      <c r="U13" s="767">
        <f t="shared" si="1"/>
        <v>100</v>
      </c>
      <c r="V13" s="766" t="s">
        <v>17</v>
      </c>
      <c r="W13" s="767">
        <f t="shared" si="2"/>
        <v>100</v>
      </c>
      <c r="X13" s="768"/>
      <c r="Y13" s="3112"/>
      <c r="Z13" s="55">
        <f t="shared" si="7"/>
        <v>111</v>
      </c>
      <c r="AA13" s="769">
        <f t="shared" si="3"/>
        <v>1</v>
      </c>
      <c r="AB13" s="769">
        <f t="shared" si="4"/>
        <v>1</v>
      </c>
      <c r="AC13" s="2668">
        <f t="shared" si="5"/>
        <v>1</v>
      </c>
    </row>
    <row r="14" spans="1:29" ht="15.75"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6"/>
      <c r="M14" s="1127"/>
      <c r="N14" s="1127"/>
      <c r="O14" s="1127"/>
      <c r="P14" s="3298"/>
      <c r="Q14" s="1789">
        <f t="shared" si="6"/>
        <v>111</v>
      </c>
      <c r="R14" s="766" t="s">
        <v>17</v>
      </c>
      <c r="S14" s="767">
        <f t="shared" si="0"/>
        <v>100</v>
      </c>
      <c r="T14" s="766" t="s">
        <v>17</v>
      </c>
      <c r="U14" s="767">
        <f t="shared" si="1"/>
        <v>100</v>
      </c>
      <c r="V14" s="766" t="s">
        <v>17</v>
      </c>
      <c r="W14" s="767">
        <f t="shared" si="2"/>
        <v>100</v>
      </c>
      <c r="X14" s="768"/>
      <c r="Y14" s="3112"/>
      <c r="Z14" s="55">
        <f t="shared" si="7"/>
        <v>111</v>
      </c>
      <c r="AA14" s="769">
        <f t="shared" si="3"/>
        <v>1</v>
      </c>
      <c r="AB14" s="769">
        <f t="shared" si="4"/>
        <v>1</v>
      </c>
      <c r="AC14" s="2668">
        <f t="shared" si="5"/>
        <v>1</v>
      </c>
    </row>
    <row r="15" spans="1:29" ht="15">
      <c r="A15" s="440" t="s">
        <v>2551</v>
      </c>
      <c r="B15" s="628" t="s">
        <v>2679</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96" t="s">
        <v>2552</v>
      </c>
      <c r="Q15" s="1804" t="str">
        <f t="shared" si="6"/>
        <v>办公集聚程度</v>
      </c>
      <c r="R15" s="770" t="s">
        <v>17</v>
      </c>
      <c r="S15" s="771">
        <f t="shared" si="0"/>
        <v>100</v>
      </c>
      <c r="T15" s="770" t="s">
        <v>17</v>
      </c>
      <c r="U15" s="771">
        <f t="shared" si="1"/>
        <v>100</v>
      </c>
      <c r="V15" s="770" t="s">
        <v>17</v>
      </c>
      <c r="W15" s="771">
        <f t="shared" si="2"/>
        <v>100</v>
      </c>
      <c r="X15" s="1807"/>
      <c r="Y15" s="3289" t="s">
        <v>2552</v>
      </c>
      <c r="Z15" s="1808" t="str">
        <f t="shared" si="7"/>
        <v>办公集聚程度</v>
      </c>
      <c r="AA15" s="1805">
        <f t="shared" si="3"/>
        <v>1</v>
      </c>
      <c r="AB15" s="1805">
        <f t="shared" si="4"/>
        <v>1</v>
      </c>
      <c r="AC15" s="2671">
        <f t="shared" si="5"/>
        <v>1</v>
      </c>
    </row>
    <row r="16" spans="1:29" ht="15">
      <c r="A16" s="428"/>
      <c r="B16" s="629"/>
      <c r="C16" s="2608"/>
      <c r="D16" s="448"/>
      <c r="E16" s="447"/>
      <c r="F16" s="448"/>
      <c r="G16" s="2608"/>
      <c r="H16" s="450"/>
      <c r="I16" s="447"/>
      <c r="J16" s="448"/>
      <c r="K16" s="615"/>
      <c r="L16" s="1136"/>
      <c r="M16" s="1127"/>
      <c r="N16" s="1127"/>
      <c r="O16" s="1127"/>
      <c r="P16" s="3297"/>
      <c r="Q16" s="1804"/>
      <c r="R16" s="770"/>
      <c r="S16" s="771"/>
      <c r="T16" s="770"/>
      <c r="U16" s="771"/>
      <c r="V16" s="770"/>
      <c r="W16" s="771"/>
      <c r="X16" s="1807"/>
      <c r="Y16" s="3290"/>
      <c r="Z16" s="1808"/>
      <c r="AA16" s="1805">
        <v>1</v>
      </c>
      <c r="AB16" s="1805">
        <v>1</v>
      </c>
      <c r="AC16" s="2671">
        <v>1</v>
      </c>
    </row>
    <row r="17" spans="1:29" ht="15">
      <c r="A17" s="428"/>
      <c r="B17" s="630" t="s">
        <v>2091</v>
      </c>
      <c r="C17" s="267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97"/>
      <c r="Q17" s="1804" t="str">
        <f>B17</f>
        <v>交通便捷度</v>
      </c>
      <c r="R17" s="770" t="s">
        <v>17</v>
      </c>
      <c r="S17" s="771">
        <f>F17</f>
        <v>100</v>
      </c>
      <c r="T17" s="770" t="s">
        <v>17</v>
      </c>
      <c r="U17" s="771">
        <f>H17</f>
        <v>100</v>
      </c>
      <c r="V17" s="770" t="s">
        <v>17</v>
      </c>
      <c r="W17" s="771">
        <f>J17</f>
        <v>100</v>
      </c>
      <c r="X17" s="1807"/>
      <c r="Y17" s="3290"/>
      <c r="Z17" s="1808" t="str">
        <f>Q17</f>
        <v>交通便捷度</v>
      </c>
      <c r="AA17" s="1805">
        <f t="shared" si="3"/>
        <v>1</v>
      </c>
      <c r="AB17" s="1805">
        <f t="shared" si="4"/>
        <v>1</v>
      </c>
      <c r="AC17" s="2671">
        <f t="shared" si="5"/>
        <v>1</v>
      </c>
    </row>
    <row r="18" spans="1:29" ht="15">
      <c r="A18" s="428"/>
      <c r="B18" s="631"/>
      <c r="C18" s="2673"/>
      <c r="D18" s="450"/>
      <c r="E18" s="2606"/>
      <c r="F18" s="450"/>
      <c r="G18" s="2607"/>
      <c r="H18" s="448"/>
      <c r="I18" s="2607"/>
      <c r="J18" s="448"/>
      <c r="K18" s="615"/>
      <c r="L18" s="1136"/>
      <c r="M18" s="1127"/>
      <c r="N18" s="1127"/>
      <c r="O18" s="1127"/>
      <c r="P18" s="3297"/>
      <c r="Q18" s="1804"/>
      <c r="R18" s="770"/>
      <c r="S18" s="771"/>
      <c r="T18" s="770"/>
      <c r="U18" s="771"/>
      <c r="V18" s="770"/>
      <c r="W18" s="771"/>
      <c r="X18" s="1807"/>
      <c r="Y18" s="3290"/>
      <c r="Z18" s="1808"/>
      <c r="AA18" s="1805">
        <v>1</v>
      </c>
      <c r="AB18" s="1805">
        <v>1</v>
      </c>
      <c r="AC18" s="2671">
        <v>1</v>
      </c>
    </row>
    <row r="19" spans="1:29" ht="15">
      <c r="A19" s="428"/>
      <c r="B19" s="630" t="s">
        <v>2680</v>
      </c>
      <c r="C19" s="267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97"/>
      <c r="Q19" s="1804" t="str">
        <f>B19</f>
        <v>公共配套设施</v>
      </c>
      <c r="R19" s="770" t="s">
        <v>17</v>
      </c>
      <c r="S19" s="771">
        <f>F19</f>
        <v>100</v>
      </c>
      <c r="T19" s="770" t="s">
        <v>17</v>
      </c>
      <c r="U19" s="771">
        <f>H19</f>
        <v>100</v>
      </c>
      <c r="V19" s="770" t="s">
        <v>17</v>
      </c>
      <c r="W19" s="771">
        <f>J19</f>
        <v>100</v>
      </c>
      <c r="X19" s="1807"/>
      <c r="Y19" s="3290"/>
      <c r="Z19" s="1808" t="str">
        <f>Q19</f>
        <v>公共配套设施</v>
      </c>
      <c r="AA19" s="1805">
        <f t="shared" si="3"/>
        <v>1</v>
      </c>
      <c r="AB19" s="1805">
        <f t="shared" si="4"/>
        <v>1</v>
      </c>
      <c r="AC19" s="2671">
        <f t="shared" si="5"/>
        <v>1</v>
      </c>
    </row>
    <row r="20" spans="1:29" ht="15">
      <c r="A20" s="428"/>
      <c r="B20" s="631"/>
      <c r="C20" s="2608"/>
      <c r="D20" s="448"/>
      <c r="E20" s="2601"/>
      <c r="F20" s="448"/>
      <c r="G20" s="2602"/>
      <c r="H20" s="448"/>
      <c r="I20" s="2602"/>
      <c r="J20" s="448"/>
      <c r="K20" s="615"/>
      <c r="L20" s="1136"/>
      <c r="M20" s="1127"/>
      <c r="N20" s="1127"/>
      <c r="O20" s="1127"/>
      <c r="P20" s="3297"/>
      <c r="Q20" s="1804"/>
      <c r="R20" s="770"/>
      <c r="S20" s="771"/>
      <c r="T20" s="770"/>
      <c r="U20" s="771"/>
      <c r="V20" s="770"/>
      <c r="W20" s="771"/>
      <c r="X20" s="1807"/>
      <c r="Y20" s="3290"/>
      <c r="Z20" s="1808"/>
      <c r="AA20" s="1805">
        <v>1</v>
      </c>
      <c r="AB20" s="1805">
        <v>1</v>
      </c>
      <c r="AC20" s="2671">
        <v>1</v>
      </c>
    </row>
    <row r="21" spans="1:29" ht="15">
      <c r="A21" s="428"/>
      <c r="B21" s="632" t="s">
        <v>2681</v>
      </c>
      <c r="C21" s="267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97"/>
      <c r="Q21" s="1804" t="str">
        <f>B21</f>
        <v>基础设施水平</v>
      </c>
      <c r="R21" s="770" t="s">
        <v>17</v>
      </c>
      <c r="S21" s="771">
        <f>F21</f>
        <v>100</v>
      </c>
      <c r="T21" s="770" t="s">
        <v>17</v>
      </c>
      <c r="U21" s="771">
        <f>H21</f>
        <v>100</v>
      </c>
      <c r="V21" s="770" t="s">
        <v>17</v>
      </c>
      <c r="W21" s="771">
        <f>J21</f>
        <v>100</v>
      </c>
      <c r="X21" s="1807"/>
      <c r="Y21" s="3290"/>
      <c r="Z21" s="1808" t="str">
        <f>Q21</f>
        <v>基础设施水平</v>
      </c>
      <c r="AA21" s="1805">
        <f t="shared" ref="AA21" si="8">D21/F21</f>
        <v>1</v>
      </c>
      <c r="AB21" s="1805">
        <f t="shared" ref="AB21" si="9">D21/H21</f>
        <v>1</v>
      </c>
      <c r="AC21" s="2671">
        <f t="shared" ref="AC21" si="10">D21/J21</f>
        <v>1</v>
      </c>
    </row>
    <row r="22" spans="1:29" ht="15">
      <c r="A22" s="428"/>
      <c r="B22" s="632"/>
      <c r="C22" s="2673"/>
      <c r="D22" s="448"/>
      <c r="E22" s="447"/>
      <c r="F22" s="448"/>
      <c r="G22" s="2608"/>
      <c r="H22" s="448"/>
      <c r="I22" s="2608"/>
      <c r="J22" s="448"/>
      <c r="K22" s="1377"/>
      <c r="L22" s="1136"/>
      <c r="M22" s="1127"/>
      <c r="N22" s="1127"/>
      <c r="O22" s="1127"/>
      <c r="P22" s="3297"/>
      <c r="Q22" s="1804"/>
      <c r="R22" s="770"/>
      <c r="S22" s="771"/>
      <c r="T22" s="770"/>
      <c r="U22" s="771"/>
      <c r="V22" s="770"/>
      <c r="W22" s="771"/>
      <c r="X22" s="1807"/>
      <c r="Y22" s="3290"/>
      <c r="Z22" s="1808"/>
      <c r="AA22" s="1805">
        <v>1</v>
      </c>
      <c r="AB22" s="1805">
        <v>1</v>
      </c>
      <c r="AC22" s="2671">
        <v>1</v>
      </c>
    </row>
    <row r="23" spans="1:29" ht="15">
      <c r="A23" s="428"/>
      <c r="B23" s="630" t="s">
        <v>2682</v>
      </c>
      <c r="C23" s="267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97"/>
      <c r="Q23" s="1804" t="str">
        <f>B23</f>
        <v>环境质量</v>
      </c>
      <c r="R23" s="770" t="s">
        <v>17</v>
      </c>
      <c r="S23" s="771">
        <f>F23</f>
        <v>100</v>
      </c>
      <c r="T23" s="770" t="s">
        <v>17</v>
      </c>
      <c r="U23" s="771">
        <f>H23</f>
        <v>100</v>
      </c>
      <c r="V23" s="770" t="s">
        <v>17</v>
      </c>
      <c r="W23" s="771">
        <f>J23</f>
        <v>100</v>
      </c>
      <c r="X23" s="1807"/>
      <c r="Y23" s="3290"/>
      <c r="Z23" s="1808" t="str">
        <f>Q23</f>
        <v>环境质量</v>
      </c>
      <c r="AA23" s="1805">
        <f t="shared" si="3"/>
        <v>1</v>
      </c>
      <c r="AB23" s="1805">
        <f t="shared" si="4"/>
        <v>1</v>
      </c>
      <c r="AC23" s="2671">
        <f t="shared" si="5"/>
        <v>1</v>
      </c>
    </row>
    <row r="24" spans="1:29" ht="15">
      <c r="A24" s="428"/>
      <c r="B24" s="632"/>
      <c r="C24" s="2608"/>
      <c r="D24" s="448"/>
      <c r="E24" s="2601"/>
      <c r="F24" s="448"/>
      <c r="G24" s="2602"/>
      <c r="H24" s="448"/>
      <c r="I24" s="2602"/>
      <c r="J24" s="448"/>
      <c r="K24" s="615"/>
      <c r="L24" s="1136"/>
      <c r="M24" s="1127"/>
      <c r="N24" s="1127"/>
      <c r="O24" s="1127"/>
      <c r="P24" s="3297"/>
      <c r="Q24" s="1804"/>
      <c r="R24" s="770"/>
      <c r="S24" s="771"/>
      <c r="T24" s="770"/>
      <c r="U24" s="771"/>
      <c r="V24" s="770"/>
      <c r="W24" s="771"/>
      <c r="X24" s="1807"/>
      <c r="Y24" s="3290"/>
      <c r="Z24" s="1808"/>
      <c r="AA24" s="1805">
        <v>1</v>
      </c>
      <c r="AB24" s="1805">
        <v>1</v>
      </c>
      <c r="AC24" s="2671">
        <v>1</v>
      </c>
    </row>
    <row r="25" spans="1:29" ht="27">
      <c r="A25" s="404"/>
      <c r="B25" s="630" t="s">
        <v>2683</v>
      </c>
      <c r="C25" s="2612"/>
      <c r="D25" s="435">
        <v>100</v>
      </c>
      <c r="E25" s="434"/>
      <c r="F25" s="435">
        <f>SUMIF(87:87,E26,88:88)-SUMIF(87:87,C26,88:88)+100</f>
        <v>100</v>
      </c>
      <c r="G25" s="2612"/>
      <c r="H25" s="435">
        <f>SUMIF(87:87,G26,88:88)-SUMIF(87:87,C26,88:88)+100</f>
        <v>100</v>
      </c>
      <c r="I25" s="434"/>
      <c r="J25" s="435">
        <f>SUMIF(87:87,I26,88:88)-SUMIF(87:87,C26,88:88)+100</f>
        <v>100</v>
      </c>
      <c r="K25" s="614"/>
      <c r="L25" s="1136"/>
      <c r="M25" s="1127"/>
      <c r="N25" s="1127"/>
      <c r="O25" s="1127"/>
      <c r="P25" s="3297"/>
      <c r="Q25" s="1804" t="str">
        <f>B25</f>
        <v>毗邻道路的类型与等级</v>
      </c>
      <c r="R25" s="770" t="s">
        <v>17</v>
      </c>
      <c r="S25" s="771">
        <f>F25</f>
        <v>100</v>
      </c>
      <c r="T25" s="770" t="s">
        <v>17</v>
      </c>
      <c r="U25" s="771">
        <f>H25</f>
        <v>100</v>
      </c>
      <c r="V25" s="770" t="s">
        <v>17</v>
      </c>
      <c r="W25" s="771">
        <f>J25</f>
        <v>100</v>
      </c>
      <c r="X25" s="1807"/>
      <c r="Y25" s="3290"/>
      <c r="Z25" s="1808" t="str">
        <f>Q25</f>
        <v>毗邻道路的类型与等级</v>
      </c>
      <c r="AA25" s="1805">
        <f t="shared" si="3"/>
        <v>1</v>
      </c>
      <c r="AB25" s="1805">
        <f t="shared" si="4"/>
        <v>1</v>
      </c>
      <c r="AC25" s="2671">
        <f t="shared" si="5"/>
        <v>1</v>
      </c>
    </row>
    <row r="26" spans="1:29" ht="15">
      <c r="A26" s="404"/>
      <c r="B26" s="631"/>
      <c r="C26" s="633"/>
      <c r="D26" s="435"/>
      <c r="E26" s="616"/>
      <c r="F26" s="435"/>
      <c r="G26" s="633"/>
      <c r="H26" s="435"/>
      <c r="I26" s="616"/>
      <c r="J26" s="435"/>
      <c r="K26" s="615"/>
      <c r="L26" s="1136"/>
      <c r="M26" s="1127"/>
      <c r="N26" s="1127"/>
      <c r="O26" s="1127"/>
      <c r="P26" s="3297"/>
      <c r="Q26" s="1804"/>
      <c r="R26" s="770"/>
      <c r="S26" s="771"/>
      <c r="T26" s="770"/>
      <c r="U26" s="771"/>
      <c r="V26" s="770"/>
      <c r="W26" s="771"/>
      <c r="X26" s="1807"/>
      <c r="Y26" s="3290"/>
      <c r="Z26" s="1808"/>
      <c r="AA26" s="1805">
        <v>1</v>
      </c>
      <c r="AB26" s="1805">
        <v>1</v>
      </c>
      <c r="AC26" s="2671">
        <v>1</v>
      </c>
    </row>
    <row r="27" spans="1:29" ht="15">
      <c r="A27" s="428"/>
      <c r="B27" s="631" t="s">
        <v>2651</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297"/>
      <c r="Q27" s="1804" t="str">
        <f t="shared" ref="Q27:Q47" si="11">B27</f>
        <v>楼层</v>
      </c>
      <c r="R27" s="770" t="s">
        <v>17</v>
      </c>
      <c r="S27" s="771">
        <f>F27</f>
        <v>100</v>
      </c>
      <c r="T27" s="770" t="s">
        <v>17</v>
      </c>
      <c r="U27" s="771">
        <f>H27</f>
        <v>100</v>
      </c>
      <c r="V27" s="770" t="s">
        <v>17</v>
      </c>
      <c r="W27" s="771">
        <f>J27</f>
        <v>100</v>
      </c>
      <c r="X27" s="1807"/>
      <c r="Y27" s="3290"/>
      <c r="Z27" s="1808" t="str">
        <f>Q27</f>
        <v>楼层</v>
      </c>
      <c r="AA27" s="1805">
        <f t="shared" si="3"/>
        <v>1</v>
      </c>
      <c r="AB27" s="1805">
        <f t="shared" si="4"/>
        <v>1</v>
      </c>
      <c r="AC27" s="2671">
        <f t="shared" si="5"/>
        <v>1</v>
      </c>
    </row>
    <row r="28" spans="1:29" s="117" customFormat="1" ht="15">
      <c r="A28" s="431"/>
      <c r="B28" s="630"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28"/>
      <c r="M28" s="1129"/>
      <c r="N28" s="1129"/>
      <c r="O28" s="1129"/>
      <c r="P28" s="3297"/>
      <c r="Q28" s="1789" t="str">
        <f t="shared" si="11"/>
        <v>朝向</v>
      </c>
      <c r="R28" s="766" t="s">
        <v>17</v>
      </c>
      <c r="S28" s="767">
        <f>F28</f>
        <v>100</v>
      </c>
      <c r="T28" s="766" t="s">
        <v>17</v>
      </c>
      <c r="U28" s="767">
        <f>H28</f>
        <v>100</v>
      </c>
      <c r="V28" s="766" t="s">
        <v>17</v>
      </c>
      <c r="W28" s="767">
        <f>J28</f>
        <v>100</v>
      </c>
      <c r="X28" s="768"/>
      <c r="Y28" s="3290"/>
      <c r="Z28" s="55" t="str">
        <f>Q28</f>
        <v>朝向</v>
      </c>
      <c r="AA28" s="1805">
        <f>D28/F28</f>
        <v>1</v>
      </c>
      <c r="AB28" s="1805">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6"/>
      <c r="M29" s="1127"/>
      <c r="N29" s="1127"/>
      <c r="O29" s="1127"/>
      <c r="P29" s="3297"/>
      <c r="Q29" s="1804">
        <f t="shared" si="11"/>
        <v>111</v>
      </c>
      <c r="R29" s="770" t="s">
        <v>17</v>
      </c>
      <c r="S29" s="771">
        <f t="shared" ref="S29:S47" si="12">F29</f>
        <v>100</v>
      </c>
      <c r="T29" s="770" t="s">
        <v>17</v>
      </c>
      <c r="U29" s="771">
        <f t="shared" ref="U29:U47" si="13">H29</f>
        <v>100</v>
      </c>
      <c r="V29" s="770" t="s">
        <v>17</v>
      </c>
      <c r="W29" s="771">
        <f t="shared" ref="W29:W47" si="14">J29</f>
        <v>100</v>
      </c>
      <c r="X29" s="1807"/>
      <c r="Y29" s="3290"/>
      <c r="Z29" s="1808">
        <f t="shared" ref="Z29:Z47" si="15">Q29</f>
        <v>111</v>
      </c>
      <c r="AA29" s="1805">
        <f t="shared" si="3"/>
        <v>1</v>
      </c>
      <c r="AB29" s="1805">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6"/>
      <c r="M30" s="1127"/>
      <c r="N30" s="1127"/>
      <c r="O30" s="1127"/>
      <c r="P30" s="3297"/>
      <c r="Q30" s="1804">
        <f t="shared" si="11"/>
        <v>111</v>
      </c>
      <c r="R30" s="770" t="s">
        <v>17</v>
      </c>
      <c r="S30" s="771">
        <f t="shared" si="12"/>
        <v>100</v>
      </c>
      <c r="T30" s="770" t="s">
        <v>17</v>
      </c>
      <c r="U30" s="771">
        <f t="shared" si="13"/>
        <v>100</v>
      </c>
      <c r="V30" s="770" t="s">
        <v>17</v>
      </c>
      <c r="W30" s="771">
        <f t="shared" si="14"/>
        <v>100</v>
      </c>
      <c r="X30" s="1807"/>
      <c r="Y30" s="3290"/>
      <c r="Z30" s="1808">
        <f t="shared" si="15"/>
        <v>111</v>
      </c>
      <c r="AA30" s="1805">
        <f t="shared" si="3"/>
        <v>1</v>
      </c>
      <c r="AB30" s="1805">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6"/>
      <c r="M31" s="1127"/>
      <c r="N31" s="1127"/>
      <c r="O31" s="1127"/>
      <c r="P31" s="3297"/>
      <c r="Q31" s="1804">
        <f t="shared" si="11"/>
        <v>111</v>
      </c>
      <c r="R31" s="770" t="s">
        <v>17</v>
      </c>
      <c r="S31" s="771">
        <f t="shared" si="12"/>
        <v>100</v>
      </c>
      <c r="T31" s="770" t="s">
        <v>17</v>
      </c>
      <c r="U31" s="771">
        <f t="shared" si="13"/>
        <v>100</v>
      </c>
      <c r="V31" s="770" t="s">
        <v>17</v>
      </c>
      <c r="W31" s="771">
        <f t="shared" si="14"/>
        <v>100</v>
      </c>
      <c r="X31" s="1807"/>
      <c r="Y31" s="3290"/>
      <c r="Z31" s="1808">
        <f t="shared" si="15"/>
        <v>111</v>
      </c>
      <c r="AA31" s="1805">
        <f t="shared" si="3"/>
        <v>1</v>
      </c>
      <c r="AB31" s="1805">
        <f t="shared" si="4"/>
        <v>1</v>
      </c>
      <c r="AC31" s="2671">
        <f t="shared" si="5"/>
        <v>1</v>
      </c>
    </row>
    <row r="32" spans="1:29" ht="15.75"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6"/>
      <c r="M32" s="1127"/>
      <c r="N32" s="1127"/>
      <c r="O32" s="1127"/>
      <c r="P32" s="3297"/>
      <c r="Q32" s="1804">
        <f t="shared" si="11"/>
        <v>111</v>
      </c>
      <c r="R32" s="770" t="s">
        <v>17</v>
      </c>
      <c r="S32" s="771">
        <f t="shared" si="12"/>
        <v>100</v>
      </c>
      <c r="T32" s="770" t="s">
        <v>17</v>
      </c>
      <c r="U32" s="771">
        <f t="shared" si="13"/>
        <v>100</v>
      </c>
      <c r="V32" s="770" t="s">
        <v>17</v>
      </c>
      <c r="W32" s="771">
        <f t="shared" si="14"/>
        <v>100</v>
      </c>
      <c r="X32" s="1807"/>
      <c r="Y32" s="3290"/>
      <c r="Z32" s="1808">
        <f t="shared" si="15"/>
        <v>111</v>
      </c>
      <c r="AA32" s="1805">
        <f t="shared" si="3"/>
        <v>1</v>
      </c>
      <c r="AB32" s="1805">
        <f t="shared" si="4"/>
        <v>1</v>
      </c>
      <c r="AC32" s="2671">
        <f t="shared" si="5"/>
        <v>1</v>
      </c>
    </row>
    <row r="33" spans="1:29" ht="15">
      <c r="A33" s="440" t="s">
        <v>2555</v>
      </c>
      <c r="B33" s="71" t="s">
        <v>2685</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6"/>
      <c r="M33" s="1127"/>
      <c r="N33" s="1127"/>
      <c r="O33" s="1127"/>
      <c r="P33" s="3291" t="s">
        <v>2557</v>
      </c>
      <c r="Q33" s="1804" t="str">
        <f t="shared" si="11"/>
        <v>建筑类型</v>
      </c>
      <c r="R33" s="770" t="s">
        <v>17</v>
      </c>
      <c r="S33" s="771">
        <f t="shared" si="12"/>
        <v>100</v>
      </c>
      <c r="T33" s="770" t="s">
        <v>17</v>
      </c>
      <c r="U33" s="771">
        <f t="shared" si="13"/>
        <v>100</v>
      </c>
      <c r="V33" s="770" t="s">
        <v>17</v>
      </c>
      <c r="W33" s="771">
        <f t="shared" si="14"/>
        <v>100</v>
      </c>
      <c r="X33" s="1807"/>
      <c r="Y33" s="3294" t="s">
        <v>2557</v>
      </c>
      <c r="Z33" s="1808" t="str">
        <f t="shared" si="15"/>
        <v>建筑类型</v>
      </c>
      <c r="AA33" s="1805">
        <f t="shared" si="3"/>
        <v>1</v>
      </c>
      <c r="AB33" s="1805">
        <f t="shared" si="4"/>
        <v>1</v>
      </c>
      <c r="AC33" s="2671">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92"/>
      <c r="Q34" s="772" t="str">
        <f t="shared" si="11"/>
        <v>项目建筑规模</v>
      </c>
      <c r="R34" s="773" t="s">
        <v>17</v>
      </c>
      <c r="S34" s="774" t="e">
        <f t="shared" si="12"/>
        <v>#N/A</v>
      </c>
      <c r="T34" s="773" t="s">
        <v>17</v>
      </c>
      <c r="U34" s="774" t="e">
        <f t="shared" si="13"/>
        <v>#N/A</v>
      </c>
      <c r="V34" s="773" t="s">
        <v>17</v>
      </c>
      <c r="W34" s="774" t="e">
        <f t="shared" si="14"/>
        <v>#N/A</v>
      </c>
      <c r="X34" s="775"/>
      <c r="Y34" s="3294"/>
      <c r="Z34" s="776" t="str">
        <f t="shared" si="15"/>
        <v>项目建筑规模</v>
      </c>
      <c r="AA34" s="1805" t="e">
        <f t="shared" si="3"/>
        <v>#N/A</v>
      </c>
      <c r="AB34" s="1805" t="e">
        <f t="shared" si="4"/>
        <v>#N/A</v>
      </c>
      <c r="AC34" s="2671"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92"/>
      <c r="Q35" s="1804" t="str">
        <f t="shared" si="11"/>
        <v>建筑结构</v>
      </c>
      <c r="R35" s="770" t="s">
        <v>17</v>
      </c>
      <c r="S35" s="771">
        <f t="shared" si="12"/>
        <v>100</v>
      </c>
      <c r="T35" s="770" t="s">
        <v>17</v>
      </c>
      <c r="U35" s="771">
        <f t="shared" si="13"/>
        <v>100</v>
      </c>
      <c r="V35" s="770" t="s">
        <v>17</v>
      </c>
      <c r="W35" s="771">
        <f t="shared" si="14"/>
        <v>100</v>
      </c>
      <c r="X35" s="1807"/>
      <c r="Y35" s="3294"/>
      <c r="Z35" s="1808" t="str">
        <f t="shared" si="15"/>
        <v>建筑结构</v>
      </c>
      <c r="AA35" s="1805">
        <f t="shared" si="3"/>
        <v>1</v>
      </c>
      <c r="AB35" s="1805">
        <f t="shared" si="4"/>
        <v>1</v>
      </c>
      <c r="AC35" s="2671">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92"/>
      <c r="Q36" s="1804" t="str">
        <f t="shared" si="11"/>
        <v>公共部分装修</v>
      </c>
      <c r="R36" s="770" t="s">
        <v>17</v>
      </c>
      <c r="S36" s="771">
        <f t="shared" si="12"/>
        <v>100</v>
      </c>
      <c r="T36" s="770" t="s">
        <v>17</v>
      </c>
      <c r="U36" s="771">
        <f t="shared" si="13"/>
        <v>100</v>
      </c>
      <c r="V36" s="770" t="s">
        <v>17</v>
      </c>
      <c r="W36" s="771">
        <f t="shared" si="14"/>
        <v>100</v>
      </c>
      <c r="X36" s="1807"/>
      <c r="Y36" s="3294"/>
      <c r="Z36" s="1808" t="str">
        <f t="shared" si="15"/>
        <v>公共部分装修</v>
      </c>
      <c r="AA36" s="1805">
        <f t="shared" si="3"/>
        <v>1</v>
      </c>
      <c r="AB36" s="1805">
        <f t="shared" si="4"/>
        <v>1</v>
      </c>
      <c r="AC36" s="2671">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92"/>
      <c r="Q37" s="1804" t="str">
        <f t="shared" si="11"/>
        <v>成新度</v>
      </c>
      <c r="R37" s="770" t="s">
        <v>17</v>
      </c>
      <c r="S37" s="771" t="e">
        <f t="shared" si="12"/>
        <v>#N/A</v>
      </c>
      <c r="T37" s="770" t="s">
        <v>17</v>
      </c>
      <c r="U37" s="771" t="e">
        <f t="shared" si="13"/>
        <v>#N/A</v>
      </c>
      <c r="V37" s="770" t="s">
        <v>17</v>
      </c>
      <c r="W37" s="771" t="e">
        <f t="shared" si="14"/>
        <v>#N/A</v>
      </c>
      <c r="X37" s="1807"/>
      <c r="Y37" s="3294"/>
      <c r="Z37" s="1808" t="str">
        <f t="shared" si="15"/>
        <v>成新度</v>
      </c>
      <c r="AA37" s="1805" t="e">
        <f t="shared" si="3"/>
        <v>#N/A</v>
      </c>
      <c r="AB37" s="1805" t="e">
        <f t="shared" si="4"/>
        <v>#N/A</v>
      </c>
      <c r="AC37" s="2671"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92"/>
      <c r="Q38" s="1789" t="str">
        <f t="shared" si="11"/>
        <v>写字楼等级</v>
      </c>
      <c r="R38" s="766" t="s">
        <v>17</v>
      </c>
      <c r="S38" s="767">
        <f t="shared" si="12"/>
        <v>100</v>
      </c>
      <c r="T38" s="766" t="s">
        <v>17</v>
      </c>
      <c r="U38" s="767">
        <f t="shared" si="13"/>
        <v>100</v>
      </c>
      <c r="V38" s="766" t="s">
        <v>17</v>
      </c>
      <c r="W38" s="767">
        <f t="shared" si="14"/>
        <v>100</v>
      </c>
      <c r="X38" s="768"/>
      <c r="Y38" s="3294"/>
      <c r="Z38" s="55" t="str">
        <f t="shared" si="15"/>
        <v>写字楼等级</v>
      </c>
      <c r="AA38" s="769">
        <f t="shared" si="3"/>
        <v>1</v>
      </c>
      <c r="AB38" s="769">
        <f t="shared" si="4"/>
        <v>1</v>
      </c>
      <c r="AC38" s="2668">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92" t="s">
        <v>2557</v>
      </c>
      <c r="Q39" s="1804" t="str">
        <f t="shared" si="11"/>
        <v>物业管理</v>
      </c>
      <c r="R39" s="770" t="s">
        <v>17</v>
      </c>
      <c r="S39" s="771">
        <f t="shared" si="12"/>
        <v>100</v>
      </c>
      <c r="T39" s="770" t="s">
        <v>17</v>
      </c>
      <c r="U39" s="771">
        <f t="shared" si="13"/>
        <v>100</v>
      </c>
      <c r="V39" s="770" t="s">
        <v>17</v>
      </c>
      <c r="W39" s="771">
        <f t="shared" si="14"/>
        <v>100</v>
      </c>
      <c r="X39" s="1807"/>
      <c r="Y39" s="3294" t="s">
        <v>2557</v>
      </c>
      <c r="Z39" s="1808" t="str">
        <f t="shared" si="15"/>
        <v>物业管理</v>
      </c>
      <c r="AA39" s="1805">
        <f t="shared" si="3"/>
        <v>1</v>
      </c>
      <c r="AB39" s="1805">
        <f t="shared" si="4"/>
        <v>1</v>
      </c>
      <c r="AC39" s="2671">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92"/>
      <c r="Q40" s="1804" t="str">
        <f t="shared" si="11"/>
        <v>市政基础设施</v>
      </c>
      <c r="R40" s="770" t="s">
        <v>17</v>
      </c>
      <c r="S40" s="771">
        <f t="shared" si="12"/>
        <v>100</v>
      </c>
      <c r="T40" s="770" t="s">
        <v>17</v>
      </c>
      <c r="U40" s="771">
        <f t="shared" si="13"/>
        <v>100</v>
      </c>
      <c r="V40" s="770" t="s">
        <v>17</v>
      </c>
      <c r="W40" s="771">
        <f t="shared" si="14"/>
        <v>100</v>
      </c>
      <c r="X40" s="1807"/>
      <c r="Y40" s="3294"/>
      <c r="Z40" s="1808" t="str">
        <f t="shared" si="15"/>
        <v>市政基础设施</v>
      </c>
      <c r="AA40" s="1805">
        <f t="shared" si="3"/>
        <v>1</v>
      </c>
      <c r="AB40" s="1805">
        <f t="shared" si="4"/>
        <v>1</v>
      </c>
      <c r="AC40" s="2671">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92"/>
      <c r="Q41" s="1804" t="str">
        <f t="shared" si="11"/>
        <v>层高</v>
      </c>
      <c r="R41" s="770" t="s">
        <v>17</v>
      </c>
      <c r="S41" s="771">
        <f t="shared" si="12"/>
        <v>100</v>
      </c>
      <c r="T41" s="770" t="s">
        <v>17</v>
      </c>
      <c r="U41" s="771">
        <f t="shared" si="13"/>
        <v>100</v>
      </c>
      <c r="V41" s="770" t="s">
        <v>17</v>
      </c>
      <c r="W41" s="771">
        <f t="shared" si="14"/>
        <v>100</v>
      </c>
      <c r="X41" s="1807"/>
      <c r="Y41" s="3294"/>
      <c r="Z41" s="1808" t="str">
        <f t="shared" si="15"/>
        <v>层高</v>
      </c>
      <c r="AA41" s="1805">
        <f t="shared" si="3"/>
        <v>1</v>
      </c>
      <c r="AB41" s="1805">
        <f t="shared" si="4"/>
        <v>1</v>
      </c>
      <c r="AC41" s="2671">
        <f t="shared" si="5"/>
        <v>1</v>
      </c>
    </row>
    <row r="42" spans="1:29" s="471" customFormat="1" ht="15">
      <c r="A42" s="468"/>
      <c r="B42" s="1806"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92"/>
      <c r="Q42" s="772" t="str">
        <f t="shared" si="11"/>
        <v>单套建筑面积</v>
      </c>
      <c r="R42" s="773" t="s">
        <v>17</v>
      </c>
      <c r="S42" s="774">
        <f t="shared" si="12"/>
        <v>100</v>
      </c>
      <c r="T42" s="773" t="s">
        <v>17</v>
      </c>
      <c r="U42" s="774">
        <f t="shared" si="13"/>
        <v>100</v>
      </c>
      <c r="V42" s="773" t="s">
        <v>17</v>
      </c>
      <c r="W42" s="774">
        <f t="shared" si="14"/>
        <v>100</v>
      </c>
      <c r="X42" s="775"/>
      <c r="Y42" s="3294"/>
      <c r="Z42" s="776" t="str">
        <f t="shared" si="15"/>
        <v>单套建筑面积</v>
      </c>
      <c r="AA42" s="1805">
        <f t="shared" si="3"/>
        <v>1</v>
      </c>
      <c r="AB42" s="1805">
        <f t="shared" si="4"/>
        <v>1</v>
      </c>
      <c r="AC42" s="2671">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92"/>
      <c r="Q43" s="1804" t="str">
        <f t="shared" si="11"/>
        <v>内部装修</v>
      </c>
      <c r="R43" s="770" t="s">
        <v>17</v>
      </c>
      <c r="S43" s="771">
        <f t="shared" si="12"/>
        <v>100</v>
      </c>
      <c r="T43" s="770" t="s">
        <v>17</v>
      </c>
      <c r="U43" s="771">
        <f t="shared" si="13"/>
        <v>100</v>
      </c>
      <c r="V43" s="770" t="s">
        <v>17</v>
      </c>
      <c r="W43" s="771">
        <f t="shared" si="14"/>
        <v>100</v>
      </c>
      <c r="X43" s="1807"/>
      <c r="Y43" s="3294"/>
      <c r="Z43" s="1808" t="str">
        <f t="shared" si="15"/>
        <v>内部装修</v>
      </c>
      <c r="AA43" s="1805">
        <f t="shared" si="3"/>
        <v>1</v>
      </c>
      <c r="AB43" s="1805">
        <f t="shared" si="4"/>
        <v>1</v>
      </c>
      <c r="AC43" s="2671">
        <f t="shared" si="5"/>
        <v>1</v>
      </c>
    </row>
    <row r="44" spans="1:29" ht="15">
      <c r="A44" s="472"/>
      <c r="B44" s="422" t="s">
        <v>2568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6"/>
      <c r="M44" s="1127"/>
      <c r="N44" s="1127"/>
      <c r="O44" s="1127"/>
      <c r="P44" s="3292"/>
      <c r="Q44" s="1804" t="str">
        <f t="shared" si="11"/>
        <v>内部装修维护情况</v>
      </c>
      <c r="R44" s="770" t="s">
        <v>17</v>
      </c>
      <c r="S44" s="771">
        <f t="shared" si="12"/>
        <v>100</v>
      </c>
      <c r="T44" s="770" t="s">
        <v>17</v>
      </c>
      <c r="U44" s="771">
        <f t="shared" si="13"/>
        <v>100</v>
      </c>
      <c r="V44" s="770" t="s">
        <v>17</v>
      </c>
      <c r="W44" s="771">
        <f t="shared" si="14"/>
        <v>100</v>
      </c>
      <c r="X44" s="1807"/>
      <c r="Y44" s="3294"/>
      <c r="Z44" s="1808" t="str">
        <f t="shared" si="15"/>
        <v>内部装修维护情况</v>
      </c>
      <c r="AA44" s="1805">
        <f t="shared" si="3"/>
        <v>1</v>
      </c>
      <c r="AB44" s="1805">
        <f t="shared" si="4"/>
        <v>1</v>
      </c>
      <c r="AC44" s="2671">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92"/>
      <c r="Q45" s="1789">
        <f t="shared" si="11"/>
        <v>111</v>
      </c>
      <c r="R45" s="766" t="s">
        <v>17</v>
      </c>
      <c r="S45" s="767">
        <f t="shared" si="12"/>
        <v>100</v>
      </c>
      <c r="T45" s="766" t="s">
        <v>17</v>
      </c>
      <c r="U45" s="767">
        <f t="shared" si="13"/>
        <v>100</v>
      </c>
      <c r="V45" s="766" t="s">
        <v>17</v>
      </c>
      <c r="W45" s="767">
        <f t="shared" si="14"/>
        <v>100</v>
      </c>
      <c r="X45" s="768"/>
      <c r="Y45" s="3294"/>
      <c r="Z45" s="55">
        <f t="shared" si="15"/>
        <v>111</v>
      </c>
      <c r="AA45" s="769">
        <f t="shared" si="3"/>
        <v>1</v>
      </c>
      <c r="AB45" s="769">
        <f t="shared" si="4"/>
        <v>1</v>
      </c>
      <c r="AC45" s="2668">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92"/>
      <c r="Q46" s="1804">
        <f t="shared" si="11"/>
        <v>111</v>
      </c>
      <c r="R46" s="770" t="s">
        <v>17</v>
      </c>
      <c r="S46" s="771">
        <f t="shared" si="12"/>
        <v>100</v>
      </c>
      <c r="T46" s="770" t="s">
        <v>17</v>
      </c>
      <c r="U46" s="771">
        <f t="shared" si="13"/>
        <v>100</v>
      </c>
      <c r="V46" s="770" t="s">
        <v>17</v>
      </c>
      <c r="W46" s="771">
        <f t="shared" si="14"/>
        <v>100</v>
      </c>
      <c r="X46" s="1807"/>
      <c r="Y46" s="3294"/>
      <c r="Z46" s="1808">
        <f t="shared" si="15"/>
        <v>111</v>
      </c>
      <c r="AA46" s="1805">
        <f t="shared" si="3"/>
        <v>1</v>
      </c>
      <c r="AB46" s="1805">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93"/>
      <c r="Q47" s="1804">
        <f t="shared" si="11"/>
        <v>111</v>
      </c>
      <c r="R47" s="770" t="s">
        <v>17</v>
      </c>
      <c r="S47" s="771">
        <f t="shared" si="12"/>
        <v>100</v>
      </c>
      <c r="T47" s="770" t="s">
        <v>17</v>
      </c>
      <c r="U47" s="771">
        <f t="shared" si="13"/>
        <v>100</v>
      </c>
      <c r="V47" s="770" t="s">
        <v>17</v>
      </c>
      <c r="W47" s="771">
        <f t="shared" si="14"/>
        <v>100</v>
      </c>
      <c r="X47" s="1807"/>
      <c r="Y47" s="3295"/>
      <c r="Z47" s="1808">
        <f t="shared" si="15"/>
        <v>111</v>
      </c>
      <c r="AA47" s="1805">
        <f t="shared" si="3"/>
        <v>1</v>
      </c>
      <c r="AB47" s="1805">
        <f t="shared" si="4"/>
        <v>1</v>
      </c>
      <c r="AC47" s="2671">
        <f t="shared" si="5"/>
        <v>1</v>
      </c>
    </row>
    <row r="48" spans="1:29" ht="15">
      <c r="A48" s="479" t="s">
        <v>2569</v>
      </c>
      <c r="B48" s="480"/>
      <c r="C48" s="1401" t="s">
        <v>1</v>
      </c>
      <c r="D48" s="1402"/>
      <c r="E48" s="1403"/>
      <c r="F48" s="1404"/>
      <c r="G48" s="1405"/>
      <c r="H48" s="1406"/>
      <c r="I48" s="1403"/>
      <c r="J48" s="485"/>
      <c r="K48" s="779"/>
      <c r="L48" s="1139"/>
      <c r="M48" s="1127"/>
      <c r="N48" s="1127"/>
      <c r="O48" s="1127"/>
      <c r="P48" s="3298" t="str">
        <f>A48</f>
        <v>成交单价（元/平方米）</v>
      </c>
      <c r="Q48" s="3287"/>
      <c r="R48" s="3288">
        <f>E48</f>
        <v>0</v>
      </c>
      <c r="S48" s="3288"/>
      <c r="T48" s="3288">
        <f>G48</f>
        <v>0</v>
      </c>
      <c r="U48" s="3288"/>
      <c r="V48" s="3288">
        <f>I48</f>
        <v>0</v>
      </c>
      <c r="W48" s="3288"/>
      <c r="X48" s="446"/>
      <c r="Y48" s="777"/>
      <c r="Z48" s="446"/>
      <c r="AA48" s="446"/>
      <c r="AB48" s="446"/>
      <c r="AC48" s="629"/>
    </row>
    <row r="49" spans="1:29" ht="15.75" thickBot="1">
      <c r="A49" s="486" t="s">
        <v>2661</v>
      </c>
      <c r="B49" s="487"/>
      <c r="C49" s="1407" t="e">
        <f>R50</f>
        <v>#DIV/0!</v>
      </c>
      <c r="D49" s="1408"/>
      <c r="E49" s="1409" t="e">
        <f>R49</f>
        <v>#DIV/0!</v>
      </c>
      <c r="F49" s="1409"/>
      <c r="G49" s="1407" t="e">
        <f>T49</f>
        <v>#DIV/0!</v>
      </c>
      <c r="H49" s="1408"/>
      <c r="I49" s="1409" t="e">
        <f>V49</f>
        <v>#DIV/0!</v>
      </c>
      <c r="J49" s="489"/>
      <c r="K49" s="780"/>
      <c r="L49" s="1139"/>
      <c r="M49" s="1127"/>
      <c r="N49" s="1127"/>
      <c r="O49" s="1127"/>
      <c r="P49" s="3298" t="str">
        <f>A49</f>
        <v>比较价值（元/平方米）</v>
      </c>
      <c r="Q49" s="3287"/>
      <c r="R49" s="3288" t="e">
        <f>IF(F1="售价",ROUND(PRODUCT(R48,AA7:AA47),0),ROUND(PRODUCT(R48,AA7:AA47),1))</f>
        <v>#DIV/0!</v>
      </c>
      <c r="S49" s="3288"/>
      <c r="T49" s="3288" t="e">
        <f>IF(F1="售价",ROUND(PRODUCT(T48,AB7:AB47),0),ROUND(PRODUCT(T48,AB7:AB47),1))</f>
        <v>#DIV/0!</v>
      </c>
      <c r="U49" s="3288"/>
      <c r="V49" s="3288" t="e">
        <f>IF(F1="售价",ROUND(PRODUCT(V48,AC7:AC47),0),ROUND(PRODUCT(V48,AC7:AC47),1))</f>
        <v>#DIV/0!</v>
      </c>
      <c r="W49" s="3288"/>
      <c r="X49" s="446"/>
      <c r="Y49" s="446"/>
      <c r="Z49" s="446"/>
      <c r="AA49" s="446"/>
      <c r="AB49" s="446"/>
      <c r="AC49" s="629"/>
    </row>
    <row r="50" spans="1:29" ht="15.75" thickBot="1">
      <c r="A50" s="492" t="s">
        <v>2662</v>
      </c>
      <c r="B50" s="493"/>
      <c r="C50" s="1411" t="e">
        <f>R50</f>
        <v>#DIV/0!</v>
      </c>
      <c r="D50" s="1411"/>
      <c r="E50" s="1411"/>
      <c r="F50" s="1411"/>
      <c r="G50" s="1411"/>
      <c r="H50" s="1411"/>
      <c r="I50" s="1411"/>
      <c r="J50" s="494"/>
      <c r="K50" s="781"/>
      <c r="L50" s="1139"/>
      <c r="M50" s="1127"/>
      <c r="N50" s="1127"/>
      <c r="O50" s="1127"/>
      <c r="P50" s="3332" t="str">
        <f>A50</f>
        <v>估价对象XX用房的比较价值（楼面单价，元/平方米）</v>
      </c>
      <c r="Q50" s="3333"/>
      <c r="R50" s="3334" t="e">
        <f>IF(F1="售价",ROUND(AVERAGE(R49:V49),0),ROUND(AVERAGE(R49:V49),1))</f>
        <v>#DIV/0!</v>
      </c>
      <c r="S50" s="3334"/>
      <c r="T50" s="3334"/>
      <c r="U50" s="3334"/>
      <c r="V50" s="3334"/>
      <c r="W50" s="3334"/>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7"/>
    </row>
    <row r="56" spans="1:29" s="502"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1.75" thickBot="1">
      <c r="A58" s="759" t="s">
        <v>2666</v>
      </c>
      <c r="B58" s="755"/>
      <c r="C58" s="760"/>
      <c r="D58" s="760"/>
      <c r="E58" s="760"/>
      <c r="F58" s="761"/>
      <c r="G58" s="761"/>
      <c r="H58" s="760"/>
      <c r="I58" s="760"/>
      <c r="J58" s="760"/>
      <c r="K58" s="762"/>
      <c r="L58" s="1157"/>
      <c r="M58" s="1155"/>
      <c r="N58" s="1155"/>
      <c r="O58" s="1155"/>
      <c r="P58" s="2678"/>
      <c r="Q58" s="504"/>
    </row>
    <row r="59" spans="1:29" s="508" customFormat="1" ht="15">
      <c r="A59" s="505" t="s">
        <v>2540</v>
      </c>
      <c r="B59" s="506"/>
      <c r="C59" s="1568" t="str">
        <f>YEAR(C7)&amp;"-"&amp;MONTH(C7)</f>
        <v>2019-7</v>
      </c>
      <c r="D59" s="1569">
        <f>EDATE(C59,-1)</f>
        <v>43617</v>
      </c>
      <c r="E59" s="1569">
        <f>EDATE(D59,-1)</f>
        <v>43586</v>
      </c>
      <c r="F59" s="1569">
        <f t="shared" ref="F59:O59" si="16">EDATE(E59,-1)</f>
        <v>43556</v>
      </c>
      <c r="G59" s="1569">
        <f t="shared" si="16"/>
        <v>43525</v>
      </c>
      <c r="H59" s="1569">
        <f t="shared" si="16"/>
        <v>43497</v>
      </c>
      <c r="I59" s="1569">
        <f t="shared" si="16"/>
        <v>43466</v>
      </c>
      <c r="J59" s="1569">
        <f t="shared" si="16"/>
        <v>43435</v>
      </c>
      <c r="K59" s="1569">
        <f t="shared" si="16"/>
        <v>43405</v>
      </c>
      <c r="L59" s="1569">
        <f t="shared" si="16"/>
        <v>43374</v>
      </c>
      <c r="M59" s="1569">
        <f t="shared" si="16"/>
        <v>43344</v>
      </c>
      <c r="N59" s="1569">
        <f t="shared" si="16"/>
        <v>43313</v>
      </c>
      <c r="O59" s="1569">
        <f t="shared" si="16"/>
        <v>43282</v>
      </c>
      <c r="P59" s="1565"/>
    </row>
    <row r="60" spans="1:29" s="117" customFormat="1" ht="15">
      <c r="A60" s="509"/>
      <c r="B60" s="510"/>
      <c r="C60" s="1567">
        <v>100</v>
      </c>
      <c r="D60" s="512"/>
      <c r="E60" s="512"/>
      <c r="F60" s="512"/>
      <c r="G60" s="512"/>
      <c r="H60" s="512"/>
      <c r="I60" s="512"/>
      <c r="J60" s="512"/>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2644</v>
      </c>
      <c r="D62" s="523"/>
      <c r="E62" s="523"/>
      <c r="F62" s="523"/>
      <c r="G62" s="523"/>
      <c r="H62" s="523"/>
      <c r="I62" s="523"/>
      <c r="J62" s="523"/>
      <c r="K62" s="523"/>
      <c r="L62" s="524"/>
      <c r="M62" s="525"/>
      <c r="N62" s="1147"/>
      <c r="O62" s="1147"/>
      <c r="P62" s="2680"/>
      <c r="Q62" s="504"/>
    </row>
    <row r="63" spans="1:29" s="117" customFormat="1" ht="15.75" thickBot="1">
      <c r="A63" s="521"/>
      <c r="B63" s="510"/>
      <c r="C63" s="511">
        <v>100</v>
      </c>
      <c r="D63" s="512"/>
      <c r="E63" s="512"/>
      <c r="F63" s="512"/>
      <c r="G63" s="512"/>
      <c r="H63" s="512"/>
      <c r="I63" s="512"/>
      <c r="J63" s="512"/>
      <c r="K63" s="512"/>
      <c r="L63" s="512"/>
      <c r="M63" s="514"/>
      <c r="N63" s="1147"/>
      <c r="O63" s="1147"/>
      <c r="P63" s="2679"/>
      <c r="Q63" s="504"/>
    </row>
    <row r="64" spans="1:29">
      <c r="A64" s="527" t="s">
        <v>2580</v>
      </c>
      <c r="B64" s="528" t="s">
        <v>2546</v>
      </c>
      <c r="C64" s="529">
        <f>C9</f>
        <v>0</v>
      </c>
      <c r="D64" s="530"/>
      <c r="E64" s="530"/>
      <c r="F64" s="530"/>
      <c r="G64" s="530"/>
      <c r="H64" s="530"/>
      <c r="I64" s="530"/>
      <c r="J64" s="530"/>
      <c r="K64" s="531"/>
      <c r="L64" s="532"/>
      <c r="M64" s="533"/>
      <c r="N64" s="1148"/>
      <c r="O64" s="1148"/>
      <c r="P64" s="2681"/>
      <c r="Q64" s="504"/>
    </row>
    <row r="65" spans="1:17" ht="15.75" thickBot="1">
      <c r="A65" s="534"/>
      <c r="B65" s="535"/>
      <c r="C65" s="536">
        <v>100</v>
      </c>
      <c r="D65" s="536"/>
      <c r="E65" s="536"/>
      <c r="F65" s="536"/>
      <c r="G65" s="536"/>
      <c r="H65" s="536"/>
      <c r="I65" s="536"/>
      <c r="J65" s="536"/>
      <c r="K65" s="536"/>
      <c r="L65" s="536"/>
      <c r="M65" s="537"/>
      <c r="N65" s="1149"/>
      <c r="O65" s="1149"/>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48"/>
      <c r="O66" s="1148"/>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81"/>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1"/>
      <c r="Q68" s="504"/>
    </row>
    <row r="69" spans="1:17" ht="15">
      <c r="A69" s="534"/>
      <c r="B69" s="548"/>
      <c r="C69" s="549"/>
      <c r="D69" s="549"/>
      <c r="E69" s="549"/>
      <c r="F69" s="549"/>
      <c r="G69" s="549"/>
      <c r="H69" s="549"/>
      <c r="I69" s="549"/>
      <c r="J69" s="549"/>
      <c r="K69" s="550"/>
      <c r="L69" s="551"/>
      <c r="M69" s="552"/>
      <c r="N69" s="1148"/>
      <c r="O69" s="1148"/>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81"/>
      <c r="Q70" s="504"/>
    </row>
    <row r="71" spans="1:17" s="471" customFormat="1" ht="15.75" thickTop="1">
      <c r="A71" s="553"/>
      <c r="B71" s="538">
        <f>B12</f>
        <v>111</v>
      </c>
      <c r="C71" s="554"/>
      <c r="D71" s="554"/>
      <c r="E71" s="554"/>
      <c r="F71" s="554"/>
      <c r="G71" s="554"/>
      <c r="H71" s="555"/>
      <c r="I71" s="555"/>
      <c r="J71" s="555"/>
      <c r="K71" s="555"/>
      <c r="L71" s="556"/>
      <c r="M71" s="557"/>
      <c r="N71" s="1150"/>
      <c r="O71" s="1150"/>
      <c r="P71" s="2682"/>
      <c r="Q71" s="559"/>
    </row>
    <row r="72" spans="1:17" s="471" customFormat="1" ht="15.75" thickBot="1">
      <c r="A72" s="553"/>
      <c r="B72" s="543"/>
      <c r="C72" s="560"/>
      <c r="D72" s="536"/>
      <c r="E72" s="536"/>
      <c r="F72" s="536"/>
      <c r="G72" s="536"/>
      <c r="H72" s="536"/>
      <c r="I72" s="536"/>
      <c r="J72" s="536"/>
      <c r="K72" s="536"/>
      <c r="L72" s="536"/>
      <c r="M72" s="537"/>
      <c r="N72" s="1149"/>
      <c r="O72" s="1149"/>
      <c r="P72" s="2682"/>
      <c r="Q72" s="559"/>
    </row>
    <row r="73" spans="1:17" s="471" customFormat="1" ht="15.75" thickTop="1">
      <c r="A73" s="553"/>
      <c r="B73" s="538">
        <f>B13</f>
        <v>111</v>
      </c>
      <c r="C73" s="554"/>
      <c r="D73" s="554"/>
      <c r="E73" s="554"/>
      <c r="F73" s="554"/>
      <c r="G73" s="554"/>
      <c r="H73" s="555"/>
      <c r="I73" s="555"/>
      <c r="J73" s="555"/>
      <c r="K73" s="555"/>
      <c r="L73" s="556"/>
      <c r="M73" s="557"/>
      <c r="N73" s="1150"/>
      <c r="O73" s="1150"/>
      <c r="P73" s="2683"/>
      <c r="Q73" s="561"/>
    </row>
    <row r="74" spans="1:17" s="471" customFormat="1" ht="15.75" thickBot="1">
      <c r="A74" s="553"/>
      <c r="B74" s="543"/>
      <c r="C74" s="560"/>
      <c r="D74" s="560"/>
      <c r="E74" s="560"/>
      <c r="F74" s="560"/>
      <c r="G74" s="560"/>
      <c r="H74" s="562"/>
      <c r="I74" s="562"/>
      <c r="J74" s="562"/>
      <c r="K74" s="562"/>
      <c r="L74" s="562"/>
      <c r="M74" s="563"/>
      <c r="N74" s="1150"/>
      <c r="O74" s="1150"/>
      <c r="P74" s="2682"/>
      <c r="Q74" s="559"/>
    </row>
    <row r="75" spans="1:17" s="471" customFormat="1" ht="15.75" thickTop="1">
      <c r="A75" s="553"/>
      <c r="B75" s="546">
        <f>B14</f>
        <v>111</v>
      </c>
      <c r="C75" s="523"/>
      <c r="D75" s="523"/>
      <c r="E75" s="523"/>
      <c r="F75" s="523"/>
      <c r="G75" s="523"/>
      <c r="H75" s="564"/>
      <c r="I75" s="564"/>
      <c r="J75" s="564"/>
      <c r="K75" s="564"/>
      <c r="L75" s="565"/>
      <c r="M75" s="566"/>
      <c r="N75" s="1150"/>
      <c r="O75" s="1150"/>
      <c r="P75" s="2684"/>
      <c r="Q75" s="559"/>
    </row>
    <row r="76" spans="1:17" s="471" customFormat="1" ht="15.75" thickBot="1">
      <c r="A76" s="568"/>
      <c r="B76" s="569"/>
      <c r="C76" s="570"/>
      <c r="D76" s="570"/>
      <c r="E76" s="570"/>
      <c r="F76" s="570"/>
      <c r="G76" s="570"/>
      <c r="H76" s="571"/>
      <c r="I76" s="571"/>
      <c r="J76" s="571"/>
      <c r="K76" s="571"/>
      <c r="L76" s="571"/>
      <c r="M76" s="572"/>
      <c r="N76" s="1150"/>
      <c r="O76" s="1150"/>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48"/>
      <c r="O77" s="1148"/>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48"/>
      <c r="O79" s="1148"/>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48"/>
      <c r="O81" s="1148"/>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81"/>
      <c r="Q82" s="504"/>
    </row>
    <row r="83" spans="1:17" ht="15.75" thickTop="1">
      <c r="A83" s="534"/>
      <c r="B83" s="546" t="s">
        <v>2681</v>
      </c>
      <c r="C83" s="659" t="s">
        <v>2667</v>
      </c>
      <c r="D83" s="659" t="s">
        <v>2668</v>
      </c>
      <c r="E83" s="659" t="s">
        <v>2669</v>
      </c>
      <c r="F83" s="659" t="s">
        <v>2670</v>
      </c>
      <c r="G83" s="659" t="s">
        <v>2671</v>
      </c>
      <c r="H83" s="539"/>
      <c r="I83" s="539"/>
      <c r="J83" s="539"/>
      <c r="K83" s="539"/>
      <c r="L83" s="539"/>
      <c r="M83" s="1376"/>
      <c r="N83" s="1149"/>
      <c r="O83" s="1149"/>
      <c r="P83" s="268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48"/>
      <c r="O85" s="1148"/>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81"/>
      <c r="Q86" s="504"/>
    </row>
    <row r="87" spans="1:17" s="117" customFormat="1" ht="27.75" thickTop="1">
      <c r="A87" s="579"/>
      <c r="B87" s="538" t="s">
        <v>2691</v>
      </c>
      <c r="C87" s="554"/>
      <c r="D87" s="554"/>
      <c r="E87" s="554"/>
      <c r="F87" s="554"/>
      <c r="G87" s="554"/>
      <c r="H87" s="554"/>
      <c r="I87" s="554"/>
      <c r="J87" s="554"/>
      <c r="K87" s="554"/>
      <c r="L87" s="580"/>
      <c r="M87" s="581"/>
      <c r="N87" s="1147"/>
      <c r="O87" s="1147"/>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81"/>
      <c r="Q88" s="504"/>
    </row>
    <row r="89" spans="1:17" s="117" customFormat="1" ht="15.75" thickTop="1">
      <c r="A89" s="579"/>
      <c r="B89" s="538" t="str">
        <f>B27</f>
        <v>楼层</v>
      </c>
      <c r="C89" s="554"/>
      <c r="D89" s="554"/>
      <c r="E89" s="554"/>
      <c r="F89" s="2632"/>
      <c r="G89" s="554"/>
      <c r="H89" s="554"/>
      <c r="I89" s="554"/>
      <c r="J89" s="554"/>
      <c r="K89" s="554"/>
      <c r="L89" s="554"/>
      <c r="M89" s="581"/>
      <c r="N89" s="1147"/>
      <c r="O89" s="1147"/>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81"/>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2"/>
      <c r="Q92" s="559"/>
    </row>
    <row r="93" spans="1:17" ht="15.75" thickTop="1">
      <c r="A93" s="534"/>
      <c r="B93" s="538">
        <f>B29</f>
        <v>111</v>
      </c>
      <c r="C93" s="554"/>
      <c r="D93" s="554"/>
      <c r="E93" s="554"/>
      <c r="F93" s="554"/>
      <c r="G93" s="554"/>
      <c r="H93" s="554"/>
      <c r="I93" s="554"/>
      <c r="J93" s="554"/>
      <c r="K93" s="554"/>
      <c r="L93" s="580"/>
      <c r="M93" s="581"/>
      <c r="N93" s="1148"/>
      <c r="O93" s="1148"/>
      <c r="P93" s="2681"/>
      <c r="Q93" s="504"/>
    </row>
    <row r="94" spans="1:17" ht="15.75" thickBot="1">
      <c r="A94" s="534"/>
      <c r="B94" s="543"/>
      <c r="C94" s="560"/>
      <c r="D94" s="536"/>
      <c r="E94" s="536"/>
      <c r="F94" s="536"/>
      <c r="G94" s="536"/>
      <c r="H94" s="536"/>
      <c r="I94" s="536"/>
      <c r="J94" s="536"/>
      <c r="K94" s="536"/>
      <c r="L94" s="536"/>
      <c r="M94" s="537"/>
      <c r="N94" s="1149"/>
      <c r="O94" s="1149"/>
      <c r="P94" s="2681"/>
      <c r="Q94" s="504"/>
    </row>
    <row r="95" spans="1:17" ht="15.75" thickTop="1">
      <c r="A95" s="534"/>
      <c r="B95" s="538">
        <f>B30</f>
        <v>111</v>
      </c>
      <c r="C95" s="554"/>
      <c r="D95" s="554"/>
      <c r="E95" s="554"/>
      <c r="F95" s="554"/>
      <c r="G95" s="583"/>
      <c r="H95" s="583"/>
      <c r="I95" s="583"/>
      <c r="J95" s="583"/>
      <c r="K95" s="584"/>
      <c r="L95" s="585"/>
      <c r="M95" s="586"/>
      <c r="N95" s="1148"/>
      <c r="O95" s="1148"/>
      <c r="P95" s="2681"/>
      <c r="Q95" s="504"/>
    </row>
    <row r="96" spans="1:17" ht="15.75" thickBot="1">
      <c r="A96" s="534"/>
      <c r="B96" s="543"/>
      <c r="C96" s="560"/>
      <c r="D96" s="560"/>
      <c r="E96" s="560"/>
      <c r="F96" s="560"/>
      <c r="G96" s="536"/>
      <c r="H96" s="536"/>
      <c r="I96" s="536"/>
      <c r="J96" s="536"/>
      <c r="K96" s="536"/>
      <c r="L96" s="536"/>
      <c r="M96" s="537"/>
      <c r="N96" s="1149"/>
      <c r="O96" s="1149"/>
      <c r="P96" s="2681"/>
      <c r="Q96" s="504"/>
    </row>
    <row r="97" spans="1:17" ht="15.75" thickTop="1">
      <c r="A97" s="534"/>
      <c r="B97" s="538">
        <f>B31</f>
        <v>111</v>
      </c>
      <c r="C97" s="554"/>
      <c r="D97" s="554"/>
      <c r="E97" s="554"/>
      <c r="F97" s="554"/>
      <c r="G97" s="583"/>
      <c r="H97" s="583"/>
      <c r="I97" s="583"/>
      <c r="J97" s="583"/>
      <c r="K97" s="584"/>
      <c r="L97" s="585"/>
      <c r="M97" s="586"/>
      <c r="N97" s="1148"/>
      <c r="O97" s="1148"/>
      <c r="P97" s="2681"/>
      <c r="Q97" s="504"/>
    </row>
    <row r="98" spans="1:17" ht="15.75" thickBot="1">
      <c r="A98" s="534"/>
      <c r="B98" s="543"/>
      <c r="C98" s="560"/>
      <c r="D98" s="536"/>
      <c r="E98" s="536"/>
      <c r="F98" s="536"/>
      <c r="G98" s="536"/>
      <c r="H98" s="536"/>
      <c r="I98" s="536"/>
      <c r="J98" s="536"/>
      <c r="K98" s="536"/>
      <c r="L98" s="536"/>
      <c r="M98" s="537"/>
      <c r="N98" s="1149"/>
      <c r="O98" s="1149"/>
      <c r="P98" s="2681"/>
      <c r="Q98" s="504"/>
    </row>
    <row r="99" spans="1:17" ht="15.75" thickTop="1">
      <c r="A99" s="534"/>
      <c r="B99" s="546">
        <f>B32</f>
        <v>111</v>
      </c>
      <c r="C99" s="523"/>
      <c r="D99" s="523"/>
      <c r="E99" s="523"/>
      <c r="F99" s="523"/>
      <c r="G99" s="587"/>
      <c r="H99" s="587"/>
      <c r="I99" s="587"/>
      <c r="J99" s="587"/>
      <c r="K99" s="588"/>
      <c r="L99" s="589"/>
      <c r="M99" s="590"/>
      <c r="N99" s="1148"/>
      <c r="O99" s="1148"/>
      <c r="P99" s="2681"/>
      <c r="Q99" s="504"/>
    </row>
    <row r="100" spans="1:17" ht="15.75" thickBot="1">
      <c r="A100" s="2633"/>
      <c r="B100" s="569"/>
      <c r="C100" s="570"/>
      <c r="D100" s="570"/>
      <c r="E100" s="570"/>
      <c r="F100" s="570"/>
      <c r="G100" s="591"/>
      <c r="H100" s="591"/>
      <c r="I100" s="591"/>
      <c r="J100" s="591"/>
      <c r="K100" s="591"/>
      <c r="L100" s="591"/>
      <c r="M100" s="592"/>
      <c r="N100" s="1149"/>
      <c r="O100" s="1149"/>
      <c r="P100" s="2681"/>
      <c r="Q100" s="504"/>
    </row>
    <row r="101" spans="1:17">
      <c r="A101" s="527" t="s">
        <v>2555</v>
      </c>
      <c r="B101" s="528" t="s">
        <v>2604</v>
      </c>
      <c r="C101" s="530"/>
      <c r="D101" s="530"/>
      <c r="E101" s="530"/>
      <c r="F101" s="530"/>
      <c r="G101" s="530"/>
      <c r="H101" s="530"/>
      <c r="I101" s="530"/>
      <c r="J101" s="530"/>
      <c r="K101" s="531"/>
      <c r="L101" s="532"/>
      <c r="M101" s="533"/>
      <c r="N101" s="1148"/>
      <c r="O101" s="1148"/>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81"/>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81"/>
      <c r="Q103" s="504"/>
    </row>
    <row r="104" spans="1:17" s="471" customFormat="1">
      <c r="A104" s="593"/>
      <c r="B104" s="594"/>
      <c r="C104" s="595"/>
      <c r="D104" s="595"/>
      <c r="E104" s="595"/>
      <c r="F104" s="595"/>
      <c r="G104" s="595"/>
      <c r="H104" s="595"/>
      <c r="I104" s="595"/>
      <c r="J104" s="596"/>
      <c r="K104" s="596"/>
      <c r="L104" s="597"/>
      <c r="M104" s="598"/>
      <c r="N104" s="1150"/>
      <c r="O104" s="1150"/>
      <c r="P104" s="2682"/>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2"/>
      <c r="Q105" s="559"/>
    </row>
    <row r="106" spans="1:17" ht="15" thickTop="1">
      <c r="A106" s="599"/>
      <c r="B106" s="538" t="s">
        <v>2606</v>
      </c>
      <c r="C106" s="554"/>
      <c r="D106" s="554"/>
      <c r="E106" s="583"/>
      <c r="F106" s="583"/>
      <c r="G106" s="583"/>
      <c r="H106" s="583"/>
      <c r="I106" s="583"/>
      <c r="J106" s="583"/>
      <c r="K106" s="584"/>
      <c r="L106" s="585"/>
      <c r="M106" s="586"/>
      <c r="N106" s="1148"/>
      <c r="O106" s="1148"/>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81"/>
      <c r="Q107" s="504"/>
    </row>
    <row r="108" spans="1:17" ht="15" thickTop="1">
      <c r="A108" s="599"/>
      <c r="B108" s="538" t="s">
        <v>2608</v>
      </c>
      <c r="C108" s="554"/>
      <c r="D108" s="554"/>
      <c r="E108" s="554"/>
      <c r="F108" s="583"/>
      <c r="G108" s="583"/>
      <c r="H108" s="583"/>
      <c r="I108" s="583"/>
      <c r="J108" s="583"/>
      <c r="K108" s="584"/>
      <c r="L108" s="585"/>
      <c r="M108" s="586"/>
      <c r="N108" s="1148"/>
      <c r="O108" s="1148"/>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8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1"/>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81"/>
      <c r="Q112" s="504"/>
    </row>
    <row r="113" spans="1:17" s="471" customFormat="1" ht="15" thickTop="1">
      <c r="A113" s="593"/>
      <c r="B113" s="538" t="s">
        <v>2692</v>
      </c>
      <c r="C113" s="554"/>
      <c r="D113" s="554"/>
      <c r="E113" s="554"/>
      <c r="F113" s="554"/>
      <c r="G113" s="554"/>
      <c r="H113" s="583"/>
      <c r="I113" s="583"/>
      <c r="J113" s="583"/>
      <c r="K113" s="584"/>
      <c r="L113" s="585"/>
      <c r="M113" s="586"/>
      <c r="N113" s="1150"/>
      <c r="O113" s="1150"/>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2"/>
      <c r="Q114" s="559"/>
    </row>
    <row r="115" spans="1:17" ht="15" thickTop="1">
      <c r="A115" s="599"/>
      <c r="B115" s="538" t="s">
        <v>2609</v>
      </c>
      <c r="C115" s="554"/>
      <c r="D115" s="554"/>
      <c r="E115" s="583"/>
      <c r="F115" s="583"/>
      <c r="G115" s="583"/>
      <c r="H115" s="583"/>
      <c r="I115" s="583"/>
      <c r="J115" s="583"/>
      <c r="K115" s="584"/>
      <c r="L115" s="585"/>
      <c r="M115" s="586"/>
      <c r="N115" s="1148"/>
      <c r="O115" s="1148"/>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81"/>
      <c r="Q116" s="504"/>
    </row>
    <row r="117" spans="1:17" ht="15" thickTop="1">
      <c r="A117" s="599"/>
      <c r="B117" s="538" t="s">
        <v>2610</v>
      </c>
      <c r="C117" s="554"/>
      <c r="D117" s="554"/>
      <c r="E117" s="554"/>
      <c r="F117" s="554"/>
      <c r="G117" s="554"/>
      <c r="H117" s="583"/>
      <c r="I117" s="583"/>
      <c r="J117" s="583"/>
      <c r="K117" s="584"/>
      <c r="L117" s="585"/>
      <c r="M117" s="586"/>
      <c r="N117" s="1148"/>
      <c r="O117" s="1148"/>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81"/>
      <c r="Q118" s="504"/>
    </row>
    <row r="119" spans="1:17" ht="15" thickTop="1">
      <c r="A119" s="599"/>
      <c r="B119" s="635" t="s">
        <v>2693</v>
      </c>
      <c r="C119" s="583"/>
      <c r="D119" s="583"/>
      <c r="E119" s="583"/>
      <c r="F119" s="583"/>
      <c r="G119" s="583"/>
      <c r="H119" s="583"/>
      <c r="I119" s="583"/>
      <c r="J119" s="583"/>
      <c r="K119" s="583"/>
      <c r="L119" s="2686"/>
      <c r="M119" s="2687"/>
      <c r="N119" s="1149"/>
      <c r="O119" s="1149"/>
      <c r="P119" s="268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81"/>
      <c r="Q120" s="504"/>
    </row>
    <row r="121" spans="1:17" s="471" customFormat="1" ht="15" thickTop="1">
      <c r="A121" s="593"/>
      <c r="B121" s="538" t="s">
        <v>2676</v>
      </c>
      <c r="C121" s="554"/>
      <c r="D121" s="554"/>
      <c r="E121" s="554"/>
      <c r="F121" s="583"/>
      <c r="G121" s="555"/>
      <c r="H121" s="555"/>
      <c r="I121" s="555"/>
      <c r="J121" s="555"/>
      <c r="K121" s="555"/>
      <c r="L121" s="556"/>
      <c r="M121" s="557"/>
      <c r="N121" s="1150"/>
      <c r="O121" s="1150"/>
      <c r="P121" s="2682"/>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2"/>
      <c r="Q122" s="559"/>
    </row>
    <row r="123" spans="1:17" ht="15" thickTop="1">
      <c r="A123" s="599"/>
      <c r="B123" s="538" t="s">
        <v>2612</v>
      </c>
      <c r="C123" s="554"/>
      <c r="D123" s="554"/>
      <c r="E123" s="554"/>
      <c r="F123" s="583"/>
      <c r="G123" s="583"/>
      <c r="H123" s="583"/>
      <c r="I123" s="583"/>
      <c r="J123" s="583"/>
      <c r="K123" s="584"/>
      <c r="L123" s="585"/>
      <c r="M123" s="586"/>
      <c r="N123" s="1148"/>
      <c r="O123" s="1148"/>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48"/>
      <c r="O125" s="1148"/>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81"/>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2"/>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2"/>
      <c r="Q128" s="559"/>
    </row>
    <row r="129" spans="1:17" ht="15" thickTop="1">
      <c r="A129" s="599"/>
      <c r="B129" s="538">
        <f>B46</f>
        <v>111</v>
      </c>
      <c r="C129" s="554"/>
      <c r="D129" s="554"/>
      <c r="E129" s="554"/>
      <c r="F129" s="554"/>
      <c r="G129" s="583"/>
      <c r="H129" s="583"/>
      <c r="I129" s="583"/>
      <c r="J129" s="583"/>
      <c r="K129" s="584"/>
      <c r="L129" s="585"/>
      <c r="M129" s="586"/>
      <c r="N129" s="1148"/>
      <c r="O129" s="1148"/>
      <c r="P129" s="2681"/>
      <c r="Q129" s="504"/>
    </row>
    <row r="130" spans="1:17" ht="15.75" thickBot="1">
      <c r="A130" s="534"/>
      <c r="B130" s="543"/>
      <c r="C130" s="560"/>
      <c r="D130" s="560"/>
      <c r="E130" s="560"/>
      <c r="F130" s="560"/>
      <c r="G130" s="536"/>
      <c r="H130" s="536"/>
      <c r="I130" s="536"/>
      <c r="J130" s="536"/>
      <c r="K130" s="536"/>
      <c r="L130" s="536"/>
      <c r="M130" s="537"/>
      <c r="N130" s="1149"/>
      <c r="O130" s="1149"/>
      <c r="P130" s="2681"/>
      <c r="Q130" s="504"/>
    </row>
    <row r="131" spans="1:17" ht="15" thickTop="1">
      <c r="A131" s="599"/>
      <c r="B131" s="546">
        <f>B47</f>
        <v>111</v>
      </c>
      <c r="C131" s="523"/>
      <c r="D131" s="523"/>
      <c r="E131" s="523"/>
      <c r="F131" s="523"/>
      <c r="G131" s="587"/>
      <c r="H131" s="587"/>
      <c r="I131" s="587"/>
      <c r="J131" s="587"/>
      <c r="K131" s="523"/>
      <c r="L131" s="524"/>
      <c r="M131" s="590"/>
      <c r="N131" s="1148"/>
      <c r="O131" s="1148"/>
      <c r="P131" s="2681"/>
      <c r="Q131" s="504"/>
    </row>
    <row r="132" spans="1:17" ht="15.75" thickBot="1">
      <c r="A132" s="2633"/>
      <c r="B132" s="569"/>
      <c r="C132" s="570"/>
      <c r="D132" s="570"/>
      <c r="E132" s="570"/>
      <c r="F132" s="570"/>
      <c r="G132" s="591"/>
      <c r="H132" s="591"/>
      <c r="I132" s="591"/>
      <c r="J132" s="591"/>
      <c r="K132" s="591"/>
      <c r="L132" s="591"/>
      <c r="M132" s="592"/>
      <c r="N132" s="1149"/>
      <c r="O132" s="1149"/>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2520</v>
      </c>
      <c r="B1" s="2666" t="s">
        <v>2694</v>
      </c>
      <c r="C1" s="1614" t="s">
        <v>2522</v>
      </c>
      <c r="D1" s="1615"/>
      <c r="E1" s="1624"/>
      <c r="F1" s="2581"/>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2319</v>
      </c>
      <c r="B2" s="1412" t="e">
        <f ca="1">IF(C2="——",ROUND(C43*D3/10000,0),ROUND(C43*D3/10000,0)-D2)</f>
        <v>#DIV/0!</v>
      </c>
      <c r="C2" s="2583"/>
      <c r="D2" s="1120" t="e">
        <f ca="1">SUMIF(INDIRECT("'"&amp;F2&amp;"'"&amp;"!A:A"),"承租人权益价值",INDIRECT("'"&amp;F2&amp;"'"&amp;"!c:c"))</f>
        <v>#REF!</v>
      </c>
      <c r="E2" s="2584" t="s">
        <v>2320</v>
      </c>
      <c r="F2" s="2585"/>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2321</v>
      </c>
      <c r="B3" s="609" t="e">
        <f ca="1">IF(C2="——",C43,ROUND(B2*10000/D3,0))</f>
        <v>#DIV/0!</v>
      </c>
      <c r="C3" s="400" t="s">
        <v>2636</v>
      </c>
      <c r="D3" s="399">
        <f>IF(D1="",'数据-汇总表'!E3,SUMIF('数据-汇总表'!$C19:$C33,D1,'数据-汇总表'!$E19:$E33))</f>
        <v>3497.5499999999993</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2637</v>
      </c>
      <c r="B4" s="402"/>
      <c r="C4" s="3302" t="s">
        <v>2638</v>
      </c>
      <c r="D4" s="3303"/>
      <c r="E4" s="3304" t="s">
        <v>2639</v>
      </c>
      <c r="F4" s="3305"/>
      <c r="G4" s="3302" t="s">
        <v>2640</v>
      </c>
      <c r="H4" s="3303"/>
      <c r="I4" s="3302" t="s">
        <v>2641</v>
      </c>
      <c r="J4" s="3303"/>
      <c r="K4" s="610" t="s">
        <v>2642</v>
      </c>
      <c r="L4" s="1126"/>
      <c r="M4" s="1127"/>
      <c r="N4" s="1127"/>
      <c r="O4" s="1127"/>
      <c r="P4" s="3306" t="s">
        <v>2643</v>
      </c>
      <c r="Q4" s="3307"/>
      <c r="R4" s="3312" t="s">
        <v>2639</v>
      </c>
      <c r="S4" s="3313"/>
      <c r="T4" s="3312" t="s">
        <v>2640</v>
      </c>
      <c r="U4" s="3313"/>
      <c r="V4" s="3318" t="s">
        <v>2641</v>
      </c>
      <c r="W4" s="3318"/>
      <c r="X4" s="1807"/>
      <c r="Y4" s="3312" t="s">
        <v>2643</v>
      </c>
      <c r="Z4" s="3313"/>
      <c r="AA4" s="3299" t="s">
        <v>2639</v>
      </c>
      <c r="AB4" s="3300" t="s">
        <v>2640</v>
      </c>
      <c r="AC4" s="3299" t="s">
        <v>2641</v>
      </c>
    </row>
    <row r="5" spans="1:29" ht="15">
      <c r="A5" s="404"/>
      <c r="B5" s="405"/>
      <c r="C5" s="3321" t="s">
        <v>2534</v>
      </c>
      <c r="D5" s="3322"/>
      <c r="E5" s="3328" t="s">
        <v>2535</v>
      </c>
      <c r="F5" s="3329"/>
      <c r="G5" s="3321" t="s">
        <v>2536</v>
      </c>
      <c r="H5" s="3322"/>
      <c r="I5" s="3321" t="s">
        <v>2537</v>
      </c>
      <c r="J5" s="3322"/>
      <c r="K5" s="610"/>
      <c r="L5" s="1126"/>
      <c r="M5" s="1127"/>
      <c r="N5" s="1127"/>
      <c r="O5" s="1127"/>
      <c r="P5" s="3308"/>
      <c r="Q5" s="3309"/>
      <c r="R5" s="3314"/>
      <c r="S5" s="3315"/>
      <c r="T5" s="3314"/>
      <c r="U5" s="3315"/>
      <c r="V5" s="3318"/>
      <c r="W5" s="3318"/>
      <c r="X5" s="1807"/>
      <c r="Y5" s="3314"/>
      <c r="Z5" s="3315"/>
      <c r="AA5" s="3300"/>
      <c r="AB5" s="3300"/>
      <c r="AC5" s="3300"/>
    </row>
    <row r="6" spans="1:29" ht="15.75" thickBot="1">
      <c r="A6" s="406"/>
      <c r="B6" s="407"/>
      <c r="C6" s="3319" t="s">
        <v>2538</v>
      </c>
      <c r="D6" s="3320"/>
      <c r="E6" s="3326" t="s">
        <v>2538</v>
      </c>
      <c r="F6" s="3327"/>
      <c r="G6" s="3319" t="s">
        <v>2538</v>
      </c>
      <c r="H6" s="3320"/>
      <c r="I6" s="3319" t="s">
        <v>2538</v>
      </c>
      <c r="J6" s="3320"/>
      <c r="K6" s="610" t="s">
        <v>2539</v>
      </c>
      <c r="L6" s="1126"/>
      <c r="M6" s="1127"/>
      <c r="N6" s="1127"/>
      <c r="O6" s="1127"/>
      <c r="P6" s="3310"/>
      <c r="Q6" s="3311"/>
      <c r="R6" s="3314"/>
      <c r="S6" s="3315"/>
      <c r="T6" s="3316"/>
      <c r="U6" s="3317"/>
      <c r="V6" s="3318"/>
      <c r="W6" s="3318"/>
      <c r="X6" s="1807"/>
      <c r="Y6" s="3316"/>
      <c r="Z6" s="3317"/>
      <c r="AA6" s="3301"/>
      <c r="AB6" s="3301"/>
      <c r="AC6" s="3301"/>
    </row>
    <row r="7" spans="1:29" s="117" customFormat="1" ht="15.75" thickBot="1">
      <c r="A7" s="408" t="s">
        <v>2540</v>
      </c>
      <c r="B7" s="409"/>
      <c r="C7" s="410">
        <f>'数据-取费表'!B2</f>
        <v>43670</v>
      </c>
      <c r="D7" s="411">
        <v>100</v>
      </c>
      <c r="E7" s="412"/>
      <c r="F7" s="413">
        <f>SUMIF(52:52,YEAR(E7)&amp;"-"&amp;MONTH(E7),53:53)</f>
        <v>0</v>
      </c>
      <c r="G7" s="412"/>
      <c r="H7" s="411">
        <f>SUMIF(52:52,YEAR(G7)&amp;"-"&amp;MONTH(G7),53:53)</f>
        <v>0</v>
      </c>
      <c r="I7" s="412"/>
      <c r="J7" s="411">
        <f>SUMIF(52:52,YEAR(I7)&amp;"-"&amp;MONTH(I7),53:53)</f>
        <v>0</v>
      </c>
      <c r="K7" s="611"/>
      <c r="L7" s="1128"/>
      <c r="M7" s="1129"/>
      <c r="N7" s="1129"/>
      <c r="O7" s="1129"/>
      <c r="P7" s="3323" t="s">
        <v>2541</v>
      </c>
      <c r="Q7" s="3325"/>
      <c r="R7" s="766" t="s">
        <v>17</v>
      </c>
      <c r="S7" s="767">
        <f t="shared" ref="S7:S15" si="0">F7</f>
        <v>0</v>
      </c>
      <c r="T7" s="766" t="s">
        <v>17</v>
      </c>
      <c r="U7" s="767">
        <f t="shared" ref="U7:U15" si="1">H7</f>
        <v>0</v>
      </c>
      <c r="V7" s="766" t="s">
        <v>17</v>
      </c>
      <c r="W7" s="767">
        <f t="shared" ref="W7:W15" si="2">J7</f>
        <v>0</v>
      </c>
      <c r="X7" s="768"/>
      <c r="Y7" s="3323" t="s">
        <v>2541</v>
      </c>
      <c r="Z7" s="3324"/>
      <c r="AA7" s="769" t="e">
        <f>D7/F7</f>
        <v>#DIV/0!</v>
      </c>
      <c r="AB7" s="769" t="e">
        <f>D7/H7</f>
        <v>#DIV/0!</v>
      </c>
      <c r="AC7" s="769"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323" t="s">
        <v>2544</v>
      </c>
      <c r="Q8" s="3324"/>
      <c r="R8" s="766" t="s">
        <v>17</v>
      </c>
      <c r="S8" s="767">
        <f t="shared" si="0"/>
        <v>0</v>
      </c>
      <c r="T8" s="766" t="s">
        <v>17</v>
      </c>
      <c r="U8" s="767">
        <f t="shared" si="1"/>
        <v>0</v>
      </c>
      <c r="V8" s="766" t="s">
        <v>17</v>
      </c>
      <c r="W8" s="767">
        <f t="shared" si="2"/>
        <v>0</v>
      </c>
      <c r="X8" s="768"/>
      <c r="Y8" s="3323" t="s">
        <v>2544</v>
      </c>
      <c r="Z8" s="3324"/>
      <c r="AA8" s="769" t="e">
        <f t="shared" ref="AA8:AA40" si="3">D8/F8</f>
        <v>#DIV/0!</v>
      </c>
      <c r="AB8" s="769" t="e">
        <f t="shared" ref="AB8:AB40" si="4">D8/H8</f>
        <v>#DIV/0!</v>
      </c>
      <c r="AC8" s="769"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87" t="s">
        <v>2547</v>
      </c>
      <c r="Q9" s="1789" t="str">
        <f t="shared" ref="Q9:Q15" si="6">B9</f>
        <v>用途</v>
      </c>
      <c r="R9" s="766" t="s">
        <v>17</v>
      </c>
      <c r="S9" s="767">
        <f t="shared" si="0"/>
        <v>100</v>
      </c>
      <c r="T9" s="766" t="s">
        <v>17</v>
      </c>
      <c r="U9" s="767">
        <f t="shared" si="1"/>
        <v>100</v>
      </c>
      <c r="V9" s="766" t="s">
        <v>17</v>
      </c>
      <c r="W9" s="767">
        <f t="shared" si="2"/>
        <v>100</v>
      </c>
      <c r="X9" s="768"/>
      <c r="Y9" s="3112" t="s">
        <v>2548</v>
      </c>
      <c r="Z9" s="55" t="str">
        <f t="shared" ref="Z9:Z15" si="7">Q9</f>
        <v>用途</v>
      </c>
      <c r="AA9" s="769">
        <f t="shared" si="3"/>
        <v>1</v>
      </c>
      <c r="AB9" s="769">
        <f t="shared" si="4"/>
        <v>1</v>
      </c>
      <c r="AC9" s="769">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87"/>
      <c r="Q10" s="1789" t="str">
        <f t="shared" si="6"/>
        <v>土地使用年限（年）</v>
      </c>
      <c r="R10" s="766" t="s">
        <v>17</v>
      </c>
      <c r="S10" s="767">
        <f t="shared" si="0"/>
        <v>100</v>
      </c>
      <c r="T10" s="766" t="s">
        <v>17</v>
      </c>
      <c r="U10" s="767">
        <f t="shared" si="1"/>
        <v>100</v>
      </c>
      <c r="V10" s="766" t="s">
        <v>17</v>
      </c>
      <c r="W10" s="767">
        <f t="shared" si="2"/>
        <v>100</v>
      </c>
      <c r="X10" s="768"/>
      <c r="Y10" s="3112"/>
      <c r="Z10" s="55" t="str">
        <f t="shared" si="7"/>
        <v>土地使用年限（年）</v>
      </c>
      <c r="AA10" s="769">
        <f t="shared" si="3"/>
        <v>1</v>
      </c>
      <c r="AB10" s="769">
        <f t="shared" si="4"/>
        <v>1</v>
      </c>
      <c r="AC10" s="769">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87"/>
      <c r="Q11" s="1789" t="str">
        <f t="shared" si="6"/>
        <v>容积率</v>
      </c>
      <c r="R11" s="766" t="s">
        <v>17</v>
      </c>
      <c r="S11" s="767" t="e">
        <f t="shared" si="0"/>
        <v>#N/A</v>
      </c>
      <c r="T11" s="766" t="s">
        <v>17</v>
      </c>
      <c r="U11" s="767" t="e">
        <f t="shared" si="1"/>
        <v>#N/A</v>
      </c>
      <c r="V11" s="766" t="s">
        <v>17</v>
      </c>
      <c r="W11" s="767" t="e">
        <f t="shared" si="2"/>
        <v>#N/A</v>
      </c>
      <c r="X11" s="768"/>
      <c r="Y11" s="3112"/>
      <c r="Z11" s="55" t="str">
        <f t="shared" si="7"/>
        <v>容积率</v>
      </c>
      <c r="AA11" s="769" t="e">
        <f t="shared" si="3"/>
        <v>#N/A</v>
      </c>
      <c r="AB11" s="769" t="e">
        <f t="shared" si="4"/>
        <v>#N/A</v>
      </c>
      <c r="AC11" s="769"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8"/>
      <c r="M12" s="1129"/>
      <c r="N12" s="1129"/>
      <c r="O12" s="1130"/>
      <c r="P12" s="3287"/>
      <c r="Q12" s="1789">
        <f t="shared" si="6"/>
        <v>111</v>
      </c>
      <c r="R12" s="766" t="s">
        <v>17</v>
      </c>
      <c r="S12" s="767">
        <f t="shared" si="0"/>
        <v>100</v>
      </c>
      <c r="T12" s="766" t="s">
        <v>17</v>
      </c>
      <c r="U12" s="767">
        <f t="shared" si="1"/>
        <v>100</v>
      </c>
      <c r="V12" s="766" t="s">
        <v>17</v>
      </c>
      <c r="W12" s="767">
        <f t="shared" si="2"/>
        <v>100</v>
      </c>
      <c r="X12" s="768"/>
      <c r="Y12" s="3112"/>
      <c r="Z12" s="55">
        <f t="shared" si="7"/>
        <v>111</v>
      </c>
      <c r="AA12" s="769">
        <f>D12/F12</f>
        <v>1</v>
      </c>
      <c r="AB12" s="769">
        <f>D12/H12</f>
        <v>1</v>
      </c>
      <c r="AC12" s="769">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6"/>
      <c r="M13" s="1127"/>
      <c r="N13" s="1127"/>
      <c r="O13" s="1135"/>
      <c r="P13" s="3287"/>
      <c r="Q13" s="1789">
        <f t="shared" si="6"/>
        <v>111</v>
      </c>
      <c r="R13" s="766" t="s">
        <v>17</v>
      </c>
      <c r="S13" s="767">
        <f t="shared" si="0"/>
        <v>100</v>
      </c>
      <c r="T13" s="766" t="s">
        <v>17</v>
      </c>
      <c r="U13" s="767">
        <f t="shared" si="1"/>
        <v>100</v>
      </c>
      <c r="V13" s="766" t="s">
        <v>17</v>
      </c>
      <c r="W13" s="767">
        <f t="shared" si="2"/>
        <v>100</v>
      </c>
      <c r="X13" s="768"/>
      <c r="Y13" s="3112"/>
      <c r="Z13" s="55">
        <f t="shared" si="7"/>
        <v>111</v>
      </c>
      <c r="AA13" s="769">
        <f t="shared" si="3"/>
        <v>1</v>
      </c>
      <c r="AB13" s="769">
        <f t="shared" si="4"/>
        <v>1</v>
      </c>
      <c r="AC13" s="769">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6"/>
      <c r="M14" s="1127"/>
      <c r="N14" s="1127"/>
      <c r="O14" s="1135"/>
      <c r="P14" s="3287"/>
      <c r="Q14" s="1789">
        <f t="shared" si="6"/>
        <v>111</v>
      </c>
      <c r="R14" s="766" t="s">
        <v>17</v>
      </c>
      <c r="S14" s="767">
        <f t="shared" si="0"/>
        <v>100</v>
      </c>
      <c r="T14" s="766" t="s">
        <v>17</v>
      </c>
      <c r="U14" s="767">
        <f t="shared" si="1"/>
        <v>100</v>
      </c>
      <c r="V14" s="766" t="s">
        <v>17</v>
      </c>
      <c r="W14" s="767">
        <f t="shared" si="2"/>
        <v>100</v>
      </c>
      <c r="X14" s="768"/>
      <c r="Y14" s="3112"/>
      <c r="Z14" s="55">
        <f t="shared" si="7"/>
        <v>111</v>
      </c>
      <c r="AA14" s="769">
        <f t="shared" si="3"/>
        <v>1</v>
      </c>
      <c r="AB14" s="769">
        <f t="shared" si="4"/>
        <v>1</v>
      </c>
      <c r="AC14" s="769">
        <f t="shared" si="5"/>
        <v>1</v>
      </c>
    </row>
    <row r="15" spans="1:29" ht="15">
      <c r="A15" s="440" t="s">
        <v>2551</v>
      </c>
      <c r="B15" s="69" t="s">
        <v>2695</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89" t="s">
        <v>2552</v>
      </c>
      <c r="Q15" s="1804" t="str">
        <f t="shared" si="6"/>
        <v>产业集聚程度</v>
      </c>
      <c r="R15" s="770" t="s">
        <v>17</v>
      </c>
      <c r="S15" s="771">
        <f t="shared" si="0"/>
        <v>100</v>
      </c>
      <c r="T15" s="770" t="s">
        <v>17</v>
      </c>
      <c r="U15" s="771">
        <f t="shared" si="1"/>
        <v>100</v>
      </c>
      <c r="V15" s="770" t="s">
        <v>17</v>
      </c>
      <c r="W15" s="771">
        <f t="shared" si="2"/>
        <v>100</v>
      </c>
      <c r="X15" s="1807"/>
      <c r="Y15" s="3289" t="s">
        <v>2552</v>
      </c>
      <c r="Z15" s="1808" t="str">
        <f t="shared" si="7"/>
        <v>产业集聚程度</v>
      </c>
      <c r="AA15" s="1805">
        <f t="shared" si="3"/>
        <v>1</v>
      </c>
      <c r="AB15" s="1805">
        <f t="shared" si="4"/>
        <v>1</v>
      </c>
      <c r="AC15" s="1805">
        <f t="shared" si="5"/>
        <v>1</v>
      </c>
    </row>
    <row r="16" spans="1:29" ht="15">
      <c r="A16" s="428"/>
      <c r="B16" s="446"/>
      <c r="C16" s="447"/>
      <c r="D16" s="448"/>
      <c r="E16" s="447"/>
      <c r="F16" s="449"/>
      <c r="G16" s="447"/>
      <c r="H16" s="450"/>
      <c r="I16" s="447"/>
      <c r="J16" s="448"/>
      <c r="K16" s="615"/>
      <c r="L16" s="1136"/>
      <c r="M16" s="1127"/>
      <c r="N16" s="1127"/>
      <c r="O16" s="1135"/>
      <c r="P16" s="3290"/>
      <c r="Q16" s="1804"/>
      <c r="R16" s="770"/>
      <c r="S16" s="771"/>
      <c r="T16" s="770"/>
      <c r="U16" s="771"/>
      <c r="V16" s="770"/>
      <c r="W16" s="771"/>
      <c r="X16" s="1807"/>
      <c r="Y16" s="3290"/>
      <c r="Z16" s="1808"/>
      <c r="AA16" s="1805">
        <v>1</v>
      </c>
      <c r="AB16" s="1805">
        <v>1</v>
      </c>
      <c r="AC16" s="1805">
        <v>1</v>
      </c>
    </row>
    <row r="17" spans="1:29" ht="15">
      <c r="A17" s="428"/>
      <c r="B17" s="451" t="s">
        <v>2091</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90"/>
      <c r="Q17" s="1804" t="str">
        <f>B17</f>
        <v>交通便捷度</v>
      </c>
      <c r="R17" s="770" t="s">
        <v>17</v>
      </c>
      <c r="S17" s="771">
        <f>F17</f>
        <v>100</v>
      </c>
      <c r="T17" s="770" t="s">
        <v>17</v>
      </c>
      <c r="U17" s="771">
        <f>H17</f>
        <v>100</v>
      </c>
      <c r="V17" s="770" t="s">
        <v>17</v>
      </c>
      <c r="W17" s="771">
        <f>J17</f>
        <v>100</v>
      </c>
      <c r="X17" s="1807"/>
      <c r="Y17" s="3290"/>
      <c r="Z17" s="1808" t="str">
        <f>Q17</f>
        <v>交通便捷度</v>
      </c>
      <c r="AA17" s="1805">
        <f t="shared" si="3"/>
        <v>1</v>
      </c>
      <c r="AB17" s="1805">
        <f t="shared" si="4"/>
        <v>1</v>
      </c>
      <c r="AC17" s="1805">
        <f t="shared" si="5"/>
        <v>1</v>
      </c>
    </row>
    <row r="18" spans="1:29" ht="15">
      <c r="A18" s="428"/>
      <c r="B18" s="456"/>
      <c r="C18" s="2605"/>
      <c r="D18" s="450"/>
      <c r="E18" s="2607"/>
      <c r="F18" s="453"/>
      <c r="G18" s="2606"/>
      <c r="H18" s="448"/>
      <c r="I18" s="2607"/>
      <c r="J18" s="448"/>
      <c r="K18" s="615"/>
      <c r="L18" s="1136"/>
      <c r="M18" s="1127"/>
      <c r="N18" s="1127"/>
      <c r="O18" s="1135"/>
      <c r="P18" s="3290"/>
      <c r="Q18" s="1804"/>
      <c r="R18" s="770"/>
      <c r="S18" s="771"/>
      <c r="T18" s="770"/>
      <c r="U18" s="771"/>
      <c r="V18" s="770"/>
      <c r="W18" s="771"/>
      <c r="X18" s="1807"/>
      <c r="Y18" s="3290"/>
      <c r="Z18" s="1808"/>
      <c r="AA18" s="1805">
        <v>1</v>
      </c>
      <c r="AB18" s="1805">
        <v>1</v>
      </c>
      <c r="AC18" s="1805">
        <v>1</v>
      </c>
    </row>
    <row r="19" spans="1:29" ht="15">
      <c r="A19" s="428"/>
      <c r="B19" s="451" t="s">
        <v>2680</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90"/>
      <c r="Q19" s="1804" t="str">
        <f>B19</f>
        <v>公共配套设施</v>
      </c>
      <c r="R19" s="770" t="s">
        <v>17</v>
      </c>
      <c r="S19" s="771">
        <f>F19</f>
        <v>100</v>
      </c>
      <c r="T19" s="770" t="s">
        <v>17</v>
      </c>
      <c r="U19" s="771">
        <f>H19</f>
        <v>100</v>
      </c>
      <c r="V19" s="770" t="s">
        <v>17</v>
      </c>
      <c r="W19" s="771">
        <f>J19</f>
        <v>100</v>
      </c>
      <c r="X19" s="1807"/>
      <c r="Y19" s="3290"/>
      <c r="Z19" s="1808" t="str">
        <f>Q19</f>
        <v>公共配套设施</v>
      </c>
      <c r="AA19" s="1805">
        <f t="shared" si="3"/>
        <v>1</v>
      </c>
      <c r="AB19" s="1805">
        <f t="shared" si="4"/>
        <v>1</v>
      </c>
      <c r="AC19" s="1805">
        <f t="shared" si="5"/>
        <v>1</v>
      </c>
    </row>
    <row r="20" spans="1:29" ht="15">
      <c r="A20" s="428"/>
      <c r="B20" s="456"/>
      <c r="C20" s="447"/>
      <c r="D20" s="448"/>
      <c r="E20" s="2602"/>
      <c r="F20" s="449"/>
      <c r="G20" s="2601"/>
      <c r="H20" s="448"/>
      <c r="I20" s="2602"/>
      <c r="J20" s="448"/>
      <c r="K20" s="615"/>
      <c r="L20" s="1136"/>
      <c r="M20" s="1127"/>
      <c r="N20" s="1127"/>
      <c r="O20" s="1135"/>
      <c r="P20" s="3290"/>
      <c r="Q20" s="1804"/>
      <c r="R20" s="770"/>
      <c r="S20" s="771"/>
      <c r="T20" s="770"/>
      <c r="U20" s="771"/>
      <c r="V20" s="770"/>
      <c r="W20" s="771"/>
      <c r="X20" s="1807"/>
      <c r="Y20" s="3290"/>
      <c r="Z20" s="1808"/>
      <c r="AA20" s="1805">
        <v>1</v>
      </c>
      <c r="AB20" s="1805">
        <v>1</v>
      </c>
      <c r="AC20" s="1805">
        <v>1</v>
      </c>
    </row>
    <row r="21" spans="1:29" ht="15">
      <c r="A21" s="428"/>
      <c r="B21" s="1378" t="s">
        <v>2681</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90"/>
      <c r="Q21" s="1804" t="str">
        <f>B21</f>
        <v>基础设施水平</v>
      </c>
      <c r="R21" s="770" t="s">
        <v>17</v>
      </c>
      <c r="S21" s="771">
        <f>F21</f>
        <v>100</v>
      </c>
      <c r="T21" s="770" t="s">
        <v>17</v>
      </c>
      <c r="U21" s="771">
        <f>H21</f>
        <v>100</v>
      </c>
      <c r="V21" s="770" t="s">
        <v>17</v>
      </c>
      <c r="W21" s="771">
        <f>J21</f>
        <v>100</v>
      </c>
      <c r="X21" s="1807"/>
      <c r="Y21" s="3290"/>
      <c r="Z21" s="1808" t="str">
        <f>Q21</f>
        <v>基础设施水平</v>
      </c>
      <c r="AA21" s="1805">
        <f t="shared" ref="AA21" si="8">D21/F21</f>
        <v>1</v>
      </c>
      <c r="AB21" s="1805">
        <f t="shared" ref="AB21" si="9">D21/H21</f>
        <v>1</v>
      </c>
      <c r="AC21" s="1805">
        <f t="shared" ref="AC21" si="10">D21/J21</f>
        <v>1</v>
      </c>
    </row>
    <row r="22" spans="1:29" ht="15">
      <c r="A22" s="428"/>
      <c r="B22" s="1378"/>
      <c r="C22" s="2605"/>
      <c r="D22" s="448"/>
      <c r="E22" s="447"/>
      <c r="F22" s="449"/>
      <c r="G22" s="447"/>
      <c r="H22" s="448"/>
      <c r="I22" s="447"/>
      <c r="J22" s="448"/>
      <c r="K22" s="1377"/>
      <c r="L22" s="1136"/>
      <c r="M22" s="1127"/>
      <c r="N22" s="1127"/>
      <c r="O22" s="1135"/>
      <c r="P22" s="3290"/>
      <c r="Q22" s="1804"/>
      <c r="R22" s="770"/>
      <c r="S22" s="771"/>
      <c r="T22" s="770"/>
      <c r="U22" s="771"/>
      <c r="V22" s="770"/>
      <c r="W22" s="771"/>
      <c r="X22" s="1807"/>
      <c r="Y22" s="3290"/>
      <c r="Z22" s="1808"/>
      <c r="AA22" s="1805">
        <v>1</v>
      </c>
      <c r="AB22" s="1805">
        <v>1</v>
      </c>
      <c r="AC22" s="1805">
        <v>1</v>
      </c>
    </row>
    <row r="23" spans="1:29" ht="15">
      <c r="A23" s="428"/>
      <c r="B23" s="451" t="s">
        <v>2682</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90"/>
      <c r="Q23" s="1804" t="str">
        <f>B23</f>
        <v>环境质量</v>
      </c>
      <c r="R23" s="770" t="s">
        <v>17</v>
      </c>
      <c r="S23" s="771">
        <f>F23</f>
        <v>100</v>
      </c>
      <c r="T23" s="770" t="s">
        <v>17</v>
      </c>
      <c r="U23" s="771">
        <f>H23</f>
        <v>100</v>
      </c>
      <c r="V23" s="770" t="s">
        <v>17</v>
      </c>
      <c r="W23" s="771">
        <f>J23</f>
        <v>100</v>
      </c>
      <c r="X23" s="1807"/>
      <c r="Y23" s="3290"/>
      <c r="Z23" s="1808" t="str">
        <f>Q23</f>
        <v>环境质量</v>
      </c>
      <c r="AA23" s="1805">
        <f t="shared" si="3"/>
        <v>1</v>
      </c>
      <c r="AB23" s="1805">
        <f t="shared" si="4"/>
        <v>1</v>
      </c>
      <c r="AC23" s="1805">
        <f t="shared" si="5"/>
        <v>1</v>
      </c>
    </row>
    <row r="24" spans="1:29" ht="15">
      <c r="A24" s="428"/>
      <c r="B24" s="1378"/>
      <c r="C24" s="447"/>
      <c r="D24" s="448"/>
      <c r="E24" s="2602"/>
      <c r="F24" s="449"/>
      <c r="G24" s="2601"/>
      <c r="H24" s="448"/>
      <c r="I24" s="2602"/>
      <c r="J24" s="448"/>
      <c r="K24" s="615"/>
      <c r="L24" s="1136"/>
      <c r="M24" s="1127"/>
      <c r="N24" s="1127"/>
      <c r="O24" s="1135"/>
      <c r="P24" s="3290"/>
      <c r="Q24" s="1804"/>
      <c r="R24" s="770"/>
      <c r="S24" s="771"/>
      <c r="T24" s="770"/>
      <c r="U24" s="771"/>
      <c r="V24" s="770"/>
      <c r="W24" s="771"/>
      <c r="X24" s="1807"/>
      <c r="Y24" s="3290"/>
      <c r="Z24" s="1808"/>
      <c r="AA24" s="1805">
        <v>1</v>
      </c>
      <c r="AB24" s="1805">
        <v>1</v>
      </c>
      <c r="AC24" s="1805">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90"/>
      <c r="Q25" s="1804">
        <f>B25</f>
        <v>111</v>
      </c>
      <c r="R25" s="770" t="s">
        <v>17</v>
      </c>
      <c r="S25" s="771">
        <f>F25</f>
        <v>100</v>
      </c>
      <c r="T25" s="770" t="s">
        <v>17</v>
      </c>
      <c r="U25" s="771">
        <f>H25</f>
        <v>100</v>
      </c>
      <c r="V25" s="770" t="s">
        <v>17</v>
      </c>
      <c r="W25" s="771">
        <f>J25</f>
        <v>100</v>
      </c>
      <c r="X25" s="1807"/>
      <c r="Y25" s="3290"/>
      <c r="Z25" s="1808">
        <f>Q25</f>
        <v>111</v>
      </c>
      <c r="AA25" s="1805">
        <f t="shared" si="3"/>
        <v>1</v>
      </c>
      <c r="AB25" s="1805">
        <f t="shared" si="4"/>
        <v>1</v>
      </c>
      <c r="AC25" s="1805">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90"/>
      <c r="Q26" s="1804">
        <f t="shared" ref="Q26:Q40" si="11">B26</f>
        <v>111</v>
      </c>
      <c r="R26" s="770" t="s">
        <v>17</v>
      </c>
      <c r="S26" s="771">
        <f>F26</f>
        <v>100</v>
      </c>
      <c r="T26" s="770" t="s">
        <v>17</v>
      </c>
      <c r="U26" s="771">
        <f>H26</f>
        <v>100</v>
      </c>
      <c r="V26" s="770" t="s">
        <v>17</v>
      </c>
      <c r="W26" s="771">
        <f>J26</f>
        <v>100</v>
      </c>
      <c r="X26" s="1807"/>
      <c r="Y26" s="3290"/>
      <c r="Z26" s="1808">
        <f>Q26</f>
        <v>111</v>
      </c>
      <c r="AA26" s="1805">
        <f t="shared" si="3"/>
        <v>1</v>
      </c>
      <c r="AB26" s="1805">
        <f t="shared" si="4"/>
        <v>1</v>
      </c>
      <c r="AC26" s="1805">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90"/>
      <c r="Q27" s="1789">
        <f t="shared" si="11"/>
        <v>111</v>
      </c>
      <c r="R27" s="766" t="s">
        <v>17</v>
      </c>
      <c r="S27" s="767">
        <f>F27</f>
        <v>100</v>
      </c>
      <c r="T27" s="766" t="s">
        <v>17</v>
      </c>
      <c r="U27" s="767">
        <f>H27</f>
        <v>100</v>
      </c>
      <c r="V27" s="766" t="s">
        <v>17</v>
      </c>
      <c r="W27" s="767">
        <f>J27</f>
        <v>100</v>
      </c>
      <c r="X27" s="768"/>
      <c r="Y27" s="3290"/>
      <c r="Z27" s="55">
        <f>Q27</f>
        <v>111</v>
      </c>
      <c r="AA27" s="1805">
        <f>D27/F27</f>
        <v>1</v>
      </c>
      <c r="AB27" s="1805">
        <f>D27/H27</f>
        <v>1</v>
      </c>
      <c r="AC27" s="1805">
        <f>D27/J27</f>
        <v>1</v>
      </c>
    </row>
    <row r="28" spans="1:29" ht="15.75"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90"/>
      <c r="Q28" s="1804">
        <f t="shared" si="11"/>
        <v>111</v>
      </c>
      <c r="R28" s="770" t="s">
        <v>17</v>
      </c>
      <c r="S28" s="771">
        <f t="shared" ref="S28:S40" si="12">F28</f>
        <v>100</v>
      </c>
      <c r="T28" s="770" t="s">
        <v>17</v>
      </c>
      <c r="U28" s="771">
        <f t="shared" ref="U28:U40" si="13">H28</f>
        <v>100</v>
      </c>
      <c r="V28" s="770" t="s">
        <v>17</v>
      </c>
      <c r="W28" s="771">
        <f t="shared" ref="W28:W40" si="14">J28</f>
        <v>100</v>
      </c>
      <c r="X28" s="1807"/>
      <c r="Y28" s="3290"/>
      <c r="Z28" s="1808">
        <f t="shared" ref="Z28:Z40" si="15">Q28</f>
        <v>111</v>
      </c>
      <c r="AA28" s="1805">
        <f t="shared" si="3"/>
        <v>1</v>
      </c>
      <c r="AB28" s="1805">
        <f t="shared" si="4"/>
        <v>1</v>
      </c>
      <c r="AC28" s="1805">
        <f t="shared" si="5"/>
        <v>1</v>
      </c>
    </row>
    <row r="29" spans="1:29" ht="28.5">
      <c r="A29" s="466" t="s">
        <v>2555</v>
      </c>
      <c r="B29" s="71" t="s">
        <v>2685</v>
      </c>
      <c r="C29" s="2676"/>
      <c r="D29" s="467">
        <v>100</v>
      </c>
      <c r="E29" s="2676"/>
      <c r="F29" s="461">
        <f>SUMIF(88:88,E29,89:89)-SUMIF(88:88,C29,89:89)+100</f>
        <v>100</v>
      </c>
      <c r="G29" s="2676"/>
      <c r="H29" s="435">
        <f>SUMIF(88:88,G29,89:89)-SUMIF(88:88,C29,89:89)+100</f>
        <v>100</v>
      </c>
      <c r="I29" s="2676"/>
      <c r="J29" s="467">
        <f>SUMIF(88:88,I29,89:89)-SUMIF(88:88,C29,89:89)+100</f>
        <v>100</v>
      </c>
      <c r="K29" s="612"/>
      <c r="L29" s="1136"/>
      <c r="M29" s="1127"/>
      <c r="N29" s="1127"/>
      <c r="O29" s="1135"/>
      <c r="P29" s="3347" t="s">
        <v>2557</v>
      </c>
      <c r="Q29" s="1804" t="str">
        <f t="shared" si="11"/>
        <v>建筑类型</v>
      </c>
      <c r="R29" s="770" t="s">
        <v>17</v>
      </c>
      <c r="S29" s="771">
        <f t="shared" si="12"/>
        <v>100</v>
      </c>
      <c r="T29" s="770" t="s">
        <v>17</v>
      </c>
      <c r="U29" s="771">
        <f t="shared" si="13"/>
        <v>100</v>
      </c>
      <c r="V29" s="770" t="s">
        <v>17</v>
      </c>
      <c r="W29" s="771">
        <f t="shared" si="14"/>
        <v>100</v>
      </c>
      <c r="X29" s="1807"/>
      <c r="Y29" s="3294" t="s">
        <v>2557</v>
      </c>
      <c r="Z29" s="1808" t="str">
        <f t="shared" si="15"/>
        <v>建筑类型</v>
      </c>
      <c r="AA29" s="1805">
        <f t="shared" si="3"/>
        <v>1</v>
      </c>
      <c r="AB29" s="1805">
        <f t="shared" si="4"/>
        <v>1</v>
      </c>
      <c r="AC29" s="1805">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94"/>
      <c r="Q30" s="772" t="str">
        <f t="shared" si="11"/>
        <v>项目建筑规模</v>
      </c>
      <c r="R30" s="773" t="s">
        <v>17</v>
      </c>
      <c r="S30" s="774" t="e">
        <f t="shared" si="12"/>
        <v>#N/A</v>
      </c>
      <c r="T30" s="773" t="s">
        <v>17</v>
      </c>
      <c r="U30" s="774" t="e">
        <f t="shared" si="13"/>
        <v>#N/A</v>
      </c>
      <c r="V30" s="773" t="s">
        <v>17</v>
      </c>
      <c r="W30" s="774" t="e">
        <f t="shared" si="14"/>
        <v>#N/A</v>
      </c>
      <c r="X30" s="775"/>
      <c r="Y30" s="3294"/>
      <c r="Z30" s="776" t="str">
        <f t="shared" si="15"/>
        <v>项目建筑规模</v>
      </c>
      <c r="AA30" s="1805" t="e">
        <f t="shared" si="3"/>
        <v>#N/A</v>
      </c>
      <c r="AB30" s="1805" t="e">
        <f t="shared" si="4"/>
        <v>#N/A</v>
      </c>
      <c r="AC30" s="1805"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94"/>
      <c r="Q31" s="1804" t="str">
        <f t="shared" si="11"/>
        <v>建筑结构</v>
      </c>
      <c r="R31" s="770" t="s">
        <v>17</v>
      </c>
      <c r="S31" s="771">
        <f t="shared" si="12"/>
        <v>100</v>
      </c>
      <c r="T31" s="770" t="s">
        <v>17</v>
      </c>
      <c r="U31" s="771">
        <f t="shared" si="13"/>
        <v>100</v>
      </c>
      <c r="V31" s="770" t="s">
        <v>17</v>
      </c>
      <c r="W31" s="771">
        <f t="shared" si="14"/>
        <v>100</v>
      </c>
      <c r="X31" s="1807"/>
      <c r="Y31" s="3294"/>
      <c r="Z31" s="1808" t="str">
        <f t="shared" si="15"/>
        <v>建筑结构</v>
      </c>
      <c r="AA31" s="1805">
        <f t="shared" si="3"/>
        <v>1</v>
      </c>
      <c r="AB31" s="1805">
        <f t="shared" si="4"/>
        <v>1</v>
      </c>
      <c r="AC31" s="1805">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94"/>
      <c r="Q32" s="1804" t="str">
        <f t="shared" si="11"/>
        <v>公共部分装修</v>
      </c>
      <c r="R32" s="770" t="s">
        <v>17</v>
      </c>
      <c r="S32" s="771">
        <f t="shared" si="12"/>
        <v>100</v>
      </c>
      <c r="T32" s="770" t="s">
        <v>17</v>
      </c>
      <c r="U32" s="771">
        <f t="shared" si="13"/>
        <v>100</v>
      </c>
      <c r="V32" s="770" t="s">
        <v>17</v>
      </c>
      <c r="W32" s="771">
        <f t="shared" si="14"/>
        <v>100</v>
      </c>
      <c r="X32" s="1807"/>
      <c r="Y32" s="3294"/>
      <c r="Z32" s="1808" t="str">
        <f t="shared" si="15"/>
        <v>公共部分装修</v>
      </c>
      <c r="AA32" s="1805">
        <f t="shared" si="3"/>
        <v>1</v>
      </c>
      <c r="AB32" s="1805">
        <f t="shared" si="4"/>
        <v>1</v>
      </c>
      <c r="AC32" s="1805">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94"/>
      <c r="Q33" s="1804" t="str">
        <f t="shared" si="11"/>
        <v>成新度</v>
      </c>
      <c r="R33" s="770" t="s">
        <v>17</v>
      </c>
      <c r="S33" s="771" t="e">
        <f t="shared" si="12"/>
        <v>#N/A</v>
      </c>
      <c r="T33" s="770" t="s">
        <v>17</v>
      </c>
      <c r="U33" s="771" t="e">
        <f t="shared" si="13"/>
        <v>#N/A</v>
      </c>
      <c r="V33" s="770" t="s">
        <v>17</v>
      </c>
      <c r="W33" s="771" t="e">
        <f t="shared" si="14"/>
        <v>#N/A</v>
      </c>
      <c r="X33" s="1807"/>
      <c r="Y33" s="3294"/>
      <c r="Z33" s="1808" t="str">
        <f t="shared" si="15"/>
        <v>成新度</v>
      </c>
      <c r="AA33" s="1805" t="e">
        <f t="shared" si="3"/>
        <v>#N/A</v>
      </c>
      <c r="AB33" s="1805" t="e">
        <f t="shared" si="4"/>
        <v>#N/A</v>
      </c>
      <c r="AC33" s="1805"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94"/>
      <c r="Q34" s="1789" t="str">
        <f t="shared" si="11"/>
        <v>物业管理</v>
      </c>
      <c r="R34" s="766" t="s">
        <v>17</v>
      </c>
      <c r="S34" s="767">
        <f t="shared" si="12"/>
        <v>100</v>
      </c>
      <c r="T34" s="766" t="s">
        <v>17</v>
      </c>
      <c r="U34" s="767">
        <f t="shared" si="13"/>
        <v>100</v>
      </c>
      <c r="V34" s="766" t="s">
        <v>17</v>
      </c>
      <c r="W34" s="767">
        <f t="shared" si="14"/>
        <v>100</v>
      </c>
      <c r="X34" s="768"/>
      <c r="Y34" s="3294"/>
      <c r="Z34" s="55" t="str">
        <f t="shared" si="15"/>
        <v>物业管理</v>
      </c>
      <c r="AA34" s="769">
        <f t="shared" si="3"/>
        <v>1</v>
      </c>
      <c r="AB34" s="769">
        <f t="shared" si="4"/>
        <v>1</v>
      </c>
      <c r="AC34" s="769">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94" t="s">
        <v>2557</v>
      </c>
      <c r="Q35" s="1804" t="str">
        <f t="shared" si="11"/>
        <v>市政基础设施</v>
      </c>
      <c r="R35" s="770" t="s">
        <v>17</v>
      </c>
      <c r="S35" s="771">
        <f t="shared" si="12"/>
        <v>100</v>
      </c>
      <c r="T35" s="770" t="s">
        <v>17</v>
      </c>
      <c r="U35" s="771">
        <f t="shared" si="13"/>
        <v>100</v>
      </c>
      <c r="V35" s="770" t="s">
        <v>17</v>
      </c>
      <c r="W35" s="771">
        <f t="shared" si="14"/>
        <v>100</v>
      </c>
      <c r="X35" s="1807"/>
      <c r="Y35" s="3294" t="s">
        <v>2557</v>
      </c>
      <c r="Z35" s="1808" t="str">
        <f t="shared" si="15"/>
        <v>市政基础设施</v>
      </c>
      <c r="AA35" s="1805">
        <f t="shared" si="3"/>
        <v>1</v>
      </c>
      <c r="AB35" s="1805">
        <f t="shared" si="4"/>
        <v>1</v>
      </c>
      <c r="AC35" s="1805">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94"/>
      <c r="Q36" s="1804" t="str">
        <f t="shared" si="11"/>
        <v>内部装修</v>
      </c>
      <c r="R36" s="770" t="s">
        <v>17</v>
      </c>
      <c r="S36" s="771">
        <f t="shared" si="12"/>
        <v>100</v>
      </c>
      <c r="T36" s="770" t="s">
        <v>17</v>
      </c>
      <c r="U36" s="771">
        <f t="shared" si="13"/>
        <v>100</v>
      </c>
      <c r="V36" s="770" t="s">
        <v>17</v>
      </c>
      <c r="W36" s="771">
        <f t="shared" si="14"/>
        <v>100</v>
      </c>
      <c r="X36" s="1807"/>
      <c r="Y36" s="3294"/>
      <c r="Z36" s="1808" t="str">
        <f t="shared" si="15"/>
        <v>内部装修</v>
      </c>
      <c r="AA36" s="1805">
        <f t="shared" si="3"/>
        <v>1</v>
      </c>
      <c r="AB36" s="1805">
        <f t="shared" si="4"/>
        <v>1</v>
      </c>
      <c r="AC36" s="1805">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94"/>
      <c r="Q37" s="1804" t="str">
        <f t="shared" si="11"/>
        <v>内部装修状况</v>
      </c>
      <c r="R37" s="770" t="s">
        <v>17</v>
      </c>
      <c r="S37" s="771">
        <f t="shared" si="12"/>
        <v>100</v>
      </c>
      <c r="T37" s="770" t="s">
        <v>17</v>
      </c>
      <c r="U37" s="771">
        <f t="shared" si="13"/>
        <v>100</v>
      </c>
      <c r="V37" s="770" t="s">
        <v>17</v>
      </c>
      <c r="W37" s="771">
        <f t="shared" si="14"/>
        <v>100</v>
      </c>
      <c r="X37" s="1807"/>
      <c r="Y37" s="3294"/>
      <c r="Z37" s="1808" t="str">
        <f t="shared" si="15"/>
        <v>内部装修状况</v>
      </c>
      <c r="AA37" s="1805">
        <f t="shared" si="3"/>
        <v>1</v>
      </c>
      <c r="AB37" s="1805">
        <f t="shared" si="4"/>
        <v>1</v>
      </c>
      <c r="AC37" s="1805">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94"/>
      <c r="Q38" s="772">
        <f t="shared" si="11"/>
        <v>111</v>
      </c>
      <c r="R38" s="773" t="s">
        <v>17</v>
      </c>
      <c r="S38" s="774">
        <f t="shared" si="12"/>
        <v>100</v>
      </c>
      <c r="T38" s="773" t="s">
        <v>17</v>
      </c>
      <c r="U38" s="774">
        <f t="shared" si="13"/>
        <v>100</v>
      </c>
      <c r="V38" s="773" t="s">
        <v>17</v>
      </c>
      <c r="W38" s="774">
        <f t="shared" si="14"/>
        <v>100</v>
      </c>
      <c r="X38" s="775"/>
      <c r="Y38" s="3294"/>
      <c r="Z38" s="776">
        <f t="shared" si="15"/>
        <v>111</v>
      </c>
      <c r="AA38" s="1805">
        <f t="shared" si="3"/>
        <v>1</v>
      </c>
      <c r="AB38" s="1805">
        <f t="shared" si="4"/>
        <v>1</v>
      </c>
      <c r="AC38" s="1805">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94"/>
      <c r="Q39" s="1804">
        <f t="shared" si="11"/>
        <v>111</v>
      </c>
      <c r="R39" s="770" t="s">
        <v>17</v>
      </c>
      <c r="S39" s="771">
        <f t="shared" si="12"/>
        <v>100</v>
      </c>
      <c r="T39" s="770" t="s">
        <v>17</v>
      </c>
      <c r="U39" s="771">
        <f t="shared" si="13"/>
        <v>100</v>
      </c>
      <c r="V39" s="770" t="s">
        <v>17</v>
      </c>
      <c r="W39" s="771">
        <f t="shared" si="14"/>
        <v>100</v>
      </c>
      <c r="X39" s="1807"/>
      <c r="Y39" s="3294"/>
      <c r="Z39" s="1808">
        <f t="shared" si="15"/>
        <v>111</v>
      </c>
      <c r="AA39" s="1805">
        <f t="shared" si="3"/>
        <v>1</v>
      </c>
      <c r="AB39" s="1805">
        <f t="shared" si="4"/>
        <v>1</v>
      </c>
      <c r="AC39" s="1805">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95"/>
      <c r="Q40" s="1804">
        <f t="shared" si="11"/>
        <v>111</v>
      </c>
      <c r="R40" s="770" t="s">
        <v>17</v>
      </c>
      <c r="S40" s="771">
        <f t="shared" si="12"/>
        <v>100</v>
      </c>
      <c r="T40" s="770" t="s">
        <v>17</v>
      </c>
      <c r="U40" s="771">
        <f t="shared" si="13"/>
        <v>100</v>
      </c>
      <c r="V40" s="770" t="s">
        <v>17</v>
      </c>
      <c r="W40" s="771">
        <f t="shared" si="14"/>
        <v>100</v>
      </c>
      <c r="X40" s="1807"/>
      <c r="Y40" s="3295"/>
      <c r="Z40" s="1808">
        <f t="shared" si="15"/>
        <v>111</v>
      </c>
      <c r="AA40" s="1805">
        <f t="shared" si="3"/>
        <v>1</v>
      </c>
      <c r="AB40" s="1805">
        <f t="shared" si="4"/>
        <v>1</v>
      </c>
      <c r="AC40" s="1805">
        <f t="shared" si="5"/>
        <v>1</v>
      </c>
    </row>
    <row r="41" spans="1:29" ht="15">
      <c r="A41" s="479" t="s">
        <v>2569</v>
      </c>
      <c r="B41" s="480"/>
      <c r="C41" s="1401" t="s">
        <v>1</v>
      </c>
      <c r="D41" s="1402"/>
      <c r="E41" s="1403"/>
      <c r="F41" s="1404"/>
      <c r="G41" s="1405"/>
      <c r="H41" s="1406"/>
      <c r="I41" s="1403"/>
      <c r="J41" s="1406"/>
      <c r="K41" s="779"/>
      <c r="L41" s="1139"/>
      <c r="M41" s="1140"/>
      <c r="N41" s="1127"/>
      <c r="O41" s="1140"/>
      <c r="P41" s="3287" t="str">
        <f>A41</f>
        <v>成交单价（元/平方米）</v>
      </c>
      <c r="Q41" s="3287"/>
      <c r="R41" s="3288">
        <f>E41</f>
        <v>0</v>
      </c>
      <c r="S41" s="3288"/>
      <c r="T41" s="3288">
        <f>G41</f>
        <v>0</v>
      </c>
      <c r="U41" s="3288"/>
      <c r="V41" s="3288">
        <f>I41</f>
        <v>0</v>
      </c>
      <c r="W41" s="3288"/>
      <c r="X41" s="755"/>
      <c r="Y41" s="777"/>
      <c r="Z41" s="755"/>
      <c r="AA41" s="755"/>
      <c r="AB41" s="755"/>
      <c r="AC41" s="755"/>
    </row>
    <row r="42" spans="1:29" ht="15.75" thickBot="1">
      <c r="A42" s="486" t="s">
        <v>2661</v>
      </c>
      <c r="B42" s="487"/>
      <c r="C42" s="1407" t="e">
        <f>R43</f>
        <v>#DIV/0!</v>
      </c>
      <c r="D42" s="1408"/>
      <c r="E42" s="1409" t="e">
        <f>R42</f>
        <v>#DIV/0!</v>
      </c>
      <c r="F42" s="1409"/>
      <c r="G42" s="1407" t="e">
        <f>T42</f>
        <v>#DIV/0!</v>
      </c>
      <c r="H42" s="1408"/>
      <c r="I42" s="1409" t="e">
        <f>V42</f>
        <v>#DIV/0!</v>
      </c>
      <c r="J42" s="1408"/>
      <c r="K42" s="780"/>
      <c r="L42" s="1139"/>
      <c r="M42" s="1140"/>
      <c r="N42" s="1127"/>
      <c r="O42" s="1140"/>
      <c r="P42" s="3287" t="str">
        <f>A42</f>
        <v>比较价值（元/平方米）</v>
      </c>
      <c r="Q42" s="3287"/>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755"/>
      <c r="Y42" s="755"/>
      <c r="Z42" s="755"/>
      <c r="AA42" s="755"/>
      <c r="AB42" s="755"/>
      <c r="AC42" s="755"/>
    </row>
    <row r="43" spans="1:29" ht="15.75" thickBot="1">
      <c r="A43" s="492" t="s">
        <v>2662</v>
      </c>
      <c r="B43" s="493"/>
      <c r="C43" s="1411" t="e">
        <f>R43</f>
        <v>#DIV/0!</v>
      </c>
      <c r="D43" s="1411"/>
      <c r="E43" s="1411"/>
      <c r="F43" s="1411"/>
      <c r="G43" s="1411"/>
      <c r="H43" s="1411"/>
      <c r="I43" s="1411"/>
      <c r="J43" s="1411"/>
      <c r="K43" s="781"/>
      <c r="L43" s="1139"/>
      <c r="M43" s="1140"/>
      <c r="N43" s="1140"/>
      <c r="O43" s="1140"/>
      <c r="P43" s="3284" t="str">
        <f>A43</f>
        <v>估价对象XX用房的比较价值（楼面单价，元/平方米）</v>
      </c>
      <c r="Q43" s="3285"/>
      <c r="R43" s="3286" t="e">
        <f>IF(F1="售价",ROUND(AVERAGE(R42:V42),0),ROUND(AVERAGE(R42:V42),1))</f>
        <v>#DIV/0!</v>
      </c>
      <c r="S43" s="3286"/>
      <c r="T43" s="3286"/>
      <c r="U43" s="3286"/>
      <c r="V43" s="3286"/>
      <c r="W43" s="3286"/>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2666</v>
      </c>
      <c r="B51" s="755"/>
      <c r="C51" s="760"/>
      <c r="D51" s="760"/>
      <c r="E51" s="760"/>
      <c r="F51" s="761"/>
      <c r="G51" s="761"/>
      <c r="H51" s="760"/>
      <c r="I51" s="760"/>
      <c r="J51" s="760"/>
      <c r="K51" s="1156"/>
      <c r="L51" s="1157"/>
      <c r="M51" s="1155"/>
      <c r="N51" s="1155"/>
      <c r="O51" s="1155"/>
      <c r="P51" s="503"/>
      <c r="Q51" s="504"/>
    </row>
    <row r="52" spans="1:17" s="508" customFormat="1" ht="15">
      <c r="A52" s="505" t="s">
        <v>2540</v>
      </c>
      <c r="B52" s="506"/>
      <c r="C52" s="1568" t="str">
        <f>YEAR(C7)&amp;"-"&amp;MONTH(C7)</f>
        <v>2019-7</v>
      </c>
      <c r="D52" s="1569">
        <f>EDATE(C52,-1)</f>
        <v>43617</v>
      </c>
      <c r="E52" s="1569">
        <f t="shared" ref="E52:O52" si="16">EDATE(D52,-1)</f>
        <v>43586</v>
      </c>
      <c r="F52" s="1569">
        <f t="shared" si="16"/>
        <v>43556</v>
      </c>
      <c r="G52" s="1569">
        <f t="shared" si="16"/>
        <v>43525</v>
      </c>
      <c r="H52" s="1569">
        <f t="shared" si="16"/>
        <v>43497</v>
      </c>
      <c r="I52" s="1569">
        <f t="shared" si="16"/>
        <v>43466</v>
      </c>
      <c r="J52" s="1569">
        <f t="shared" si="16"/>
        <v>43435</v>
      </c>
      <c r="K52" s="1569">
        <f t="shared" si="16"/>
        <v>43405</v>
      </c>
      <c r="L52" s="1569">
        <f t="shared" si="16"/>
        <v>43374</v>
      </c>
      <c r="M52" s="1569">
        <f t="shared" si="16"/>
        <v>43344</v>
      </c>
      <c r="N52" s="1569">
        <f t="shared" si="16"/>
        <v>43313</v>
      </c>
      <c r="O52" s="1569">
        <f t="shared" si="16"/>
        <v>43282</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2580</v>
      </c>
      <c r="B57" s="528" t="s">
        <v>2546</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2681</v>
      </c>
      <c r="C76" s="659" t="s">
        <v>2667</v>
      </c>
      <c r="D76" s="659" t="s">
        <v>2668</v>
      </c>
      <c r="E76" s="659" t="s">
        <v>2669</v>
      </c>
      <c r="F76" s="659" t="s">
        <v>2670</v>
      </c>
      <c r="G76" s="659" t="s">
        <v>2671</v>
      </c>
      <c r="H76" s="539"/>
      <c r="I76" s="539"/>
      <c r="J76" s="539"/>
      <c r="K76" s="539"/>
      <c r="L76" s="539"/>
      <c r="M76" s="1376"/>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3"/>
      <c r="B87" s="569"/>
      <c r="C87" s="570"/>
      <c r="D87" s="570"/>
      <c r="E87" s="570"/>
      <c r="F87" s="570"/>
      <c r="G87" s="591"/>
      <c r="H87" s="591"/>
      <c r="I87" s="591"/>
      <c r="J87" s="591"/>
      <c r="K87" s="591"/>
      <c r="L87" s="591"/>
      <c r="M87" s="592"/>
      <c r="N87" s="1149"/>
      <c r="O87" s="1149"/>
      <c r="P87" s="45"/>
      <c r="Q87" s="504"/>
    </row>
    <row r="88" spans="1:17">
      <c r="A88" s="527" t="s">
        <v>2555</v>
      </c>
      <c r="B88" s="528" t="s">
        <v>2604</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2606</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2608</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2609</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2610</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2612</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2698</v>
      </c>
      <c r="C106" s="578" t="s">
        <v>2589</v>
      </c>
      <c r="D106" s="578" t="s">
        <v>2590</v>
      </c>
      <c r="E106" s="578" t="s">
        <v>2591</v>
      </c>
      <c r="F106" s="578" t="s">
        <v>2592</v>
      </c>
      <c r="G106" s="578" t="s">
        <v>2593</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3"/>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2699</v>
      </c>
      <c r="B1" s="1613"/>
      <c r="C1" s="1614" t="s">
        <v>2522</v>
      </c>
      <c r="D1" s="1615"/>
      <c r="E1" s="1616"/>
      <c r="F1" s="2581"/>
      <c r="G1" s="1617" t="s">
        <v>2635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2319</v>
      </c>
      <c r="B2" s="1412" t="e">
        <f ca="1">IF(C2="——",IF(B37="元/平方米",ROUND(C39*D3/10000,0),ROUND(F3*C39/10000,0)),IF(B37="元/平方米",ROUND(C39*D3/10000,0),ROUND(F3*C39/10000,0))-D2)</f>
        <v>#DIV/0!</v>
      </c>
      <c r="C2" s="2583"/>
      <c r="D2" s="1120" t="e">
        <f ca="1">SUMIF(INDIRECT("'"&amp;F2&amp;"'"&amp;"!A:A"),"承租人权益价值",INDIRECT("'"&amp;F2&amp;"'"&amp;"!c:c"))</f>
        <v>#REF!</v>
      </c>
      <c r="E2" s="2584" t="s">
        <v>2320</v>
      </c>
      <c r="F2" s="2585"/>
      <c r="G2" s="1121"/>
      <c r="H2" s="1121"/>
      <c r="I2" s="1121"/>
      <c r="J2" s="1121"/>
      <c r="K2" s="1123"/>
      <c r="L2" s="1124"/>
      <c r="M2" s="1125"/>
      <c r="N2" s="1125"/>
      <c r="O2" s="1125"/>
      <c r="P2" s="1413"/>
      <c r="Q2" s="764"/>
      <c r="R2" s="764"/>
      <c r="S2" s="764"/>
      <c r="T2" s="764"/>
      <c r="U2" s="764"/>
      <c r="V2" s="764"/>
      <c r="W2" s="764"/>
      <c r="X2" s="764"/>
      <c r="Y2" s="764"/>
      <c r="Z2" s="764"/>
      <c r="AA2" s="764"/>
      <c r="AB2" s="764"/>
      <c r="AC2" s="765"/>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1"/>
      <c r="H3" s="1121"/>
      <c r="I3" s="1121"/>
      <c r="J3" s="1121"/>
      <c r="K3" s="1123"/>
      <c r="L3" s="1124"/>
      <c r="M3" s="1125"/>
      <c r="N3" s="1125"/>
      <c r="O3" s="1125"/>
      <c r="P3" s="1413"/>
      <c r="Q3" s="764"/>
      <c r="R3" s="764"/>
      <c r="S3" s="764"/>
      <c r="T3" s="764"/>
      <c r="U3" s="764"/>
      <c r="V3" s="764"/>
      <c r="W3" s="764"/>
      <c r="X3" s="764"/>
      <c r="Y3" s="764"/>
      <c r="Z3" s="764"/>
      <c r="AA3" s="764"/>
      <c r="AB3" s="782"/>
      <c r="AC3" s="778"/>
    </row>
    <row r="4" spans="1:29" ht="15">
      <c r="A4" s="401" t="s">
        <v>2637</v>
      </c>
      <c r="B4" s="402"/>
      <c r="C4" s="3302" t="s">
        <v>2638</v>
      </c>
      <c r="D4" s="3303"/>
      <c r="E4" s="3304" t="s">
        <v>2639</v>
      </c>
      <c r="F4" s="3305"/>
      <c r="G4" s="3302" t="s">
        <v>2640</v>
      </c>
      <c r="H4" s="3303"/>
      <c r="I4" s="3302" t="s">
        <v>2641</v>
      </c>
      <c r="J4" s="3303"/>
      <c r="K4" s="610" t="s">
        <v>2642</v>
      </c>
      <c r="L4" s="1126"/>
      <c r="M4" s="1127"/>
      <c r="N4" s="1127"/>
      <c r="O4" s="1127"/>
      <c r="P4" s="3306" t="s">
        <v>2643</v>
      </c>
      <c r="Q4" s="3307"/>
      <c r="R4" s="3312" t="s">
        <v>2639</v>
      </c>
      <c r="S4" s="3313"/>
      <c r="T4" s="3312" t="s">
        <v>2640</v>
      </c>
      <c r="U4" s="3313"/>
      <c r="V4" s="3318" t="s">
        <v>2641</v>
      </c>
      <c r="W4" s="3318"/>
      <c r="X4" s="1807"/>
      <c r="Y4" s="3312" t="s">
        <v>2643</v>
      </c>
      <c r="Z4" s="3313"/>
      <c r="AA4" s="3299" t="s">
        <v>2639</v>
      </c>
      <c r="AB4" s="3300" t="s">
        <v>2640</v>
      </c>
      <c r="AC4" s="3299" t="s">
        <v>2641</v>
      </c>
    </row>
    <row r="5" spans="1:29" ht="15">
      <c r="A5" s="404"/>
      <c r="B5" s="405"/>
      <c r="C5" s="3321" t="s">
        <v>2534</v>
      </c>
      <c r="D5" s="3322"/>
      <c r="E5" s="3328" t="s">
        <v>2535</v>
      </c>
      <c r="F5" s="3329"/>
      <c r="G5" s="3321" t="s">
        <v>2536</v>
      </c>
      <c r="H5" s="3322"/>
      <c r="I5" s="3321" t="s">
        <v>2537</v>
      </c>
      <c r="J5" s="3322"/>
      <c r="K5" s="610"/>
      <c r="L5" s="1126"/>
      <c r="M5" s="1127"/>
      <c r="N5" s="1127"/>
      <c r="O5" s="1127"/>
      <c r="P5" s="3308"/>
      <c r="Q5" s="3309"/>
      <c r="R5" s="3314"/>
      <c r="S5" s="3315"/>
      <c r="T5" s="3314"/>
      <c r="U5" s="3315"/>
      <c r="V5" s="3318"/>
      <c r="W5" s="3318"/>
      <c r="X5" s="1807"/>
      <c r="Y5" s="3314"/>
      <c r="Z5" s="3315"/>
      <c r="AA5" s="3300"/>
      <c r="AB5" s="3300"/>
      <c r="AC5" s="3300"/>
    </row>
    <row r="6" spans="1:29" ht="15.75" thickBot="1">
      <c r="A6" s="406"/>
      <c r="B6" s="407"/>
      <c r="C6" s="3319" t="s">
        <v>2538</v>
      </c>
      <c r="D6" s="3320"/>
      <c r="E6" s="3326" t="s">
        <v>2538</v>
      </c>
      <c r="F6" s="3327"/>
      <c r="G6" s="3319" t="s">
        <v>2538</v>
      </c>
      <c r="H6" s="3320"/>
      <c r="I6" s="3319" t="s">
        <v>2538</v>
      </c>
      <c r="J6" s="3320"/>
      <c r="K6" s="610" t="s">
        <v>2539</v>
      </c>
      <c r="L6" s="1126"/>
      <c r="M6" s="1127"/>
      <c r="N6" s="1127"/>
      <c r="O6" s="1127"/>
      <c r="P6" s="3310"/>
      <c r="Q6" s="3311"/>
      <c r="R6" s="3314"/>
      <c r="S6" s="3315"/>
      <c r="T6" s="3316"/>
      <c r="U6" s="3317"/>
      <c r="V6" s="3318"/>
      <c r="W6" s="3318"/>
      <c r="X6" s="1807"/>
      <c r="Y6" s="3316"/>
      <c r="Z6" s="3317"/>
      <c r="AA6" s="3301"/>
      <c r="AB6" s="3301"/>
      <c r="AC6" s="3301"/>
    </row>
    <row r="7" spans="1:29" s="117" customFormat="1" ht="15.75" thickBot="1">
      <c r="A7" s="408" t="s">
        <v>2540</v>
      </c>
      <c r="B7" s="409"/>
      <c r="C7" s="410">
        <f>'数据-取费表'!B2</f>
        <v>43670</v>
      </c>
      <c r="D7" s="411">
        <v>100</v>
      </c>
      <c r="E7" s="412"/>
      <c r="F7" s="413">
        <f>SUMIF(48:48,YEAR(E7)&amp;"-"&amp;MONTH(E7),49:49)</f>
        <v>0</v>
      </c>
      <c r="G7" s="412"/>
      <c r="H7" s="411">
        <f>SUMIF(48:48,YEAR(G7)&amp;"-"&amp;MONTH(G7),49:49)</f>
        <v>0</v>
      </c>
      <c r="I7" s="412"/>
      <c r="J7" s="411">
        <f>SUMIF(48:48,YEAR(I7)&amp;"-"&amp;MONTH(I7),49:49)</f>
        <v>0</v>
      </c>
      <c r="K7" s="611"/>
      <c r="L7" s="1128"/>
      <c r="M7" s="1129"/>
      <c r="N7" s="1129"/>
      <c r="O7" s="1129"/>
      <c r="P7" s="3323" t="s">
        <v>2541</v>
      </c>
      <c r="Q7" s="3325"/>
      <c r="R7" s="766" t="s">
        <v>17</v>
      </c>
      <c r="S7" s="767">
        <f t="shared" ref="S7:S14" si="0">F7</f>
        <v>0</v>
      </c>
      <c r="T7" s="766" t="s">
        <v>17</v>
      </c>
      <c r="U7" s="767">
        <f t="shared" ref="U7:U14" si="1">H7</f>
        <v>0</v>
      </c>
      <c r="V7" s="766" t="s">
        <v>17</v>
      </c>
      <c r="W7" s="767">
        <f t="shared" ref="W7:W14" si="2">J7</f>
        <v>0</v>
      </c>
      <c r="X7" s="768"/>
      <c r="Y7" s="3323" t="s">
        <v>2541</v>
      </c>
      <c r="Z7" s="3324"/>
      <c r="AA7" s="769" t="e">
        <f>D7/F7</f>
        <v>#DIV/0!</v>
      </c>
      <c r="AB7" s="769" t="e">
        <f>D7/H7</f>
        <v>#DIV/0!</v>
      </c>
      <c r="AC7" s="769"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323" t="s">
        <v>2544</v>
      </c>
      <c r="Q8" s="3324"/>
      <c r="R8" s="766" t="s">
        <v>17</v>
      </c>
      <c r="S8" s="767">
        <f t="shared" si="0"/>
        <v>0</v>
      </c>
      <c r="T8" s="766" t="s">
        <v>17</v>
      </c>
      <c r="U8" s="767">
        <f t="shared" si="1"/>
        <v>0</v>
      </c>
      <c r="V8" s="766" t="s">
        <v>17</v>
      </c>
      <c r="W8" s="767">
        <f t="shared" si="2"/>
        <v>0</v>
      </c>
      <c r="X8" s="768"/>
      <c r="Y8" s="3323" t="s">
        <v>2544</v>
      </c>
      <c r="Z8" s="3324"/>
      <c r="AA8" s="769" t="e">
        <f t="shared" ref="AA8:AA36" si="3">D8/F8</f>
        <v>#DIV/0!</v>
      </c>
      <c r="AB8" s="769" t="e">
        <f t="shared" ref="AB8:AB36" si="4">D8/H8</f>
        <v>#DIV/0!</v>
      </c>
      <c r="AC8" s="769" t="e">
        <f t="shared" ref="AC8:AC36" si="5">D8/J8</f>
        <v>#DIV/0!</v>
      </c>
    </row>
    <row r="9" spans="1:29" s="117" customFormat="1">
      <c r="A9" s="68" t="s">
        <v>2545</v>
      </c>
      <c r="B9" s="639" t="s">
        <v>2546</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87" t="s">
        <v>2547</v>
      </c>
      <c r="Q9" s="1789" t="str">
        <f t="shared" ref="Q9:Q14" si="6">B9</f>
        <v>用途</v>
      </c>
      <c r="R9" s="766" t="s">
        <v>17</v>
      </c>
      <c r="S9" s="767">
        <f t="shared" si="0"/>
        <v>100</v>
      </c>
      <c r="T9" s="766" t="s">
        <v>17</v>
      </c>
      <c r="U9" s="767">
        <f t="shared" si="1"/>
        <v>100</v>
      </c>
      <c r="V9" s="766" t="s">
        <v>17</v>
      </c>
      <c r="W9" s="767">
        <f t="shared" si="2"/>
        <v>100</v>
      </c>
      <c r="X9" s="768"/>
      <c r="Y9" s="3112" t="s">
        <v>2548</v>
      </c>
      <c r="Z9" s="55" t="str">
        <f t="shared" ref="Z9:Z14" si="7">Q9</f>
        <v>用途</v>
      </c>
      <c r="AA9" s="769">
        <f t="shared" si="3"/>
        <v>1</v>
      </c>
      <c r="AB9" s="769">
        <f t="shared" si="4"/>
        <v>1</v>
      </c>
      <c r="AC9" s="769">
        <f t="shared" si="5"/>
        <v>1</v>
      </c>
    </row>
    <row r="10" spans="1:29" s="427" customFormat="1" ht="27">
      <c r="A10" s="640"/>
      <c r="B10" s="641" t="s">
        <v>2549</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87"/>
      <c r="Q10" s="1789" t="str">
        <f t="shared" si="6"/>
        <v>土地使用年限（年）</v>
      </c>
      <c r="R10" s="766" t="s">
        <v>17</v>
      </c>
      <c r="S10" s="767">
        <f t="shared" si="0"/>
        <v>100</v>
      </c>
      <c r="T10" s="766" t="s">
        <v>17</v>
      </c>
      <c r="U10" s="767">
        <f t="shared" si="1"/>
        <v>100</v>
      </c>
      <c r="V10" s="766" t="s">
        <v>17</v>
      </c>
      <c r="W10" s="767">
        <f t="shared" si="2"/>
        <v>100</v>
      </c>
      <c r="X10" s="768"/>
      <c r="Y10" s="3112"/>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87"/>
      <c r="Q11" s="1789">
        <f t="shared" si="6"/>
        <v>111</v>
      </c>
      <c r="R11" s="766" t="s">
        <v>17</v>
      </c>
      <c r="S11" s="767">
        <f t="shared" si="0"/>
        <v>100</v>
      </c>
      <c r="T11" s="766" t="s">
        <v>17</v>
      </c>
      <c r="U11" s="767">
        <f t="shared" si="1"/>
        <v>100</v>
      </c>
      <c r="V11" s="766" t="s">
        <v>17</v>
      </c>
      <c r="W11" s="767">
        <f t="shared" si="2"/>
        <v>100</v>
      </c>
      <c r="X11" s="768"/>
      <c r="Y11" s="3112"/>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87"/>
      <c r="Q12" s="1789">
        <f t="shared" si="6"/>
        <v>111</v>
      </c>
      <c r="R12" s="766" t="s">
        <v>17</v>
      </c>
      <c r="S12" s="767">
        <f t="shared" si="0"/>
        <v>100</v>
      </c>
      <c r="T12" s="766" t="s">
        <v>17</v>
      </c>
      <c r="U12" s="767">
        <f t="shared" si="1"/>
        <v>100</v>
      </c>
      <c r="V12" s="766" t="s">
        <v>17</v>
      </c>
      <c r="W12" s="767">
        <f t="shared" si="2"/>
        <v>100</v>
      </c>
      <c r="X12" s="768"/>
      <c r="Y12" s="3112"/>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87"/>
      <c r="Q13" s="1789">
        <f t="shared" si="6"/>
        <v>111</v>
      </c>
      <c r="R13" s="766" t="s">
        <v>17</v>
      </c>
      <c r="S13" s="767">
        <f t="shared" si="0"/>
        <v>100</v>
      </c>
      <c r="T13" s="766" t="s">
        <v>17</v>
      </c>
      <c r="U13" s="767">
        <f t="shared" si="1"/>
        <v>100</v>
      </c>
      <c r="V13" s="766" t="s">
        <v>17</v>
      </c>
      <c r="W13" s="767">
        <f t="shared" si="2"/>
        <v>100</v>
      </c>
      <c r="X13" s="768"/>
      <c r="Y13" s="3112"/>
      <c r="Z13" s="55">
        <f t="shared" si="7"/>
        <v>111</v>
      </c>
      <c r="AA13" s="769">
        <f t="shared" si="3"/>
        <v>1</v>
      </c>
      <c r="AB13" s="769">
        <f t="shared" si="4"/>
        <v>1</v>
      </c>
      <c r="AC13" s="769">
        <f t="shared" si="5"/>
        <v>1</v>
      </c>
    </row>
    <row r="14" spans="1:29" ht="15">
      <c r="A14" s="401" t="s">
        <v>2551</v>
      </c>
      <c r="B14" s="628" t="s">
        <v>2701</v>
      </c>
      <c r="C14" s="269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89" t="s">
        <v>2552</v>
      </c>
      <c r="Q14" s="1804" t="str">
        <f t="shared" si="6"/>
        <v>交通便捷度</v>
      </c>
      <c r="R14" s="770" t="s">
        <v>17</v>
      </c>
      <c r="S14" s="771">
        <f t="shared" si="0"/>
        <v>100</v>
      </c>
      <c r="T14" s="770" t="s">
        <v>17</v>
      </c>
      <c r="U14" s="771">
        <f t="shared" si="1"/>
        <v>100</v>
      </c>
      <c r="V14" s="770" t="s">
        <v>17</v>
      </c>
      <c r="W14" s="771">
        <f t="shared" si="2"/>
        <v>100</v>
      </c>
      <c r="X14" s="1807"/>
      <c r="Y14" s="3289" t="s">
        <v>2552</v>
      </c>
      <c r="Z14" s="1808" t="str">
        <f t="shared" si="7"/>
        <v>交通便捷度</v>
      </c>
      <c r="AA14" s="1805">
        <f t="shared" si="3"/>
        <v>1</v>
      </c>
      <c r="AB14" s="1805">
        <f t="shared" si="4"/>
        <v>1</v>
      </c>
      <c r="AC14" s="1805">
        <f t="shared" si="5"/>
        <v>1</v>
      </c>
    </row>
    <row r="15" spans="1:29" ht="15">
      <c r="A15" s="404"/>
      <c r="B15" s="646"/>
      <c r="C15" s="447"/>
      <c r="D15" s="448"/>
      <c r="E15" s="447"/>
      <c r="F15" s="449"/>
      <c r="G15" s="447"/>
      <c r="H15" s="450"/>
      <c r="I15" s="447"/>
      <c r="J15" s="448"/>
      <c r="K15" s="615"/>
      <c r="L15" s="1136"/>
      <c r="M15" s="1127"/>
      <c r="N15" s="1127"/>
      <c r="O15" s="1127"/>
      <c r="P15" s="3290"/>
      <c r="Q15" s="1804"/>
      <c r="R15" s="770"/>
      <c r="S15" s="771"/>
      <c r="T15" s="770"/>
      <c r="U15" s="771"/>
      <c r="V15" s="770"/>
      <c r="W15" s="771"/>
      <c r="X15" s="1807"/>
      <c r="Y15" s="3290"/>
      <c r="Z15" s="1808"/>
      <c r="AA15" s="1805">
        <v>1</v>
      </c>
      <c r="AB15" s="1805">
        <v>1</v>
      </c>
      <c r="AC15" s="1805">
        <v>1</v>
      </c>
    </row>
    <row r="16" spans="1:29" ht="15">
      <c r="A16" s="404"/>
      <c r="B16" s="630" t="s">
        <v>2680</v>
      </c>
      <c r="C16" s="260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90"/>
      <c r="Q16" s="1804" t="str">
        <f>B16</f>
        <v>公共配套设施</v>
      </c>
      <c r="R16" s="770" t="s">
        <v>17</v>
      </c>
      <c r="S16" s="771">
        <f>F16</f>
        <v>100</v>
      </c>
      <c r="T16" s="770" t="s">
        <v>17</v>
      </c>
      <c r="U16" s="771">
        <f>H16</f>
        <v>100</v>
      </c>
      <c r="V16" s="770" t="s">
        <v>17</v>
      </c>
      <c r="W16" s="771">
        <f>J16</f>
        <v>100</v>
      </c>
      <c r="X16" s="1807"/>
      <c r="Y16" s="3290"/>
      <c r="Z16" s="1808" t="str">
        <f>Q16</f>
        <v>公共配套设施</v>
      </c>
      <c r="AA16" s="1805">
        <f t="shared" si="3"/>
        <v>1</v>
      </c>
      <c r="AB16" s="1805">
        <f t="shared" si="4"/>
        <v>1</v>
      </c>
      <c r="AC16" s="1805">
        <f t="shared" si="5"/>
        <v>1</v>
      </c>
    </row>
    <row r="17" spans="1:29" ht="15">
      <c r="A17" s="404"/>
      <c r="B17" s="631"/>
      <c r="C17" s="2605"/>
      <c r="D17" s="448"/>
      <c r="E17" s="447"/>
      <c r="F17" s="449"/>
      <c r="G17" s="447"/>
      <c r="H17" s="448"/>
      <c r="I17" s="447"/>
      <c r="J17" s="448"/>
      <c r="K17" s="615"/>
      <c r="L17" s="1136"/>
      <c r="M17" s="1127"/>
      <c r="N17" s="1127"/>
      <c r="O17" s="1127"/>
      <c r="P17" s="3290"/>
      <c r="Q17" s="1804"/>
      <c r="R17" s="770"/>
      <c r="S17" s="771"/>
      <c r="T17" s="770"/>
      <c r="U17" s="771"/>
      <c r="V17" s="770"/>
      <c r="W17" s="771"/>
      <c r="X17" s="1807"/>
      <c r="Y17" s="3290"/>
      <c r="Z17" s="1808"/>
      <c r="AA17" s="1805">
        <v>1</v>
      </c>
      <c r="AB17" s="1805">
        <v>1</v>
      </c>
      <c r="AC17" s="1805">
        <v>1</v>
      </c>
    </row>
    <row r="18" spans="1:29" ht="15">
      <c r="A18" s="404"/>
      <c r="B18" s="632" t="s">
        <v>2681</v>
      </c>
      <c r="C18" s="260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90"/>
      <c r="Q18" s="1804" t="str">
        <f>B18</f>
        <v>基础设施水平</v>
      </c>
      <c r="R18" s="770" t="s">
        <v>17</v>
      </c>
      <c r="S18" s="771">
        <f>F18</f>
        <v>100</v>
      </c>
      <c r="T18" s="770" t="s">
        <v>17</v>
      </c>
      <c r="U18" s="771">
        <f>H18</f>
        <v>100</v>
      </c>
      <c r="V18" s="770" t="s">
        <v>17</v>
      </c>
      <c r="W18" s="771">
        <f>J18</f>
        <v>100</v>
      </c>
      <c r="X18" s="1807"/>
      <c r="Y18" s="3290"/>
      <c r="Z18" s="1808" t="str">
        <f>Q18</f>
        <v>基础设施水平</v>
      </c>
      <c r="AA18" s="1805">
        <f t="shared" ref="AA18" si="8">D18/F18</f>
        <v>1</v>
      </c>
      <c r="AB18" s="1805">
        <f t="shared" ref="AB18" si="9">D18/H18</f>
        <v>1</v>
      </c>
      <c r="AC18" s="1805">
        <f t="shared" ref="AC18" si="10">D18/J18</f>
        <v>1</v>
      </c>
    </row>
    <row r="19" spans="1:29" ht="15">
      <c r="A19" s="404"/>
      <c r="B19" s="632"/>
      <c r="C19" s="2605"/>
      <c r="D19" s="450"/>
      <c r="E19" s="2605"/>
      <c r="F19" s="453"/>
      <c r="G19" s="2605"/>
      <c r="H19" s="448"/>
      <c r="I19" s="447"/>
      <c r="J19" s="448"/>
      <c r="K19" s="1377"/>
      <c r="L19" s="1136"/>
      <c r="M19" s="1127"/>
      <c r="N19" s="1127"/>
      <c r="O19" s="1127"/>
      <c r="P19" s="3290"/>
      <c r="Q19" s="1804"/>
      <c r="R19" s="770"/>
      <c r="S19" s="771"/>
      <c r="T19" s="770"/>
      <c r="U19" s="771"/>
      <c r="V19" s="770"/>
      <c r="W19" s="771"/>
      <c r="X19" s="1807"/>
      <c r="Y19" s="3290"/>
      <c r="Z19" s="1808"/>
      <c r="AA19" s="1805">
        <v>1</v>
      </c>
      <c r="AB19" s="1805">
        <v>1</v>
      </c>
      <c r="AC19" s="1805">
        <v>1</v>
      </c>
    </row>
    <row r="20" spans="1:29" ht="15">
      <c r="A20" s="404"/>
      <c r="B20" s="630" t="s">
        <v>2702</v>
      </c>
      <c r="C20" s="260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90"/>
      <c r="Q20" s="1804" t="str">
        <f>B20</f>
        <v>自然及人文环境</v>
      </c>
      <c r="R20" s="770" t="s">
        <v>17</v>
      </c>
      <c r="S20" s="771">
        <f>F20</f>
        <v>100</v>
      </c>
      <c r="T20" s="770" t="s">
        <v>17</v>
      </c>
      <c r="U20" s="771">
        <f>H20</f>
        <v>100</v>
      </c>
      <c r="V20" s="770" t="s">
        <v>17</v>
      </c>
      <c r="W20" s="771">
        <f>J20</f>
        <v>100</v>
      </c>
      <c r="X20" s="1807"/>
      <c r="Y20" s="3290"/>
      <c r="Z20" s="1808" t="str">
        <f>Q20</f>
        <v>自然及人文环境</v>
      </c>
      <c r="AA20" s="1805">
        <f t="shared" si="3"/>
        <v>1</v>
      </c>
      <c r="AB20" s="1805">
        <f t="shared" si="4"/>
        <v>1</v>
      </c>
      <c r="AC20" s="1805">
        <f t="shared" si="5"/>
        <v>1</v>
      </c>
    </row>
    <row r="21" spans="1:29" ht="15">
      <c r="A21" s="404"/>
      <c r="B21" s="631"/>
      <c r="C21" s="447"/>
      <c r="D21" s="448"/>
      <c r="E21" s="447"/>
      <c r="F21" s="449"/>
      <c r="G21" s="447"/>
      <c r="H21" s="448"/>
      <c r="I21" s="447"/>
      <c r="J21" s="448"/>
      <c r="K21" s="615"/>
      <c r="L21" s="1136"/>
      <c r="M21" s="1127"/>
      <c r="N21" s="1127"/>
      <c r="O21" s="1127"/>
      <c r="P21" s="3290"/>
      <c r="Q21" s="1804"/>
      <c r="R21" s="770"/>
      <c r="S21" s="771"/>
      <c r="T21" s="770"/>
      <c r="U21" s="771"/>
      <c r="V21" s="770"/>
      <c r="W21" s="771"/>
      <c r="X21" s="1807"/>
      <c r="Y21" s="3290"/>
      <c r="Z21" s="1808"/>
      <c r="AA21" s="1805">
        <v>1</v>
      </c>
      <c r="AB21" s="1805">
        <v>1</v>
      </c>
      <c r="AC21" s="1805">
        <v>1</v>
      </c>
    </row>
    <row r="22" spans="1:29" ht="15">
      <c r="A22" s="404"/>
      <c r="B22" s="630" t="s">
        <v>2703</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90"/>
      <c r="Q22" s="1804" t="str">
        <f>B22</f>
        <v>楼层</v>
      </c>
      <c r="R22" s="770" t="s">
        <v>17</v>
      </c>
      <c r="S22" s="771">
        <f>F22</f>
        <v>100</v>
      </c>
      <c r="T22" s="770" t="s">
        <v>17</v>
      </c>
      <c r="U22" s="771">
        <f>H22</f>
        <v>100</v>
      </c>
      <c r="V22" s="770" t="s">
        <v>17</v>
      </c>
      <c r="W22" s="771">
        <f>J22</f>
        <v>100</v>
      </c>
      <c r="X22" s="1807"/>
      <c r="Y22" s="3290"/>
      <c r="Z22" s="1808" t="str">
        <f>Q22</f>
        <v>楼层</v>
      </c>
      <c r="AA22" s="1805">
        <f t="shared" si="3"/>
        <v>1</v>
      </c>
      <c r="AB22" s="1805">
        <f t="shared" si="4"/>
        <v>1</v>
      </c>
      <c r="AC22" s="1805">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90"/>
      <c r="Q23" s="1804">
        <f>B23</f>
        <v>111</v>
      </c>
      <c r="R23" s="770" t="s">
        <v>17</v>
      </c>
      <c r="S23" s="771">
        <f>F23</f>
        <v>100</v>
      </c>
      <c r="T23" s="770" t="s">
        <v>17</v>
      </c>
      <c r="U23" s="771">
        <f>H23</f>
        <v>100</v>
      </c>
      <c r="V23" s="770" t="s">
        <v>17</v>
      </c>
      <c r="W23" s="771">
        <f>J23</f>
        <v>100</v>
      </c>
      <c r="X23" s="1807"/>
      <c r="Y23" s="3290"/>
      <c r="Z23" s="1808">
        <f>Q23</f>
        <v>111</v>
      </c>
      <c r="AA23" s="1805">
        <f t="shared" si="3"/>
        <v>1</v>
      </c>
      <c r="AB23" s="1805">
        <f t="shared" si="4"/>
        <v>1</v>
      </c>
      <c r="AC23" s="1805">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90"/>
      <c r="Q24" s="1804">
        <f t="shared" ref="Q24:Q36" si="11">B24</f>
        <v>111</v>
      </c>
      <c r="R24" s="770" t="s">
        <v>17</v>
      </c>
      <c r="S24" s="771">
        <f>F24</f>
        <v>100</v>
      </c>
      <c r="T24" s="770" t="s">
        <v>17</v>
      </c>
      <c r="U24" s="771">
        <f>H24</f>
        <v>100</v>
      </c>
      <c r="V24" s="770" t="s">
        <v>17</v>
      </c>
      <c r="W24" s="771">
        <f>J24</f>
        <v>100</v>
      </c>
      <c r="X24" s="1807"/>
      <c r="Y24" s="3290"/>
      <c r="Z24" s="1808">
        <f>Q24</f>
        <v>111</v>
      </c>
      <c r="AA24" s="1805">
        <f t="shared" si="3"/>
        <v>1</v>
      </c>
      <c r="AB24" s="1805">
        <f t="shared" si="4"/>
        <v>1</v>
      </c>
      <c r="AC24" s="1805">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290"/>
      <c r="Q25" s="1789">
        <f t="shared" si="11"/>
        <v>111</v>
      </c>
      <c r="R25" s="766" t="s">
        <v>17</v>
      </c>
      <c r="S25" s="767">
        <f>F25</f>
        <v>100</v>
      </c>
      <c r="T25" s="766" t="s">
        <v>17</v>
      </c>
      <c r="U25" s="767">
        <f>H25</f>
        <v>100</v>
      </c>
      <c r="V25" s="766" t="s">
        <v>17</v>
      </c>
      <c r="W25" s="767">
        <f>J25</f>
        <v>100</v>
      </c>
      <c r="X25" s="768"/>
      <c r="Y25" s="3290"/>
      <c r="Z25" s="55">
        <f>Q25</f>
        <v>111</v>
      </c>
      <c r="AA25" s="1805">
        <f>D25/F25</f>
        <v>1</v>
      </c>
      <c r="AB25" s="1805">
        <f>D25/H25</f>
        <v>1</v>
      </c>
      <c r="AC25" s="1805">
        <f>D25/J25</f>
        <v>1</v>
      </c>
    </row>
    <row r="26" spans="1:29" ht="28.5">
      <c r="A26" s="651" t="s">
        <v>2555</v>
      </c>
      <c r="B26" s="70" t="s">
        <v>2704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347" t="s">
        <v>2557</v>
      </c>
      <c r="Q26" s="1804" t="str">
        <f t="shared" si="11"/>
        <v>配套类型</v>
      </c>
      <c r="R26" s="770" t="s">
        <v>17</v>
      </c>
      <c r="S26" s="771">
        <f t="shared" ref="S26:S36" si="12">F26</f>
        <v>100</v>
      </c>
      <c r="T26" s="770" t="s">
        <v>17</v>
      </c>
      <c r="U26" s="771">
        <f t="shared" ref="U26:U36" si="13">H26</f>
        <v>100</v>
      </c>
      <c r="V26" s="770" t="s">
        <v>17</v>
      </c>
      <c r="W26" s="771">
        <f t="shared" ref="W26:W36" si="14">J26</f>
        <v>100</v>
      </c>
      <c r="X26" s="1807"/>
      <c r="Y26" s="3294" t="s">
        <v>2557</v>
      </c>
      <c r="Z26" s="1808" t="str">
        <f t="shared" ref="Z26:Z36" si="15">Q26</f>
        <v>配套类型</v>
      </c>
      <c r="AA26" s="1805">
        <f t="shared" si="3"/>
        <v>1</v>
      </c>
      <c r="AB26" s="1805">
        <f t="shared" si="4"/>
        <v>1</v>
      </c>
      <c r="AC26" s="1805">
        <f t="shared" si="5"/>
        <v>1</v>
      </c>
    </row>
    <row r="27" spans="1:29" s="471" customFormat="1" ht="15">
      <c r="A27" s="652"/>
      <c r="B27" s="653" t="s">
        <v>2705</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294"/>
      <c r="Q27" s="772" t="str">
        <f t="shared" si="11"/>
        <v>项目停车位配比</v>
      </c>
      <c r="R27" s="773" t="s">
        <v>17</v>
      </c>
      <c r="S27" s="774">
        <f t="shared" si="12"/>
        <v>100</v>
      </c>
      <c r="T27" s="773" t="s">
        <v>17</v>
      </c>
      <c r="U27" s="774">
        <f t="shared" si="13"/>
        <v>100</v>
      </c>
      <c r="V27" s="773" t="s">
        <v>17</v>
      </c>
      <c r="W27" s="774">
        <f t="shared" si="14"/>
        <v>100</v>
      </c>
      <c r="X27" s="775"/>
      <c r="Y27" s="3294"/>
      <c r="Z27" s="776" t="str">
        <f t="shared" si="15"/>
        <v>项目停车位配比</v>
      </c>
      <c r="AA27" s="1805">
        <f t="shared" si="3"/>
        <v>1</v>
      </c>
      <c r="AB27" s="1805">
        <f t="shared" si="4"/>
        <v>1</v>
      </c>
      <c r="AC27" s="1805">
        <f t="shared" si="5"/>
        <v>1</v>
      </c>
    </row>
    <row r="28" spans="1:29" ht="15">
      <c r="A28" s="655"/>
      <c r="B28" s="653" t="s">
        <v>2706</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94"/>
      <c r="Q28" s="1804" t="str">
        <f t="shared" si="11"/>
        <v>公共部分装修</v>
      </c>
      <c r="R28" s="770" t="s">
        <v>17</v>
      </c>
      <c r="S28" s="771">
        <f t="shared" si="12"/>
        <v>100</v>
      </c>
      <c r="T28" s="770" t="s">
        <v>17</v>
      </c>
      <c r="U28" s="771">
        <f t="shared" si="13"/>
        <v>100</v>
      </c>
      <c r="V28" s="770" t="s">
        <v>17</v>
      </c>
      <c r="W28" s="771">
        <f t="shared" si="14"/>
        <v>100</v>
      </c>
      <c r="X28" s="1807"/>
      <c r="Y28" s="3294"/>
      <c r="Z28" s="1808" t="str">
        <f t="shared" si="15"/>
        <v>公共部分装修</v>
      </c>
      <c r="AA28" s="1805">
        <f t="shared" si="3"/>
        <v>1</v>
      </c>
      <c r="AB28" s="1805">
        <f t="shared" si="4"/>
        <v>1</v>
      </c>
      <c r="AC28" s="1805">
        <f t="shared" si="5"/>
        <v>1</v>
      </c>
    </row>
    <row r="29" spans="1:29" ht="15">
      <c r="A29" s="655"/>
      <c r="B29" s="653"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94"/>
      <c r="Q29" s="1804" t="str">
        <f t="shared" si="11"/>
        <v>成新率</v>
      </c>
      <c r="R29" s="770" t="s">
        <v>17</v>
      </c>
      <c r="S29" s="771" t="e">
        <f t="shared" si="12"/>
        <v>#N/A</v>
      </c>
      <c r="T29" s="770" t="s">
        <v>17</v>
      </c>
      <c r="U29" s="771" t="e">
        <f t="shared" si="13"/>
        <v>#N/A</v>
      </c>
      <c r="V29" s="770" t="s">
        <v>17</v>
      </c>
      <c r="W29" s="771" t="e">
        <f t="shared" si="14"/>
        <v>#N/A</v>
      </c>
      <c r="X29" s="1807"/>
      <c r="Y29" s="3294"/>
      <c r="Z29" s="1808" t="str">
        <f t="shared" si="15"/>
        <v>成新率</v>
      </c>
      <c r="AA29" s="1805" t="e">
        <f t="shared" si="3"/>
        <v>#N/A</v>
      </c>
      <c r="AB29" s="1805" t="e">
        <f t="shared" si="4"/>
        <v>#N/A</v>
      </c>
      <c r="AC29" s="1805" t="e">
        <f t="shared" si="5"/>
        <v>#N/A</v>
      </c>
    </row>
    <row r="30" spans="1:29" ht="15">
      <c r="A30" s="655"/>
      <c r="B30" s="653" t="s">
        <v>2708</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294"/>
      <c r="Q30" s="1804" t="str">
        <f t="shared" si="11"/>
        <v>物业等级</v>
      </c>
      <c r="R30" s="770" t="s">
        <v>17</v>
      </c>
      <c r="S30" s="771">
        <f t="shared" si="12"/>
        <v>100</v>
      </c>
      <c r="T30" s="770" t="s">
        <v>17</v>
      </c>
      <c r="U30" s="771">
        <f t="shared" si="13"/>
        <v>100</v>
      </c>
      <c r="V30" s="770" t="s">
        <v>17</v>
      </c>
      <c r="W30" s="771">
        <f t="shared" si="14"/>
        <v>100</v>
      </c>
      <c r="X30" s="1807"/>
      <c r="Y30" s="3294"/>
      <c r="Z30" s="1808" t="str">
        <f t="shared" si="15"/>
        <v>物业等级</v>
      </c>
      <c r="AA30" s="1805">
        <f t="shared" si="3"/>
        <v>1</v>
      </c>
      <c r="AB30" s="1805">
        <f t="shared" si="4"/>
        <v>1</v>
      </c>
      <c r="AC30" s="1805">
        <f t="shared" si="5"/>
        <v>1</v>
      </c>
    </row>
    <row r="31" spans="1:29" s="117" customFormat="1" ht="15">
      <c r="A31" s="657"/>
      <c r="B31" s="653"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94"/>
      <c r="Q31" s="1789" t="str">
        <f t="shared" si="11"/>
        <v>停车位面积</v>
      </c>
      <c r="R31" s="766" t="s">
        <v>17</v>
      </c>
      <c r="S31" s="767" t="e">
        <f t="shared" si="12"/>
        <v>#N/A</v>
      </c>
      <c r="T31" s="766" t="s">
        <v>17</v>
      </c>
      <c r="U31" s="767" t="e">
        <f t="shared" si="13"/>
        <v>#N/A</v>
      </c>
      <c r="V31" s="766" t="s">
        <v>17</v>
      </c>
      <c r="W31" s="767" t="e">
        <f t="shared" si="14"/>
        <v>#N/A</v>
      </c>
      <c r="X31" s="768"/>
      <c r="Y31" s="3294"/>
      <c r="Z31" s="55" t="str">
        <f t="shared" si="15"/>
        <v>停车位面积</v>
      </c>
      <c r="AA31" s="769" t="e">
        <f t="shared" si="3"/>
        <v>#N/A</v>
      </c>
      <c r="AB31" s="769" t="e">
        <f t="shared" si="4"/>
        <v>#N/A</v>
      </c>
      <c r="AC31" s="769" t="e">
        <f t="shared" si="5"/>
        <v>#N/A</v>
      </c>
    </row>
    <row r="32" spans="1:29" ht="15">
      <c r="A32" s="655"/>
      <c r="B32" s="653" t="s">
        <v>2710</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94" t="s">
        <v>2557</v>
      </c>
      <c r="Q32" s="1804" t="str">
        <f t="shared" si="11"/>
        <v>车位类型</v>
      </c>
      <c r="R32" s="770" t="s">
        <v>17</v>
      </c>
      <c r="S32" s="771">
        <f t="shared" si="12"/>
        <v>100</v>
      </c>
      <c r="T32" s="770" t="s">
        <v>17</v>
      </c>
      <c r="U32" s="771">
        <f t="shared" si="13"/>
        <v>100</v>
      </c>
      <c r="V32" s="770" t="s">
        <v>17</v>
      </c>
      <c r="W32" s="771">
        <f t="shared" si="14"/>
        <v>100</v>
      </c>
      <c r="X32" s="1807"/>
      <c r="Y32" s="3294" t="s">
        <v>2557</v>
      </c>
      <c r="Z32" s="1808" t="str">
        <f t="shared" si="15"/>
        <v>车位类型</v>
      </c>
      <c r="AA32" s="1805">
        <f t="shared" si="3"/>
        <v>1</v>
      </c>
      <c r="AB32" s="1805">
        <f t="shared" si="4"/>
        <v>1</v>
      </c>
      <c r="AC32" s="1805">
        <f t="shared" si="5"/>
        <v>1</v>
      </c>
    </row>
    <row r="33" spans="1:29" ht="15">
      <c r="A33" s="655"/>
      <c r="B33" s="653" t="s">
        <v>2711</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94"/>
      <c r="Q33" s="1804" t="str">
        <f t="shared" si="11"/>
        <v>是否直接入户</v>
      </c>
      <c r="R33" s="770" t="s">
        <v>17</v>
      </c>
      <c r="S33" s="771">
        <f t="shared" si="12"/>
        <v>100</v>
      </c>
      <c r="T33" s="770" t="s">
        <v>17</v>
      </c>
      <c r="U33" s="771">
        <f t="shared" si="13"/>
        <v>100</v>
      </c>
      <c r="V33" s="770" t="s">
        <v>17</v>
      </c>
      <c r="W33" s="771">
        <f t="shared" si="14"/>
        <v>100</v>
      </c>
      <c r="X33" s="1807"/>
      <c r="Y33" s="3294"/>
      <c r="Z33" s="1808" t="str">
        <f t="shared" si="15"/>
        <v>是否直接入户</v>
      </c>
      <c r="AA33" s="1805">
        <f t="shared" si="3"/>
        <v>1</v>
      </c>
      <c r="AB33" s="1805">
        <f t="shared" si="4"/>
        <v>1</v>
      </c>
      <c r="AC33" s="1805">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94"/>
      <c r="Q34" s="1804">
        <f t="shared" si="11"/>
        <v>111</v>
      </c>
      <c r="R34" s="770" t="s">
        <v>17</v>
      </c>
      <c r="S34" s="771">
        <f t="shared" si="12"/>
        <v>100</v>
      </c>
      <c r="T34" s="770" t="s">
        <v>17</v>
      </c>
      <c r="U34" s="771">
        <f t="shared" si="13"/>
        <v>100</v>
      </c>
      <c r="V34" s="770" t="s">
        <v>17</v>
      </c>
      <c r="W34" s="771">
        <f t="shared" si="14"/>
        <v>100</v>
      </c>
      <c r="X34" s="1807"/>
      <c r="Y34" s="3294"/>
      <c r="Z34" s="1808">
        <f t="shared" si="15"/>
        <v>111</v>
      </c>
      <c r="AA34" s="1805">
        <f t="shared" si="3"/>
        <v>1</v>
      </c>
      <c r="AB34" s="1805">
        <f t="shared" si="4"/>
        <v>1</v>
      </c>
      <c r="AC34" s="1805">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94"/>
      <c r="Q35" s="772">
        <f t="shared" si="11"/>
        <v>111</v>
      </c>
      <c r="R35" s="773" t="s">
        <v>17</v>
      </c>
      <c r="S35" s="774">
        <f t="shared" si="12"/>
        <v>100</v>
      </c>
      <c r="T35" s="773" t="s">
        <v>17</v>
      </c>
      <c r="U35" s="774">
        <f t="shared" si="13"/>
        <v>100</v>
      </c>
      <c r="V35" s="773" t="s">
        <v>17</v>
      </c>
      <c r="W35" s="774">
        <f t="shared" si="14"/>
        <v>100</v>
      </c>
      <c r="X35" s="775"/>
      <c r="Y35" s="3294"/>
      <c r="Z35" s="776">
        <f t="shared" si="15"/>
        <v>111</v>
      </c>
      <c r="AA35" s="1805">
        <f t="shared" si="3"/>
        <v>1</v>
      </c>
      <c r="AB35" s="1805">
        <f t="shared" si="4"/>
        <v>1</v>
      </c>
      <c r="AC35" s="1805">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94"/>
      <c r="Q36" s="1804">
        <f t="shared" si="11"/>
        <v>111</v>
      </c>
      <c r="R36" s="770" t="s">
        <v>17</v>
      </c>
      <c r="S36" s="771">
        <f t="shared" si="12"/>
        <v>100</v>
      </c>
      <c r="T36" s="770" t="s">
        <v>17</v>
      </c>
      <c r="U36" s="771">
        <f t="shared" si="13"/>
        <v>100</v>
      </c>
      <c r="V36" s="770" t="s">
        <v>17</v>
      </c>
      <c r="W36" s="771">
        <f t="shared" si="14"/>
        <v>100</v>
      </c>
      <c r="X36" s="1807"/>
      <c r="Y36" s="3294"/>
      <c r="Z36" s="1808">
        <f t="shared" si="15"/>
        <v>111</v>
      </c>
      <c r="AA36" s="1805">
        <f t="shared" si="3"/>
        <v>1</v>
      </c>
      <c r="AB36" s="1805">
        <f t="shared" si="4"/>
        <v>1</v>
      </c>
      <c r="AC36" s="1805">
        <f t="shared" si="5"/>
        <v>1</v>
      </c>
    </row>
    <row r="37" spans="1:29" ht="15">
      <c r="A37" s="479" t="s">
        <v>2712</v>
      </c>
      <c r="B37" s="2692" t="s">
        <v>2713</v>
      </c>
      <c r="C37" s="1401" t="s">
        <v>1</v>
      </c>
      <c r="D37" s="1402"/>
      <c r="E37" s="1403"/>
      <c r="F37" s="1404"/>
      <c r="G37" s="1405"/>
      <c r="H37" s="1406"/>
      <c r="I37" s="1403"/>
      <c r="J37" s="1406"/>
      <c r="K37" s="618"/>
      <c r="L37" s="1139"/>
      <c r="M37" s="1140"/>
      <c r="N37" s="1127"/>
      <c r="O37" s="1140"/>
      <c r="P37" s="3287" t="str">
        <f>A37</f>
        <v>成交单价</v>
      </c>
      <c r="Q37" s="3287"/>
      <c r="R37" s="3288">
        <f>E37</f>
        <v>0</v>
      </c>
      <c r="S37" s="3288"/>
      <c r="T37" s="3288">
        <f>G37</f>
        <v>0</v>
      </c>
      <c r="U37" s="3288"/>
      <c r="V37" s="3288">
        <f>I37</f>
        <v>0</v>
      </c>
      <c r="W37" s="3288"/>
      <c r="X37" s="755"/>
      <c r="Y37" s="777"/>
      <c r="Z37" s="755"/>
      <c r="AA37" s="755"/>
      <c r="AB37" s="755"/>
      <c r="AC37" s="755"/>
    </row>
    <row r="38" spans="1:29" ht="15.75" thickBot="1">
      <c r="A38" s="486" t="s">
        <v>2714</v>
      </c>
      <c r="B38" s="487" t="str">
        <f>B37</f>
        <v>元/车位</v>
      </c>
      <c r="C38" s="1407" t="e">
        <f>R39</f>
        <v>#DIV/0!</v>
      </c>
      <c r="D38" s="1408"/>
      <c r="E38" s="1409" t="e">
        <f>R38</f>
        <v>#DIV/0!</v>
      </c>
      <c r="F38" s="1409"/>
      <c r="G38" s="1407" t="e">
        <f>T38</f>
        <v>#DIV/0!</v>
      </c>
      <c r="H38" s="1408"/>
      <c r="I38" s="1409" t="e">
        <f>V38</f>
        <v>#DIV/0!</v>
      </c>
      <c r="J38" s="1408"/>
      <c r="K38" s="619"/>
      <c r="L38" s="1139"/>
      <c r="M38" s="1140"/>
      <c r="N38" s="1140"/>
      <c r="O38" s="1140"/>
      <c r="P38" s="3287" t="str">
        <f>A38</f>
        <v>比较价值（元/平方米）</v>
      </c>
      <c r="Q38" s="3287"/>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755"/>
      <c r="Y38" s="755"/>
      <c r="Z38" s="755"/>
      <c r="AA38" s="755"/>
      <c r="AB38" s="755"/>
      <c r="AC38" s="755"/>
    </row>
    <row r="39" spans="1:29" ht="15.75" thickBot="1">
      <c r="A39" s="492" t="s">
        <v>2715</v>
      </c>
      <c r="B39" s="493"/>
      <c r="C39" s="1411" t="e">
        <f>R39</f>
        <v>#DIV/0!</v>
      </c>
      <c r="D39" s="1411"/>
      <c r="E39" s="1411"/>
      <c r="F39" s="1411"/>
      <c r="G39" s="1411"/>
      <c r="H39" s="1411"/>
      <c r="I39" s="1411"/>
      <c r="J39" s="1411"/>
      <c r="K39" s="620"/>
      <c r="L39" s="1139"/>
      <c r="M39" s="1140"/>
      <c r="N39" s="1140"/>
      <c r="O39" s="1140"/>
      <c r="P39" s="3284" t="str">
        <f>A39</f>
        <v>估价对象XX用房的比较价值（楼面单价，元/平方米）</v>
      </c>
      <c r="Q39" s="3285"/>
      <c r="R39" s="3286" t="e">
        <f>IF(F1="售价",ROUND(AVERAGE(R38:V38),0),ROUND(AVERAGE(R38:V38),1))</f>
        <v>#DIV/0!</v>
      </c>
      <c r="S39" s="3286"/>
      <c r="T39" s="3286"/>
      <c r="U39" s="3286"/>
      <c r="V39" s="3286"/>
      <c r="W39" s="3286"/>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4"/>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4"/>
      <c r="Q41" s="1140"/>
      <c r="R41" s="1140"/>
      <c r="S41" s="1140"/>
      <c r="T41" s="1140"/>
      <c r="U41" s="1140"/>
      <c r="V41" s="1140"/>
      <c r="W41" s="1140"/>
      <c r="X41" s="1140"/>
      <c r="Y41" s="1140"/>
      <c r="Z41" s="1140"/>
      <c r="AA41" s="1140"/>
      <c r="AB41" s="1140"/>
      <c r="AC41" s="1140"/>
    </row>
    <row r="42" spans="1:29" ht="13.5" customHeight="1">
      <c r="A42" s="1140"/>
      <c r="B42" s="1140"/>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4"/>
      <c r="Q42" s="1140"/>
      <c r="R42" s="1140"/>
      <c r="S42" s="1140"/>
      <c r="T42" s="1140"/>
      <c r="U42" s="1140"/>
      <c r="V42" s="1140"/>
      <c r="W42" s="1140"/>
      <c r="X42" s="1140"/>
      <c r="Y42" s="1140"/>
      <c r="Z42" s="1140"/>
      <c r="AA42" s="1140"/>
      <c r="AB42" s="1140"/>
      <c r="AC42" s="1140"/>
    </row>
    <row r="43" spans="1:29" ht="13.5" customHeight="1">
      <c r="A43" s="1140"/>
      <c r="B43" s="1140"/>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4"/>
      <c r="Q43" s="1140"/>
      <c r="R43" s="1140"/>
      <c r="S43" s="1140"/>
      <c r="T43" s="1140"/>
      <c r="U43" s="1140"/>
      <c r="V43" s="1140"/>
      <c r="W43" s="1140"/>
      <c r="X43" s="1140"/>
      <c r="Y43" s="1140"/>
      <c r="Z43" s="1140"/>
      <c r="AA43" s="1140"/>
      <c r="AB43" s="1140"/>
      <c r="AC43" s="1140"/>
    </row>
    <row r="44" spans="1:29" s="502" customFormat="1" ht="13.5" customHeight="1">
      <c r="A44" s="1141"/>
      <c r="B44" s="1141"/>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5"/>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5"/>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4"/>
      <c r="Q46" s="1140"/>
      <c r="R46" s="1140"/>
      <c r="S46" s="1140"/>
      <c r="T46" s="1140"/>
      <c r="U46" s="1140"/>
      <c r="V46" s="1140"/>
      <c r="W46" s="1140"/>
      <c r="X46" s="1140"/>
      <c r="Y46" s="1140"/>
      <c r="Z46" s="1140"/>
      <c r="AA46" s="1140"/>
      <c r="AB46" s="1140"/>
      <c r="AC46" s="1140"/>
    </row>
    <row r="47" spans="1:29" ht="21.75" thickBot="1">
      <c r="A47" s="1418" t="s">
        <v>2719</v>
      </c>
      <c r="B47" s="1140"/>
      <c r="C47" s="1155"/>
      <c r="D47" s="1155"/>
      <c r="E47" s="1155"/>
      <c r="F47" s="1419"/>
      <c r="G47" s="1419"/>
      <c r="H47" s="1155"/>
      <c r="I47" s="1155"/>
      <c r="J47" s="1155"/>
      <c r="K47" s="1156"/>
      <c r="L47" s="1157"/>
      <c r="M47" s="1155"/>
      <c r="N47" s="1155"/>
      <c r="O47" s="1155"/>
      <c r="P47" s="1416"/>
      <c r="Q47" s="1417"/>
      <c r="R47" s="1140"/>
      <c r="S47" s="1140"/>
      <c r="T47" s="1140"/>
      <c r="U47" s="1140"/>
      <c r="V47" s="1140"/>
      <c r="W47" s="1140"/>
      <c r="X47" s="1140"/>
      <c r="Y47" s="1140"/>
      <c r="Z47" s="1140"/>
      <c r="AA47" s="1140"/>
      <c r="AB47" s="1140"/>
      <c r="AC47" s="1140"/>
    </row>
    <row r="48" spans="1:29" s="508" customFormat="1" ht="15">
      <c r="A48" s="505" t="s">
        <v>2720</v>
      </c>
      <c r="B48" s="506"/>
      <c r="C48" s="1568" t="str">
        <f>YEAR(C7)&amp;"-"&amp;MONTH(C7)</f>
        <v>2019-7</v>
      </c>
      <c r="D48" s="1569">
        <f>EDATE(C48,-1)</f>
        <v>43617</v>
      </c>
      <c r="E48" s="1569">
        <f t="shared" ref="E48:O48" si="16">EDATE(D48,-1)</f>
        <v>43586</v>
      </c>
      <c r="F48" s="1569">
        <f t="shared" si="16"/>
        <v>43556</v>
      </c>
      <c r="G48" s="1569">
        <f t="shared" si="16"/>
        <v>43525</v>
      </c>
      <c r="H48" s="1569">
        <f t="shared" si="16"/>
        <v>43497</v>
      </c>
      <c r="I48" s="1569">
        <f t="shared" si="16"/>
        <v>43466</v>
      </c>
      <c r="J48" s="1569">
        <f t="shared" si="16"/>
        <v>43435</v>
      </c>
      <c r="K48" s="1569">
        <f t="shared" si="16"/>
        <v>43405</v>
      </c>
      <c r="L48" s="1569">
        <f t="shared" si="16"/>
        <v>43374</v>
      </c>
      <c r="M48" s="1569">
        <f t="shared" si="16"/>
        <v>43344</v>
      </c>
      <c r="N48" s="1569">
        <f t="shared" si="16"/>
        <v>43313</v>
      </c>
      <c r="O48" s="1569">
        <f t="shared" si="16"/>
        <v>43282</v>
      </c>
      <c r="P48" s="1432"/>
      <c r="Q48" s="1433"/>
      <c r="R48" s="1433"/>
      <c r="S48" s="1433"/>
      <c r="T48" s="1433"/>
      <c r="U48" s="1433"/>
      <c r="V48" s="1433"/>
      <c r="W48" s="1433"/>
      <c r="X48" s="1433"/>
      <c r="Y48" s="1433"/>
      <c r="Z48" s="1433"/>
      <c r="AA48" s="1433"/>
      <c r="AB48" s="1433"/>
      <c r="AC48" s="1433"/>
    </row>
    <row r="49" spans="1:29" s="117" customFormat="1" ht="15">
      <c r="A49" s="509"/>
      <c r="B49" s="510"/>
      <c r="C49" s="1560">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75" thickBot="1">
      <c r="A50" s="515" t="s">
        <v>2577</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5">
      <c r="A51" s="521" t="s">
        <v>2542</v>
      </c>
      <c r="B51" s="510"/>
      <c r="C51" s="522" t="s">
        <v>2644</v>
      </c>
      <c r="D51" s="523"/>
      <c r="E51" s="523"/>
      <c r="F51" s="523"/>
      <c r="G51" s="523"/>
      <c r="H51" s="523"/>
      <c r="I51" s="523"/>
      <c r="J51" s="523"/>
      <c r="K51" s="523"/>
      <c r="L51" s="524"/>
      <c r="M51" s="525"/>
      <c r="N51" s="1147"/>
      <c r="O51" s="1147"/>
      <c r="P51" s="1420"/>
      <c r="Q51" s="1417"/>
      <c r="R51" s="1421"/>
      <c r="S51" s="1421"/>
      <c r="T51" s="1421"/>
      <c r="U51" s="1421"/>
      <c r="V51" s="1421"/>
      <c r="W51" s="1421"/>
      <c r="X51" s="1421"/>
      <c r="Y51" s="1421"/>
      <c r="Z51" s="1421"/>
      <c r="AA51" s="1421"/>
      <c r="AB51" s="1421"/>
      <c r="AC51" s="1421"/>
    </row>
    <row r="52" spans="1:29" s="117" customFormat="1" ht="15.75" thickBot="1">
      <c r="A52" s="521"/>
      <c r="B52" s="510"/>
      <c r="C52" s="638">
        <v>100</v>
      </c>
      <c r="D52" s="512"/>
      <c r="E52" s="512"/>
      <c r="F52" s="512"/>
      <c r="G52" s="512"/>
      <c r="H52" s="512"/>
      <c r="I52" s="512"/>
      <c r="J52" s="512"/>
      <c r="K52" s="512"/>
      <c r="L52" s="512"/>
      <c r="M52" s="514"/>
      <c r="N52" s="1147"/>
      <c r="O52" s="1147"/>
      <c r="P52" s="1422"/>
      <c r="Q52" s="1417"/>
      <c r="R52" s="1421"/>
      <c r="S52" s="1421"/>
      <c r="T52" s="1421"/>
      <c r="U52" s="1421"/>
      <c r="V52" s="1421"/>
      <c r="W52" s="1421"/>
      <c r="X52" s="1421"/>
      <c r="Y52" s="1421"/>
      <c r="Z52" s="1421"/>
      <c r="AA52" s="1421"/>
      <c r="AB52" s="1421"/>
      <c r="AC52" s="1421"/>
    </row>
    <row r="53" spans="1:29">
      <c r="A53" s="527" t="s">
        <v>2580</v>
      </c>
      <c r="B53" s="528" t="s">
        <v>2546</v>
      </c>
      <c r="C53" s="529">
        <f>C9</f>
        <v>0</v>
      </c>
      <c r="D53" s="530"/>
      <c r="E53" s="530"/>
      <c r="F53" s="530"/>
      <c r="G53" s="530"/>
      <c r="H53" s="530"/>
      <c r="I53" s="530"/>
      <c r="J53" s="530"/>
      <c r="K53" s="531"/>
      <c r="L53" s="532"/>
      <c r="M53" s="533"/>
      <c r="N53" s="1148"/>
      <c r="O53" s="1148"/>
      <c r="P53" s="1423"/>
      <c r="Q53" s="1417"/>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3"/>
      <c r="Q54" s="1417"/>
      <c r="R54" s="1140"/>
      <c r="S54" s="1140"/>
      <c r="T54" s="1140"/>
      <c r="U54" s="1140"/>
      <c r="V54" s="1140"/>
      <c r="W54" s="1140"/>
      <c r="X54" s="1140"/>
      <c r="Y54" s="1140"/>
      <c r="Z54" s="1140"/>
      <c r="AA54" s="1140"/>
      <c r="AB54" s="1140"/>
      <c r="AC54" s="1140"/>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48"/>
      <c r="O55" s="1148"/>
      <c r="P55" s="1423"/>
      <c r="Q55" s="1417"/>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3"/>
      <c r="Q56" s="1417"/>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3"/>
      <c r="Q57" s="1417"/>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3"/>
      <c r="Q58" s="1417"/>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4"/>
      <c r="Q59" s="1425"/>
      <c r="R59" s="1426"/>
      <c r="S59" s="1426"/>
      <c r="T59" s="1426"/>
      <c r="U59" s="1426"/>
      <c r="V59" s="1426"/>
      <c r="W59" s="1426"/>
      <c r="X59" s="1426"/>
      <c r="Y59" s="1426"/>
      <c r="Z59" s="1426"/>
      <c r="AA59" s="1426"/>
      <c r="AB59" s="1426"/>
      <c r="AC59" s="1426"/>
    </row>
    <row r="60" spans="1:29" s="471" customFormat="1" ht="15.75" thickBot="1">
      <c r="A60" s="553"/>
      <c r="B60" s="543"/>
      <c r="C60" s="560"/>
      <c r="D60" s="536"/>
      <c r="E60" s="536"/>
      <c r="F60" s="536"/>
      <c r="G60" s="536"/>
      <c r="H60" s="536"/>
      <c r="I60" s="536"/>
      <c r="J60" s="536"/>
      <c r="K60" s="536"/>
      <c r="L60" s="536"/>
      <c r="M60" s="537"/>
      <c r="N60" s="1149"/>
      <c r="O60" s="1149"/>
      <c r="P60" s="1424"/>
      <c r="Q60" s="1425"/>
      <c r="R60" s="1426"/>
      <c r="S60" s="1426"/>
      <c r="T60" s="1426"/>
      <c r="U60" s="1426"/>
      <c r="V60" s="1426"/>
      <c r="W60" s="1426"/>
      <c r="X60" s="1426"/>
      <c r="Y60" s="1426"/>
      <c r="Z60" s="1426"/>
      <c r="AA60" s="1426"/>
      <c r="AB60" s="1426"/>
      <c r="AC60" s="1426"/>
    </row>
    <row r="61" spans="1:29" s="471" customFormat="1" ht="15.75" thickTop="1">
      <c r="A61" s="553"/>
      <c r="B61" s="538">
        <f>B13</f>
        <v>111</v>
      </c>
      <c r="C61" s="554"/>
      <c r="D61" s="554"/>
      <c r="E61" s="554"/>
      <c r="F61" s="554"/>
      <c r="G61" s="554"/>
      <c r="H61" s="555"/>
      <c r="I61" s="555"/>
      <c r="J61" s="555"/>
      <c r="K61" s="555"/>
      <c r="L61" s="556"/>
      <c r="M61" s="557"/>
      <c r="N61" s="1150"/>
      <c r="O61" s="1150"/>
      <c r="P61" s="1427"/>
      <c r="Q61" s="1428"/>
      <c r="R61" s="1426"/>
      <c r="S61" s="1426"/>
      <c r="T61" s="1426"/>
      <c r="U61" s="1426"/>
      <c r="V61" s="1426"/>
      <c r="W61" s="1426"/>
      <c r="X61" s="1426"/>
      <c r="Y61" s="1426"/>
      <c r="Z61" s="1426"/>
      <c r="AA61" s="1426"/>
      <c r="AB61" s="1426"/>
      <c r="AC61" s="1426"/>
    </row>
    <row r="62" spans="1:29" s="471" customFormat="1" ht="15.75" thickBot="1">
      <c r="A62" s="553"/>
      <c r="B62" s="543"/>
      <c r="C62" s="560"/>
      <c r="D62" s="560"/>
      <c r="E62" s="560"/>
      <c r="F62" s="560"/>
      <c r="G62" s="560"/>
      <c r="H62" s="562"/>
      <c r="I62" s="562"/>
      <c r="J62" s="562"/>
      <c r="K62" s="562"/>
      <c r="L62" s="562"/>
      <c r="M62" s="563"/>
      <c r="N62" s="1150"/>
      <c r="O62" s="1150"/>
      <c r="P62" s="1424"/>
      <c r="Q62" s="1425"/>
      <c r="R62" s="1426"/>
      <c r="S62" s="1426"/>
      <c r="T62" s="1426"/>
      <c r="U62" s="1426"/>
      <c r="V62" s="1426"/>
      <c r="W62" s="1426"/>
      <c r="X62" s="1426"/>
      <c r="Y62" s="1426"/>
      <c r="Z62" s="1426"/>
      <c r="AA62" s="1426"/>
      <c r="AB62" s="1426"/>
      <c r="AC62" s="1426"/>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48"/>
      <c r="O63" s="1148"/>
      <c r="P63" s="1429"/>
      <c r="Q63" s="1417"/>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3"/>
      <c r="Q64" s="1417"/>
      <c r="R64" s="1140"/>
      <c r="S64" s="1140"/>
      <c r="T64" s="1140"/>
      <c r="U64" s="1140"/>
      <c r="V64" s="1140"/>
      <c r="W64" s="1140"/>
      <c r="X64" s="1140"/>
      <c r="Y64" s="1140"/>
      <c r="Z64" s="1140"/>
      <c r="AA64" s="1140"/>
      <c r="AB64" s="1140"/>
      <c r="AC64" s="1140"/>
    </row>
    <row r="65" spans="1:29" ht="15.75" thickTop="1">
      <c r="A65" s="534"/>
      <c r="B65" s="538" t="s">
        <v>2595</v>
      </c>
      <c r="C65" s="578" t="s">
        <v>2589</v>
      </c>
      <c r="D65" s="578" t="s">
        <v>2590</v>
      </c>
      <c r="E65" s="578" t="s">
        <v>2591</v>
      </c>
      <c r="F65" s="578" t="s">
        <v>2592</v>
      </c>
      <c r="G65" s="578" t="s">
        <v>2593</v>
      </c>
      <c r="H65" s="539"/>
      <c r="I65" s="539"/>
      <c r="J65" s="539"/>
      <c r="K65" s="540"/>
      <c r="L65" s="541"/>
      <c r="M65" s="542"/>
      <c r="N65" s="1148"/>
      <c r="O65" s="1148"/>
      <c r="P65" s="1423"/>
      <c r="Q65" s="1417"/>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3"/>
      <c r="Q66" s="1417"/>
      <c r="R66" s="1140"/>
      <c r="S66" s="1140"/>
      <c r="T66" s="1140"/>
      <c r="U66" s="1140"/>
      <c r="V66" s="1140"/>
      <c r="W66" s="1140"/>
      <c r="X66" s="1140"/>
      <c r="Y66" s="1140"/>
      <c r="Z66" s="1140"/>
      <c r="AA66" s="1140"/>
      <c r="AB66" s="1140"/>
      <c r="AC66" s="1140"/>
    </row>
    <row r="67" spans="1:29" ht="15.75" thickTop="1">
      <c r="A67" s="534"/>
      <c r="B67" s="546" t="s">
        <v>2681</v>
      </c>
      <c r="C67" s="659" t="s">
        <v>2667</v>
      </c>
      <c r="D67" s="659" t="s">
        <v>2668</v>
      </c>
      <c r="E67" s="659" t="s">
        <v>2669</v>
      </c>
      <c r="F67" s="659" t="s">
        <v>2670</v>
      </c>
      <c r="G67" s="659" t="s">
        <v>2671</v>
      </c>
      <c r="H67" s="539"/>
      <c r="I67" s="539"/>
      <c r="J67" s="539"/>
      <c r="K67" s="539"/>
      <c r="L67" s="539"/>
      <c r="M67" s="1376"/>
      <c r="N67" s="1149"/>
      <c r="O67" s="1149"/>
      <c r="P67" s="1423"/>
      <c r="Q67" s="1417"/>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3"/>
      <c r="Q68" s="1417"/>
      <c r="R68" s="1140"/>
      <c r="S68" s="1140"/>
      <c r="T68" s="1140"/>
      <c r="U68" s="1140"/>
      <c r="V68" s="1140"/>
      <c r="W68" s="1140"/>
      <c r="X68" s="1140"/>
      <c r="Y68" s="1140"/>
      <c r="Z68" s="1140"/>
      <c r="AA68" s="1140"/>
      <c r="AB68" s="1140"/>
      <c r="AC68" s="1140"/>
    </row>
    <row r="69" spans="1:29" ht="15.75" thickTop="1">
      <c r="A69" s="534"/>
      <c r="B69" s="538" t="s">
        <v>2601</v>
      </c>
      <c r="C69" s="578" t="s">
        <v>2589</v>
      </c>
      <c r="D69" s="578" t="s">
        <v>2590</v>
      </c>
      <c r="E69" s="578" t="s">
        <v>2591</v>
      </c>
      <c r="F69" s="578" t="s">
        <v>2592</v>
      </c>
      <c r="G69" s="578" t="s">
        <v>2593</v>
      </c>
      <c r="H69" s="539"/>
      <c r="I69" s="539"/>
      <c r="J69" s="539"/>
      <c r="K69" s="540"/>
      <c r="L69" s="541"/>
      <c r="M69" s="542"/>
      <c r="N69" s="1148"/>
      <c r="O69" s="1148"/>
      <c r="P69" s="1423"/>
      <c r="Q69" s="1417"/>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3"/>
      <c r="Q70" s="1417"/>
      <c r="R70" s="1140"/>
      <c r="S70" s="1140"/>
      <c r="T70" s="1140"/>
      <c r="U70" s="1140"/>
      <c r="V70" s="1140"/>
      <c r="W70" s="1140"/>
      <c r="X70" s="1140"/>
      <c r="Y70" s="1140"/>
      <c r="Z70" s="1140"/>
      <c r="AA70" s="1140"/>
      <c r="AB70" s="1140"/>
      <c r="AC70" s="1140"/>
    </row>
    <row r="71" spans="1:29" ht="15.75" thickTop="1">
      <c r="A71" s="534"/>
      <c r="B71" s="538" t="s">
        <v>2721</v>
      </c>
      <c r="C71" s="554"/>
      <c r="D71" s="554"/>
      <c r="E71" s="554"/>
      <c r="F71" s="554"/>
      <c r="G71" s="554"/>
      <c r="H71" s="583"/>
      <c r="I71" s="583"/>
      <c r="J71" s="583"/>
      <c r="K71" s="584"/>
      <c r="L71" s="585"/>
      <c r="M71" s="586"/>
      <c r="N71" s="1148"/>
      <c r="O71" s="1148"/>
      <c r="P71" s="1423"/>
      <c r="Q71" s="1417"/>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3"/>
      <c r="Q72" s="1417"/>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3"/>
      <c r="Q73" s="1417"/>
      <c r="R73" s="1421"/>
      <c r="S73" s="1421"/>
      <c r="T73" s="1421"/>
      <c r="U73" s="1421"/>
      <c r="V73" s="1421"/>
      <c r="W73" s="1421"/>
      <c r="X73" s="1421"/>
      <c r="Y73" s="1421"/>
      <c r="Z73" s="1421"/>
      <c r="AA73" s="1421"/>
      <c r="AB73" s="1421"/>
      <c r="AC73" s="1421"/>
    </row>
    <row r="74" spans="1:29" s="117" customFormat="1" ht="15.75" thickBot="1">
      <c r="A74" s="579"/>
      <c r="B74" s="543"/>
      <c r="C74" s="560"/>
      <c r="D74" s="536"/>
      <c r="E74" s="536"/>
      <c r="F74" s="536"/>
      <c r="G74" s="536"/>
      <c r="H74" s="536"/>
      <c r="I74" s="536"/>
      <c r="J74" s="536"/>
      <c r="K74" s="536"/>
      <c r="L74" s="536"/>
      <c r="M74" s="537"/>
      <c r="N74" s="1149"/>
      <c r="O74" s="1149"/>
      <c r="P74" s="1423"/>
      <c r="Q74" s="1417"/>
      <c r="R74" s="1421"/>
      <c r="S74" s="1421"/>
      <c r="T74" s="1421"/>
      <c r="U74" s="1421"/>
      <c r="V74" s="1421"/>
      <c r="W74" s="1421"/>
      <c r="X74" s="1421"/>
      <c r="Y74" s="1421"/>
      <c r="Z74" s="1421"/>
      <c r="AA74" s="1421"/>
      <c r="AB74" s="1421"/>
      <c r="AC74" s="1421"/>
    </row>
    <row r="75" spans="1:29" s="117" customFormat="1" ht="15.75" thickTop="1">
      <c r="A75" s="579"/>
      <c r="B75" s="538">
        <f>B24</f>
        <v>111</v>
      </c>
      <c r="C75" s="549"/>
      <c r="D75" s="549"/>
      <c r="E75" s="549"/>
      <c r="F75" s="549"/>
      <c r="G75" s="554"/>
      <c r="H75" s="554"/>
      <c r="I75" s="554"/>
      <c r="J75" s="554"/>
      <c r="K75" s="554"/>
      <c r="L75" s="554"/>
      <c r="M75" s="581"/>
      <c r="N75" s="1147"/>
      <c r="O75" s="1147"/>
      <c r="P75" s="1423"/>
      <c r="Q75" s="1417"/>
      <c r="R75" s="1421"/>
      <c r="S75" s="1421"/>
      <c r="T75" s="1421"/>
      <c r="U75" s="1421"/>
      <c r="V75" s="1421"/>
      <c r="W75" s="1421"/>
      <c r="X75" s="1421"/>
      <c r="Y75" s="1421"/>
      <c r="Z75" s="1421"/>
      <c r="AA75" s="1421"/>
      <c r="AB75" s="1421"/>
      <c r="AC75" s="1421"/>
    </row>
    <row r="76" spans="1:29" s="117" customFormat="1" ht="15.75" thickBot="1">
      <c r="A76" s="579"/>
      <c r="B76" s="543"/>
      <c r="C76" s="560"/>
      <c r="D76" s="536"/>
      <c r="E76" s="536"/>
      <c r="F76" s="536"/>
      <c r="G76" s="536"/>
      <c r="H76" s="536"/>
      <c r="I76" s="536"/>
      <c r="J76" s="536"/>
      <c r="K76" s="536"/>
      <c r="L76" s="536"/>
      <c r="M76" s="537"/>
      <c r="N76" s="1149"/>
      <c r="O76" s="1149"/>
      <c r="P76" s="1423"/>
      <c r="Q76" s="1417"/>
      <c r="R76" s="1421"/>
      <c r="S76" s="1421"/>
      <c r="T76" s="1421"/>
      <c r="U76" s="1421"/>
      <c r="V76" s="1421"/>
      <c r="W76" s="1421"/>
      <c r="X76" s="1421"/>
      <c r="Y76" s="1421"/>
      <c r="Z76" s="1421"/>
      <c r="AA76" s="1421"/>
      <c r="AB76" s="1421"/>
      <c r="AC76" s="1421"/>
    </row>
    <row r="77" spans="1:29" s="471" customFormat="1" ht="15.75" thickTop="1">
      <c r="A77" s="553"/>
      <c r="B77" s="538">
        <f>B25</f>
        <v>111</v>
      </c>
      <c r="C77" s="554"/>
      <c r="D77" s="554"/>
      <c r="E77" s="554"/>
      <c r="F77" s="554"/>
      <c r="G77" s="554"/>
      <c r="H77" s="555"/>
      <c r="I77" s="555"/>
      <c r="J77" s="555"/>
      <c r="K77" s="555"/>
      <c r="L77" s="556"/>
      <c r="M77" s="557"/>
      <c r="N77" s="1150"/>
      <c r="O77" s="1150"/>
      <c r="P77" s="1424"/>
      <c r="Q77" s="1425"/>
      <c r="R77" s="1426"/>
      <c r="S77" s="1426"/>
      <c r="T77" s="1426"/>
      <c r="U77" s="1426"/>
      <c r="V77" s="1426"/>
      <c r="W77" s="1426"/>
      <c r="X77" s="1426"/>
      <c r="Y77" s="1426"/>
      <c r="Z77" s="1426"/>
      <c r="AA77" s="1426"/>
      <c r="AB77" s="1426"/>
      <c r="AC77" s="1426"/>
    </row>
    <row r="78" spans="1:29" s="471" customFormat="1" ht="15.75" thickBot="1">
      <c r="A78" s="553"/>
      <c r="B78" s="543"/>
      <c r="C78" s="560"/>
      <c r="D78" s="560"/>
      <c r="E78" s="560"/>
      <c r="F78" s="560"/>
      <c r="G78" s="536"/>
      <c r="H78" s="536"/>
      <c r="I78" s="536"/>
      <c r="J78" s="536"/>
      <c r="K78" s="536"/>
      <c r="L78" s="536"/>
      <c r="M78" s="537"/>
      <c r="N78" s="1150"/>
      <c r="O78" s="1150"/>
      <c r="P78" s="1424"/>
      <c r="Q78" s="1425"/>
      <c r="R78" s="1426"/>
      <c r="S78" s="1426"/>
      <c r="T78" s="1426"/>
      <c r="U78" s="1426"/>
      <c r="V78" s="1426"/>
      <c r="W78" s="1426"/>
      <c r="X78" s="1426"/>
      <c r="Y78" s="1426"/>
      <c r="Z78" s="1426"/>
      <c r="AA78" s="1426"/>
      <c r="AB78" s="1426"/>
      <c r="AC78" s="1426"/>
    </row>
    <row r="79" spans="1:29" ht="27.75" thickTop="1">
      <c r="A79" s="527" t="s">
        <v>2555</v>
      </c>
      <c r="B79" s="528" t="s">
        <v>2722</v>
      </c>
      <c r="C79" s="529">
        <f>C26</f>
        <v>0</v>
      </c>
      <c r="D79" s="530"/>
      <c r="E79" s="530"/>
      <c r="F79" s="530"/>
      <c r="G79" s="530"/>
      <c r="H79" s="530"/>
      <c r="I79" s="530"/>
      <c r="J79" s="530"/>
      <c r="K79" s="531"/>
      <c r="L79" s="532"/>
      <c r="M79" s="533"/>
      <c r="N79" s="1148"/>
      <c r="O79" s="1148"/>
      <c r="P79" s="1423"/>
      <c r="Q79" s="1417"/>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3"/>
      <c r="Q80" s="1417"/>
      <c r="R80" s="1140"/>
      <c r="S80" s="1140"/>
      <c r="T80" s="1140"/>
      <c r="U80" s="1140"/>
      <c r="V80" s="1140"/>
      <c r="W80" s="1140"/>
      <c r="X80" s="1140"/>
      <c r="Y80" s="1140"/>
      <c r="Z80" s="1140"/>
      <c r="AA80" s="1140"/>
      <c r="AB80" s="1140"/>
      <c r="AC80" s="1140"/>
    </row>
    <row r="81" spans="1:29" ht="15.75" thickTop="1">
      <c r="A81" s="534"/>
      <c r="B81" s="538" t="s">
        <v>2723</v>
      </c>
      <c r="C81" s="660"/>
      <c r="D81" s="660"/>
      <c r="E81" s="660"/>
      <c r="F81" s="660"/>
      <c r="G81" s="660"/>
      <c r="H81" s="660"/>
      <c r="I81" s="660"/>
      <c r="J81" s="660"/>
      <c r="K81" s="661"/>
      <c r="L81" s="662"/>
      <c r="M81" s="663"/>
      <c r="N81" s="1147"/>
      <c r="O81" s="1147"/>
      <c r="P81" s="1423"/>
      <c r="Q81" s="1417"/>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4"/>
      <c r="Q82" s="1425"/>
      <c r="R82" s="1426"/>
      <c r="S82" s="1426"/>
      <c r="T82" s="1426"/>
      <c r="U82" s="1426"/>
      <c r="V82" s="1426"/>
      <c r="W82" s="1426"/>
      <c r="X82" s="1426"/>
      <c r="Y82" s="1426"/>
      <c r="Z82" s="1426"/>
      <c r="AA82" s="1426"/>
      <c r="AB82" s="1426"/>
      <c r="AC82" s="1426"/>
    </row>
    <row r="83" spans="1:29" ht="15" thickTop="1">
      <c r="A83" s="599"/>
      <c r="B83" s="538" t="s">
        <v>2608</v>
      </c>
      <c r="C83" s="554"/>
      <c r="D83" s="554"/>
      <c r="E83" s="583"/>
      <c r="F83" s="583"/>
      <c r="G83" s="583"/>
      <c r="H83" s="583"/>
      <c r="I83" s="583"/>
      <c r="J83" s="583"/>
      <c r="K83" s="584"/>
      <c r="L83" s="585"/>
      <c r="M83" s="586"/>
      <c r="N83" s="1148"/>
      <c r="O83" s="1148"/>
      <c r="P83" s="1423"/>
      <c r="Q83" s="1417"/>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3"/>
      <c r="Q84" s="1417"/>
      <c r="R84" s="1140"/>
      <c r="S84" s="1140"/>
      <c r="T84" s="1140"/>
      <c r="U84" s="1140"/>
      <c r="V84" s="1140"/>
      <c r="W84" s="1140"/>
      <c r="X84" s="1140"/>
      <c r="Y84" s="1140"/>
      <c r="Z84" s="1140"/>
      <c r="AA84" s="1140"/>
      <c r="AB84" s="1140"/>
      <c r="AC84" s="1140"/>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3"/>
      <c r="Q85" s="1417"/>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3"/>
      <c r="Q86" s="1417"/>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3"/>
      <c r="Q87" s="1417"/>
      <c r="R87" s="1140"/>
      <c r="S87" s="1140"/>
      <c r="T87" s="1140"/>
      <c r="U87" s="1140"/>
      <c r="V87" s="1140"/>
      <c r="W87" s="1140"/>
      <c r="X87" s="1140"/>
      <c r="Y87" s="1140"/>
      <c r="Z87" s="1140"/>
      <c r="AA87" s="1140"/>
      <c r="AB87" s="1140"/>
      <c r="AC87" s="1140"/>
    </row>
    <row r="88" spans="1:29" ht="15" thickTop="1">
      <c r="A88" s="599"/>
      <c r="B88" s="546" t="s">
        <v>2725</v>
      </c>
      <c r="C88" s="530"/>
      <c r="D88" s="530"/>
      <c r="E88" s="530"/>
      <c r="F88" s="530"/>
      <c r="G88" s="530"/>
      <c r="H88" s="530"/>
      <c r="I88" s="530"/>
      <c r="J88" s="530"/>
      <c r="K88" s="531"/>
      <c r="L88" s="532"/>
      <c r="M88" s="533"/>
      <c r="N88" s="1148"/>
      <c r="O88" s="1148"/>
      <c r="P88" s="1423"/>
      <c r="Q88" s="1417"/>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3"/>
      <c r="Q89" s="1417"/>
      <c r="R89" s="1140"/>
      <c r="S89" s="1140"/>
      <c r="T89" s="1140"/>
      <c r="U89" s="1140"/>
      <c r="V89" s="1140"/>
      <c r="W89" s="1140"/>
      <c r="X89" s="1140"/>
      <c r="Y89" s="1140"/>
      <c r="Z89" s="1140"/>
      <c r="AA89" s="1140"/>
      <c r="AB89" s="1140"/>
      <c r="AC89" s="1140"/>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4"/>
      <c r="Q90" s="1425"/>
      <c r="R90" s="1426"/>
      <c r="S90" s="1426"/>
      <c r="T90" s="1426"/>
      <c r="U90" s="1426"/>
      <c r="V90" s="1426"/>
      <c r="W90" s="1426"/>
      <c r="X90" s="1426"/>
      <c r="Y90" s="1426"/>
      <c r="Z90" s="1426"/>
      <c r="AA90" s="1426"/>
      <c r="AB90" s="1426"/>
      <c r="AC90" s="1426"/>
    </row>
    <row r="91" spans="1:29" s="471" customFormat="1">
      <c r="A91" s="593"/>
      <c r="B91" s="546"/>
      <c r="C91" s="595"/>
      <c r="D91" s="595"/>
      <c r="E91" s="595"/>
      <c r="F91" s="595"/>
      <c r="G91" s="595"/>
      <c r="H91" s="595"/>
      <c r="I91" s="595"/>
      <c r="J91" s="596"/>
      <c r="K91" s="596"/>
      <c r="L91" s="597"/>
      <c r="M91" s="598"/>
      <c r="N91" s="1150"/>
      <c r="O91" s="1150"/>
      <c r="P91" s="1424"/>
      <c r="Q91" s="1425"/>
      <c r="R91" s="1426"/>
      <c r="S91" s="1426"/>
      <c r="T91" s="1426"/>
      <c r="U91" s="1426"/>
      <c r="V91" s="1426"/>
      <c r="W91" s="1426"/>
      <c r="X91" s="1426"/>
      <c r="Y91" s="1426"/>
      <c r="Z91" s="1426"/>
      <c r="AA91" s="1426"/>
      <c r="AB91" s="1426"/>
      <c r="AC91" s="1426"/>
    </row>
    <row r="92" spans="1:29" s="471" customFormat="1" ht="15.75" thickBot="1">
      <c r="A92" s="553"/>
      <c r="B92" s="543"/>
      <c r="C92" s="560"/>
      <c r="D92" s="536"/>
      <c r="E92" s="536"/>
      <c r="F92" s="536"/>
      <c r="G92" s="536"/>
      <c r="H92" s="536"/>
      <c r="I92" s="536"/>
      <c r="J92" s="536"/>
      <c r="K92" s="536"/>
      <c r="L92" s="536"/>
      <c r="M92" s="537"/>
      <c r="N92" s="1150"/>
      <c r="O92" s="1150"/>
      <c r="P92" s="1424"/>
      <c r="Q92" s="1425"/>
      <c r="R92" s="1426"/>
      <c r="S92" s="1426"/>
      <c r="T92" s="1426"/>
      <c r="U92" s="1426"/>
      <c r="V92" s="1426"/>
      <c r="W92" s="1426"/>
      <c r="X92" s="1426"/>
      <c r="Y92" s="1426"/>
      <c r="Z92" s="1426"/>
      <c r="AA92" s="1426"/>
      <c r="AB92" s="1426"/>
      <c r="AC92" s="1426"/>
    </row>
    <row r="93" spans="1:29" ht="15" thickTop="1">
      <c r="A93" s="599"/>
      <c r="B93" s="538" t="s">
        <v>2727</v>
      </c>
      <c r="C93" s="554"/>
      <c r="D93" s="554"/>
      <c r="E93" s="583"/>
      <c r="F93" s="583"/>
      <c r="G93" s="583"/>
      <c r="H93" s="583"/>
      <c r="I93" s="583"/>
      <c r="J93" s="583"/>
      <c r="K93" s="584"/>
      <c r="L93" s="585"/>
      <c r="M93" s="586"/>
      <c r="N93" s="1148"/>
      <c r="O93" s="1148"/>
      <c r="P93" s="1423"/>
      <c r="Q93" s="1417"/>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3"/>
      <c r="Q94" s="1417"/>
      <c r="R94" s="1140"/>
      <c r="S94" s="1140"/>
      <c r="T94" s="1140"/>
      <c r="U94" s="1140"/>
      <c r="V94" s="1140"/>
      <c r="W94" s="1140"/>
      <c r="X94" s="1140"/>
      <c r="Y94" s="1140"/>
      <c r="Z94" s="1140"/>
      <c r="AA94" s="1140"/>
      <c r="AB94" s="1140"/>
      <c r="AC94" s="1140"/>
    </row>
    <row r="95" spans="1:29" ht="15" thickTop="1">
      <c r="A95" s="599"/>
      <c r="B95" s="538" t="s">
        <v>2728</v>
      </c>
      <c r="C95" s="530"/>
      <c r="D95" s="530"/>
      <c r="E95" s="530"/>
      <c r="F95" s="530"/>
      <c r="G95" s="530"/>
      <c r="H95" s="530"/>
      <c r="I95" s="530"/>
      <c r="J95" s="530"/>
      <c r="K95" s="531"/>
      <c r="L95" s="532"/>
      <c r="M95" s="533"/>
      <c r="N95" s="1148"/>
      <c r="O95" s="1148"/>
      <c r="P95" s="1423"/>
      <c r="Q95" s="1417"/>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3"/>
      <c r="Q96" s="1417"/>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0"/>
      <c r="Q97" s="1431"/>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3"/>
      <c r="Q98" s="1417"/>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4"/>
      <c r="Q99" s="1425"/>
      <c r="R99" s="1426"/>
      <c r="S99" s="1426"/>
      <c r="T99" s="1426"/>
      <c r="U99" s="1426"/>
      <c r="V99" s="1426"/>
      <c r="W99" s="1426"/>
      <c r="X99" s="1426"/>
      <c r="Y99" s="1426"/>
      <c r="Z99" s="1426"/>
      <c r="AA99" s="1426"/>
      <c r="AB99" s="1426"/>
      <c r="AC99" s="1426"/>
    </row>
    <row r="100" spans="1:29" s="471" customFormat="1" ht="15.75" thickBot="1">
      <c r="A100" s="553"/>
      <c r="B100" s="535"/>
      <c r="C100" s="560"/>
      <c r="D100" s="536"/>
      <c r="E100" s="536"/>
      <c r="F100" s="536"/>
      <c r="G100" s="560"/>
      <c r="H100" s="562"/>
      <c r="I100" s="562"/>
      <c r="J100" s="562"/>
      <c r="K100" s="562"/>
      <c r="L100" s="562"/>
      <c r="M100" s="563"/>
      <c r="N100" s="1150"/>
      <c r="O100" s="1150"/>
      <c r="P100" s="1424"/>
      <c r="Q100" s="1425"/>
      <c r="R100" s="1426"/>
      <c r="S100" s="1426"/>
      <c r="T100" s="1426"/>
      <c r="U100" s="1426"/>
      <c r="V100" s="1426"/>
      <c r="W100" s="1426"/>
      <c r="X100" s="1426"/>
      <c r="Y100" s="1426"/>
      <c r="Z100" s="1426"/>
      <c r="AA100" s="1426"/>
      <c r="AB100" s="1426"/>
      <c r="AC100" s="1426"/>
    </row>
    <row r="101" spans="1:29" ht="15" thickTop="1">
      <c r="A101" s="599"/>
      <c r="B101" s="538">
        <f>B36</f>
        <v>111</v>
      </c>
      <c r="C101" s="554"/>
      <c r="D101" s="554"/>
      <c r="E101" s="554"/>
      <c r="F101" s="554"/>
      <c r="G101" s="554"/>
      <c r="H101" s="555"/>
      <c r="I101" s="555"/>
      <c r="J101" s="555"/>
      <c r="K101" s="555"/>
      <c r="L101" s="556"/>
      <c r="M101" s="557"/>
      <c r="N101" s="1148"/>
      <c r="O101" s="1148"/>
      <c r="P101" s="1423"/>
      <c r="Q101" s="1417"/>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3"/>
      <c r="Q102" s="1417"/>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v>
      </c>
    </row>
    <row r="4" spans="1:1" ht="18">
      <c r="A4" s="1941" t="str">
        <f>"受贵公司委托，我公司对"&amp;项目基本情况!S1&amp;"进行了预评估。"</f>
        <v>受贵公司委托，我公司对进行了预评估。</v>
      </c>
    </row>
    <row r="5" spans="1:1" ht="18.75">
      <c r="A5" s="1942" t="s">
        <v>1607</v>
      </c>
    </row>
    <row r="6" spans="1:1" ht="18.75">
      <c r="A6" s="1943" t="s">
        <v>1608</v>
      </c>
    </row>
    <row r="7" spans="1:1" ht="36">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估价对象为房地产，为所有。根据《国有土地使用证》[]，估价对象（分摊）出让国有建设用地使用权面积为0平方米，建筑面积为3497.55平方米。</v>
      </c>
    </row>
    <row r="8" spans="1:1" ht="57.75">
      <c r="A8" s="1944" t="s">
        <v>1609</v>
      </c>
    </row>
    <row r="9" spans="1:1" ht="18.75">
      <c r="A9" s="1943" t="s">
        <v>1610</v>
      </c>
    </row>
    <row r="10" spans="1:1" ht="5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估价对象为房地产,属开发建设的，该项目尚在开发建设中。根据《国有土地使用证》[]，估价对象（分摊）出让国有建设用地使用权面积为0平方米，规划建筑面积为3497.55平方米。</v>
      </c>
    </row>
    <row r="11" spans="1:1" ht="76.5">
      <c r="A11" s="1944" t="s">
        <v>1611</v>
      </c>
    </row>
    <row r="12" spans="1:1" ht="18.75">
      <c r="A12" s="1942" t="s">
        <v>1612</v>
      </c>
    </row>
    <row r="13" spans="1:1" ht="38.25" customHeight="1">
      <c r="A13" s="1945" t="str">
        <f>IF(项目基本情况!B8="抵押",IF(项目基本情况!B5=项目基本情况!B6,定义!C51,定义!B51),定义!D51)</f>
        <v>为估价委托人了解估价对象房地产市场价值提供参考依据。</v>
      </c>
    </row>
    <row r="14" spans="1:1" ht="18.75">
      <c r="A14" s="1946" t="s">
        <v>1613</v>
      </c>
    </row>
    <row r="15" spans="1:1" ht="18">
      <c r="A15" s="1947" t="str">
        <f>TEXT(项目基本情况!D3,"yyyy年m月d日;;")&amp;IF(项目基本情况!D3=项目基本情况!B3,"（评估专业人员实地查勘之日）","")</f>
        <v>2019年7月24日（评估专业人员实地查勘之日）</v>
      </c>
    </row>
    <row r="16" spans="1:1" ht="18.75">
      <c r="A16" s="1946" t="s">
        <v>1614</v>
      </c>
    </row>
    <row r="17" spans="1:1" ht="75">
      <c r="A17" s="1941" t="s">
        <v>1615</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24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本次评估采用的主估价方法为比较法和收益法。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2699</v>
      </c>
      <c r="B1" s="1613"/>
      <c r="C1" s="1614" t="s">
        <v>2522</v>
      </c>
      <c r="D1" s="1615"/>
      <c r="E1" s="1624"/>
      <c r="F1" s="2581"/>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2319</v>
      </c>
      <c r="B2" s="1412" t="e">
        <f ca="1">IF(C2="——",ROUND(C37*D3/10000,0),ROUND(C37*D3/10000,0)-D2)</f>
        <v>#DIV/0!</v>
      </c>
      <c r="C2" s="2583"/>
      <c r="D2" s="1120" t="e">
        <f ca="1">SUMIF(INDIRECT("'"&amp;F2&amp;"'"&amp;"!A:A"),"承租人权益价值",INDIRECT("'"&amp;F2&amp;"'"&amp;"!c:c"))</f>
        <v>#REF!</v>
      </c>
      <c r="E2" s="2584" t="s">
        <v>2320</v>
      </c>
      <c r="F2" s="2585"/>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2321</v>
      </c>
      <c r="B3" s="609" t="e">
        <f ca="1">IF(C2="——",C37,ROUND(B2*10000/D3,0))</f>
        <v>#DIV/0!</v>
      </c>
      <c r="C3" s="400" t="s">
        <v>2636</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2637</v>
      </c>
      <c r="B4" s="402"/>
      <c r="C4" s="3302" t="s">
        <v>2638</v>
      </c>
      <c r="D4" s="3303"/>
      <c r="E4" s="3304" t="s">
        <v>2639</v>
      </c>
      <c r="F4" s="3305"/>
      <c r="G4" s="3302" t="s">
        <v>2640</v>
      </c>
      <c r="H4" s="3303"/>
      <c r="I4" s="3302" t="s">
        <v>2641</v>
      </c>
      <c r="J4" s="3303"/>
      <c r="K4" s="610" t="s">
        <v>2642</v>
      </c>
      <c r="L4" s="1126"/>
      <c r="M4" s="1127"/>
      <c r="N4" s="1127"/>
      <c r="O4" s="1127"/>
      <c r="P4" s="3306" t="s">
        <v>2643</v>
      </c>
      <c r="Q4" s="3307"/>
      <c r="R4" s="3312" t="s">
        <v>2639</v>
      </c>
      <c r="S4" s="3313"/>
      <c r="T4" s="3312" t="s">
        <v>2640</v>
      </c>
      <c r="U4" s="3313"/>
      <c r="V4" s="3318" t="s">
        <v>2641</v>
      </c>
      <c r="W4" s="3318"/>
      <c r="X4" s="1807"/>
      <c r="Y4" s="3312" t="s">
        <v>2643</v>
      </c>
      <c r="Z4" s="3313"/>
      <c r="AA4" s="3299" t="s">
        <v>2639</v>
      </c>
      <c r="AB4" s="3300" t="s">
        <v>2640</v>
      </c>
      <c r="AC4" s="3299" t="s">
        <v>2641</v>
      </c>
    </row>
    <row r="5" spans="1:29" ht="15">
      <c r="A5" s="404"/>
      <c r="B5" s="405"/>
      <c r="C5" s="3321" t="s">
        <v>2534</v>
      </c>
      <c r="D5" s="3322"/>
      <c r="E5" s="3328" t="s">
        <v>2535</v>
      </c>
      <c r="F5" s="3329"/>
      <c r="G5" s="3321" t="s">
        <v>2536</v>
      </c>
      <c r="H5" s="3322"/>
      <c r="I5" s="3321" t="s">
        <v>2537</v>
      </c>
      <c r="J5" s="3322"/>
      <c r="K5" s="610"/>
      <c r="L5" s="1126"/>
      <c r="M5" s="1127"/>
      <c r="N5" s="1127"/>
      <c r="O5" s="1127"/>
      <c r="P5" s="3308"/>
      <c r="Q5" s="3309"/>
      <c r="R5" s="3314"/>
      <c r="S5" s="3315"/>
      <c r="T5" s="3314"/>
      <c r="U5" s="3315"/>
      <c r="V5" s="3318"/>
      <c r="W5" s="3318"/>
      <c r="X5" s="1807"/>
      <c r="Y5" s="3314"/>
      <c r="Z5" s="3315"/>
      <c r="AA5" s="3300"/>
      <c r="AB5" s="3300"/>
      <c r="AC5" s="3300"/>
    </row>
    <row r="6" spans="1:29" ht="15.75" thickBot="1">
      <c r="A6" s="406"/>
      <c r="B6" s="407"/>
      <c r="C6" s="3319" t="s">
        <v>2538</v>
      </c>
      <c r="D6" s="3320"/>
      <c r="E6" s="3326" t="s">
        <v>2538</v>
      </c>
      <c r="F6" s="3327"/>
      <c r="G6" s="3319" t="s">
        <v>2538</v>
      </c>
      <c r="H6" s="3320"/>
      <c r="I6" s="3319" t="s">
        <v>2538</v>
      </c>
      <c r="J6" s="3320"/>
      <c r="K6" s="610" t="s">
        <v>2539</v>
      </c>
      <c r="L6" s="1126"/>
      <c r="M6" s="1127"/>
      <c r="N6" s="1127"/>
      <c r="O6" s="1127"/>
      <c r="P6" s="3310"/>
      <c r="Q6" s="3311"/>
      <c r="R6" s="3314"/>
      <c r="S6" s="3315"/>
      <c r="T6" s="3316"/>
      <c r="U6" s="3317"/>
      <c r="V6" s="3318"/>
      <c r="W6" s="3318"/>
      <c r="X6" s="1807"/>
      <c r="Y6" s="3316"/>
      <c r="Z6" s="3317"/>
      <c r="AA6" s="3301"/>
      <c r="AB6" s="3301"/>
      <c r="AC6" s="3301"/>
    </row>
    <row r="7" spans="1:29" s="117" customFormat="1" ht="15.75" thickBot="1">
      <c r="A7" s="408" t="s">
        <v>2540</v>
      </c>
      <c r="B7" s="409"/>
      <c r="C7" s="410">
        <f>'数据-取费表'!B2</f>
        <v>43670</v>
      </c>
      <c r="D7" s="411">
        <v>100</v>
      </c>
      <c r="E7" s="412"/>
      <c r="F7" s="413">
        <f>SUMIF(46:46,YEAR(E7)&amp;"-"&amp;MONTH(E7),47:47)</f>
        <v>0</v>
      </c>
      <c r="G7" s="2693"/>
      <c r="H7" s="411">
        <f>SUMIF(46:46,YEAR(G7)&amp;"-"&amp;MONTH(G7),47:47)</f>
        <v>0</v>
      </c>
      <c r="I7" s="412"/>
      <c r="J7" s="411">
        <f>SUMIF(46:46,YEAR(I7)&amp;"-"&amp;MONTH(I7),47:47)</f>
        <v>0</v>
      </c>
      <c r="K7" s="611"/>
      <c r="L7" s="1128"/>
      <c r="M7" s="1129"/>
      <c r="N7" s="1129"/>
      <c r="O7" s="1129"/>
      <c r="P7" s="3323" t="s">
        <v>2541</v>
      </c>
      <c r="Q7" s="3325"/>
      <c r="R7" s="766" t="s">
        <v>17</v>
      </c>
      <c r="S7" s="767">
        <f t="shared" ref="S7:S14" si="0">F7</f>
        <v>0</v>
      </c>
      <c r="T7" s="766" t="s">
        <v>17</v>
      </c>
      <c r="U7" s="767">
        <f t="shared" ref="U7:U14" si="1">H7</f>
        <v>0</v>
      </c>
      <c r="V7" s="766" t="s">
        <v>17</v>
      </c>
      <c r="W7" s="767">
        <f t="shared" ref="W7:W14" si="2">J7</f>
        <v>0</v>
      </c>
      <c r="X7" s="768"/>
      <c r="Y7" s="3323" t="s">
        <v>2541</v>
      </c>
      <c r="Z7" s="3324"/>
      <c r="AA7" s="769" t="e">
        <f>D7/F7</f>
        <v>#DIV/0!</v>
      </c>
      <c r="AB7" s="769" t="e">
        <f>D7/H7</f>
        <v>#DIV/0!</v>
      </c>
      <c r="AC7" s="769"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323" t="s">
        <v>2544</v>
      </c>
      <c r="Q8" s="3324"/>
      <c r="R8" s="766" t="s">
        <v>17</v>
      </c>
      <c r="S8" s="767">
        <f t="shared" si="0"/>
        <v>0</v>
      </c>
      <c r="T8" s="766" t="s">
        <v>17</v>
      </c>
      <c r="U8" s="767">
        <f t="shared" si="1"/>
        <v>0</v>
      </c>
      <c r="V8" s="766" t="s">
        <v>17</v>
      </c>
      <c r="W8" s="767">
        <f t="shared" si="2"/>
        <v>0</v>
      </c>
      <c r="X8" s="768"/>
      <c r="Y8" s="3323" t="s">
        <v>2544</v>
      </c>
      <c r="Z8" s="3324"/>
      <c r="AA8" s="769" t="e">
        <f t="shared" ref="AA8:AA34" si="3">D8/F8</f>
        <v>#DIV/0!</v>
      </c>
      <c r="AB8" s="769" t="e">
        <f t="shared" ref="AB8:AB34" si="4">D8/H8</f>
        <v>#DIV/0!</v>
      </c>
      <c r="AC8" s="769"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87" t="s">
        <v>2547</v>
      </c>
      <c r="Q9" s="1789" t="str">
        <f t="shared" ref="Q9:Q14" si="6">B9</f>
        <v>用途</v>
      </c>
      <c r="R9" s="766" t="s">
        <v>17</v>
      </c>
      <c r="S9" s="767">
        <f t="shared" si="0"/>
        <v>100</v>
      </c>
      <c r="T9" s="766" t="s">
        <v>17</v>
      </c>
      <c r="U9" s="767">
        <f t="shared" si="1"/>
        <v>100</v>
      </c>
      <c r="V9" s="766" t="s">
        <v>17</v>
      </c>
      <c r="W9" s="767">
        <f t="shared" si="2"/>
        <v>100</v>
      </c>
      <c r="X9" s="768"/>
      <c r="Y9" s="3112" t="s">
        <v>2548</v>
      </c>
      <c r="Z9" s="55" t="str">
        <f t="shared" ref="Z9:Z14" si="7">Q9</f>
        <v>用途</v>
      </c>
      <c r="AA9" s="769">
        <f t="shared" si="3"/>
        <v>1</v>
      </c>
      <c r="AB9" s="769">
        <f t="shared" si="4"/>
        <v>1</v>
      </c>
      <c r="AC9" s="769">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87"/>
      <c r="Q10" s="1789" t="str">
        <f t="shared" si="6"/>
        <v>土地使用年限（年）</v>
      </c>
      <c r="R10" s="766" t="s">
        <v>17</v>
      </c>
      <c r="S10" s="767">
        <f t="shared" si="0"/>
        <v>100</v>
      </c>
      <c r="T10" s="766" t="s">
        <v>17</v>
      </c>
      <c r="U10" s="767">
        <f t="shared" si="1"/>
        <v>100</v>
      </c>
      <c r="V10" s="766" t="s">
        <v>17</v>
      </c>
      <c r="W10" s="767">
        <f t="shared" si="2"/>
        <v>100</v>
      </c>
      <c r="X10" s="768"/>
      <c r="Y10" s="3112"/>
      <c r="Z10" s="55" t="str">
        <f t="shared" si="7"/>
        <v>土地使用年限（年）</v>
      </c>
      <c r="AA10" s="769">
        <f t="shared" si="3"/>
        <v>1</v>
      </c>
      <c r="AB10" s="769">
        <f t="shared" si="4"/>
        <v>1</v>
      </c>
      <c r="AC10" s="769">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87"/>
      <c r="Q11" s="1789">
        <f t="shared" si="6"/>
        <v>111</v>
      </c>
      <c r="R11" s="766" t="s">
        <v>17</v>
      </c>
      <c r="S11" s="767">
        <f t="shared" si="0"/>
        <v>100</v>
      </c>
      <c r="T11" s="766" t="s">
        <v>17</v>
      </c>
      <c r="U11" s="767">
        <f t="shared" si="1"/>
        <v>100</v>
      </c>
      <c r="V11" s="766" t="s">
        <v>17</v>
      </c>
      <c r="W11" s="767">
        <f t="shared" si="2"/>
        <v>100</v>
      </c>
      <c r="X11" s="768"/>
      <c r="Y11" s="3112"/>
      <c r="Z11" s="55">
        <f t="shared" si="7"/>
        <v>111</v>
      </c>
      <c r="AA11" s="769">
        <f t="shared" si="3"/>
        <v>1</v>
      </c>
      <c r="AB11" s="769">
        <f t="shared" si="4"/>
        <v>1</v>
      </c>
      <c r="AC11" s="769">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87"/>
      <c r="Q12" s="1789">
        <f t="shared" si="6"/>
        <v>111</v>
      </c>
      <c r="R12" s="766" t="s">
        <v>17</v>
      </c>
      <c r="S12" s="767">
        <f t="shared" si="0"/>
        <v>100</v>
      </c>
      <c r="T12" s="766" t="s">
        <v>17</v>
      </c>
      <c r="U12" s="767">
        <f t="shared" si="1"/>
        <v>100</v>
      </c>
      <c r="V12" s="766" t="s">
        <v>17</v>
      </c>
      <c r="W12" s="767">
        <f t="shared" si="2"/>
        <v>100</v>
      </c>
      <c r="X12" s="768"/>
      <c r="Y12" s="3112"/>
      <c r="Z12" s="55">
        <f t="shared" si="7"/>
        <v>111</v>
      </c>
      <c r="AA12" s="769">
        <f>D12/F12</f>
        <v>1</v>
      </c>
      <c r="AB12" s="769">
        <f>D12/H12</f>
        <v>1</v>
      </c>
      <c r="AC12" s="769">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6"/>
      <c r="M13" s="1127"/>
      <c r="N13" s="1127"/>
      <c r="O13" s="1135"/>
      <c r="P13" s="3287"/>
      <c r="Q13" s="1789">
        <f t="shared" si="6"/>
        <v>111</v>
      </c>
      <c r="R13" s="766" t="s">
        <v>17</v>
      </c>
      <c r="S13" s="767">
        <f t="shared" si="0"/>
        <v>100</v>
      </c>
      <c r="T13" s="766" t="s">
        <v>17</v>
      </c>
      <c r="U13" s="767">
        <f t="shared" si="1"/>
        <v>100</v>
      </c>
      <c r="V13" s="766" t="s">
        <v>17</v>
      </c>
      <c r="W13" s="767">
        <f t="shared" si="2"/>
        <v>100</v>
      </c>
      <c r="X13" s="768"/>
      <c r="Y13" s="3112"/>
      <c r="Z13" s="55">
        <f t="shared" si="7"/>
        <v>111</v>
      </c>
      <c r="AA13" s="769">
        <f t="shared" si="3"/>
        <v>1</v>
      </c>
      <c r="AB13" s="769">
        <f t="shared" si="4"/>
        <v>1</v>
      </c>
      <c r="AC13" s="769">
        <f t="shared" si="5"/>
        <v>1</v>
      </c>
    </row>
    <row r="14" spans="1:29" ht="15">
      <c r="A14" s="440" t="s">
        <v>2551</v>
      </c>
      <c r="B14" s="69" t="s">
        <v>2701</v>
      </c>
      <c r="C14" s="269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89" t="s">
        <v>2552</v>
      </c>
      <c r="Q14" s="1804" t="str">
        <f t="shared" si="6"/>
        <v>交通便捷度</v>
      </c>
      <c r="R14" s="770" t="s">
        <v>17</v>
      </c>
      <c r="S14" s="771">
        <f t="shared" si="0"/>
        <v>100</v>
      </c>
      <c r="T14" s="770" t="s">
        <v>17</v>
      </c>
      <c r="U14" s="771">
        <f t="shared" si="1"/>
        <v>100</v>
      </c>
      <c r="V14" s="770" t="s">
        <v>17</v>
      </c>
      <c r="W14" s="771">
        <f t="shared" si="2"/>
        <v>100</v>
      </c>
      <c r="X14" s="1807"/>
      <c r="Y14" s="3289" t="s">
        <v>2552</v>
      </c>
      <c r="Z14" s="1808" t="str">
        <f t="shared" si="7"/>
        <v>交通便捷度</v>
      </c>
      <c r="AA14" s="1805">
        <f t="shared" si="3"/>
        <v>1</v>
      </c>
      <c r="AB14" s="1805">
        <f t="shared" si="4"/>
        <v>1</v>
      </c>
      <c r="AC14" s="1805">
        <f t="shared" si="5"/>
        <v>1</v>
      </c>
    </row>
    <row r="15" spans="1:29" ht="15">
      <c r="A15" s="428"/>
      <c r="B15" s="446"/>
      <c r="C15" s="447"/>
      <c r="D15" s="448"/>
      <c r="E15" s="447"/>
      <c r="F15" s="449"/>
      <c r="G15" s="447"/>
      <c r="H15" s="450"/>
      <c r="I15" s="447"/>
      <c r="J15" s="448"/>
      <c r="K15" s="615"/>
      <c r="L15" s="1136"/>
      <c r="M15" s="1127"/>
      <c r="N15" s="1127"/>
      <c r="O15" s="1135"/>
      <c r="P15" s="3290"/>
      <c r="Q15" s="1804"/>
      <c r="R15" s="770"/>
      <c r="S15" s="771"/>
      <c r="T15" s="770"/>
      <c r="U15" s="771"/>
      <c r="V15" s="770"/>
      <c r="W15" s="771"/>
      <c r="X15" s="1807"/>
      <c r="Y15" s="3290"/>
      <c r="Z15" s="1808"/>
      <c r="AA15" s="1805">
        <v>1</v>
      </c>
      <c r="AB15" s="1805">
        <v>1</v>
      </c>
      <c r="AC15" s="1805">
        <v>1</v>
      </c>
    </row>
    <row r="16" spans="1:29" ht="15">
      <c r="A16" s="428"/>
      <c r="B16" s="451" t="s">
        <v>2680</v>
      </c>
      <c r="C16" s="260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90"/>
      <c r="Q16" s="1804" t="str">
        <f>B16</f>
        <v>公共配套设施</v>
      </c>
      <c r="R16" s="770" t="s">
        <v>17</v>
      </c>
      <c r="S16" s="771">
        <f>F16</f>
        <v>100</v>
      </c>
      <c r="T16" s="770" t="s">
        <v>17</v>
      </c>
      <c r="U16" s="771">
        <f>H16</f>
        <v>100</v>
      </c>
      <c r="V16" s="770" t="s">
        <v>17</v>
      </c>
      <c r="W16" s="771">
        <f>J16</f>
        <v>100</v>
      </c>
      <c r="X16" s="1807"/>
      <c r="Y16" s="3290"/>
      <c r="Z16" s="1808" t="str">
        <f>Q16</f>
        <v>公共配套设施</v>
      </c>
      <c r="AA16" s="1805">
        <f t="shared" si="3"/>
        <v>1</v>
      </c>
      <c r="AB16" s="1805">
        <f t="shared" si="4"/>
        <v>1</v>
      </c>
      <c r="AC16" s="1805">
        <f t="shared" si="5"/>
        <v>1</v>
      </c>
    </row>
    <row r="17" spans="1:29" ht="15">
      <c r="A17" s="428"/>
      <c r="B17" s="456"/>
      <c r="C17" s="2605"/>
      <c r="D17" s="448"/>
      <c r="E17" s="447"/>
      <c r="F17" s="449"/>
      <c r="G17" s="447"/>
      <c r="H17" s="448"/>
      <c r="I17" s="447"/>
      <c r="J17" s="448"/>
      <c r="K17" s="615"/>
      <c r="L17" s="1136"/>
      <c r="M17" s="1127"/>
      <c r="N17" s="1127"/>
      <c r="O17" s="1135"/>
      <c r="P17" s="3290"/>
      <c r="Q17" s="1804"/>
      <c r="R17" s="770"/>
      <c r="S17" s="771"/>
      <c r="T17" s="770"/>
      <c r="U17" s="771"/>
      <c r="V17" s="770"/>
      <c r="W17" s="771"/>
      <c r="X17" s="1807"/>
      <c r="Y17" s="3290"/>
      <c r="Z17" s="1808"/>
      <c r="AA17" s="1805">
        <v>1</v>
      </c>
      <c r="AB17" s="1805">
        <v>1</v>
      </c>
      <c r="AC17" s="1805">
        <v>1</v>
      </c>
    </row>
    <row r="18" spans="1:29" ht="15">
      <c r="A18" s="428"/>
      <c r="B18" s="1378" t="s">
        <v>2681</v>
      </c>
      <c r="C18" s="260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90"/>
      <c r="Q18" s="1804" t="str">
        <f>B18</f>
        <v>基础设施水平</v>
      </c>
      <c r="R18" s="770" t="s">
        <v>17</v>
      </c>
      <c r="S18" s="771">
        <f>F18</f>
        <v>100</v>
      </c>
      <c r="T18" s="770" t="s">
        <v>17</v>
      </c>
      <c r="U18" s="771">
        <f>H18</f>
        <v>100</v>
      </c>
      <c r="V18" s="770" t="s">
        <v>17</v>
      </c>
      <c r="W18" s="771">
        <f>J18</f>
        <v>100</v>
      </c>
      <c r="X18" s="1807"/>
      <c r="Y18" s="3290"/>
      <c r="Z18" s="1808" t="str">
        <f>Q18</f>
        <v>基础设施水平</v>
      </c>
      <c r="AA18" s="1805">
        <f t="shared" ref="AA18" si="8">D18/F18</f>
        <v>1</v>
      </c>
      <c r="AB18" s="1805">
        <f t="shared" ref="AB18" si="9">D18/H18</f>
        <v>1</v>
      </c>
      <c r="AC18" s="1805">
        <f t="shared" ref="AC18" si="10">D18/J18</f>
        <v>1</v>
      </c>
    </row>
    <row r="19" spans="1:29" ht="15">
      <c r="A19" s="428"/>
      <c r="B19" s="1378"/>
      <c r="C19" s="2605"/>
      <c r="D19" s="450"/>
      <c r="E19" s="2605"/>
      <c r="F19" s="453"/>
      <c r="G19" s="2605"/>
      <c r="H19" s="448"/>
      <c r="I19" s="447"/>
      <c r="J19" s="448"/>
      <c r="K19" s="1377"/>
      <c r="L19" s="1136"/>
      <c r="M19" s="1127"/>
      <c r="N19" s="1127"/>
      <c r="O19" s="1135"/>
      <c r="P19" s="3290"/>
      <c r="Q19" s="1804"/>
      <c r="R19" s="770"/>
      <c r="S19" s="771"/>
      <c r="T19" s="770"/>
      <c r="U19" s="771"/>
      <c r="V19" s="770"/>
      <c r="W19" s="771"/>
      <c r="X19" s="1807"/>
      <c r="Y19" s="3290"/>
      <c r="Z19" s="1808"/>
      <c r="AA19" s="1805">
        <v>1</v>
      </c>
      <c r="AB19" s="1805">
        <v>1</v>
      </c>
      <c r="AC19" s="1805">
        <v>1</v>
      </c>
    </row>
    <row r="20" spans="1:29" ht="15">
      <c r="A20" s="428"/>
      <c r="B20" s="451" t="s">
        <v>2702</v>
      </c>
      <c r="C20" s="260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90"/>
      <c r="Q20" s="1804" t="str">
        <f>B20</f>
        <v>自然及人文环境</v>
      </c>
      <c r="R20" s="770" t="s">
        <v>17</v>
      </c>
      <c r="S20" s="771">
        <f>F20</f>
        <v>100</v>
      </c>
      <c r="T20" s="770" t="s">
        <v>17</v>
      </c>
      <c r="U20" s="771">
        <f>H20</f>
        <v>100</v>
      </c>
      <c r="V20" s="770" t="s">
        <v>17</v>
      </c>
      <c r="W20" s="771">
        <f>J20</f>
        <v>100</v>
      </c>
      <c r="X20" s="1807"/>
      <c r="Y20" s="3290"/>
      <c r="Z20" s="1808" t="str">
        <f>Q20</f>
        <v>自然及人文环境</v>
      </c>
      <c r="AA20" s="1805">
        <f t="shared" si="3"/>
        <v>1</v>
      </c>
      <c r="AB20" s="1805">
        <f t="shared" si="4"/>
        <v>1</v>
      </c>
      <c r="AC20" s="1805">
        <f t="shared" si="5"/>
        <v>1</v>
      </c>
    </row>
    <row r="21" spans="1:29" ht="15">
      <c r="A21" s="428"/>
      <c r="B21" s="456"/>
      <c r="C21" s="447"/>
      <c r="D21" s="448"/>
      <c r="E21" s="447"/>
      <c r="F21" s="449"/>
      <c r="G21" s="447"/>
      <c r="H21" s="448"/>
      <c r="I21" s="447"/>
      <c r="J21" s="448"/>
      <c r="K21" s="615"/>
      <c r="L21" s="1136"/>
      <c r="M21" s="1127"/>
      <c r="N21" s="1127"/>
      <c r="O21" s="1135"/>
      <c r="P21" s="3290"/>
      <c r="Q21" s="1804"/>
      <c r="R21" s="770"/>
      <c r="S21" s="771"/>
      <c r="T21" s="770"/>
      <c r="U21" s="771"/>
      <c r="V21" s="770"/>
      <c r="W21" s="771"/>
      <c r="X21" s="1807"/>
      <c r="Y21" s="3290"/>
      <c r="Z21" s="1808"/>
      <c r="AA21" s="1805">
        <v>1</v>
      </c>
      <c r="AB21" s="1805">
        <v>1</v>
      </c>
      <c r="AC21" s="1805">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90"/>
      <c r="Q22" s="1804" t="str">
        <f>B22</f>
        <v>楼层</v>
      </c>
      <c r="R22" s="770" t="s">
        <v>17</v>
      </c>
      <c r="S22" s="771">
        <f>F22</f>
        <v>100</v>
      </c>
      <c r="T22" s="770" t="s">
        <v>17</v>
      </c>
      <c r="U22" s="771">
        <f>H22</f>
        <v>100</v>
      </c>
      <c r="V22" s="770" t="s">
        <v>17</v>
      </c>
      <c r="W22" s="771">
        <f>J22</f>
        <v>100</v>
      </c>
      <c r="X22" s="1807"/>
      <c r="Y22" s="3290"/>
      <c r="Z22" s="1808" t="str">
        <f>Q22</f>
        <v>楼层</v>
      </c>
      <c r="AA22" s="1805">
        <f t="shared" si="3"/>
        <v>1</v>
      </c>
      <c r="AB22" s="1805">
        <f t="shared" si="4"/>
        <v>1</v>
      </c>
      <c r="AC22" s="1805">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90"/>
      <c r="Q23" s="1804">
        <f>B23</f>
        <v>111</v>
      </c>
      <c r="R23" s="770" t="s">
        <v>17</v>
      </c>
      <c r="S23" s="771">
        <f>F23</f>
        <v>100</v>
      </c>
      <c r="T23" s="770" t="s">
        <v>17</v>
      </c>
      <c r="U23" s="771">
        <f>H23</f>
        <v>100</v>
      </c>
      <c r="V23" s="770" t="s">
        <v>17</v>
      </c>
      <c r="W23" s="771">
        <f>J23</f>
        <v>100</v>
      </c>
      <c r="X23" s="1807"/>
      <c r="Y23" s="3290"/>
      <c r="Z23" s="1808">
        <f>Q23</f>
        <v>111</v>
      </c>
      <c r="AA23" s="1805">
        <f t="shared" si="3"/>
        <v>1</v>
      </c>
      <c r="AB23" s="1805">
        <f t="shared" si="4"/>
        <v>1</v>
      </c>
      <c r="AC23" s="1805">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90"/>
      <c r="Q24" s="1804">
        <f t="shared" ref="Q24:Q34" si="11">B24</f>
        <v>111</v>
      </c>
      <c r="R24" s="770" t="s">
        <v>17</v>
      </c>
      <c r="S24" s="771">
        <f>F24</f>
        <v>100</v>
      </c>
      <c r="T24" s="770" t="s">
        <v>17</v>
      </c>
      <c r="U24" s="771">
        <f>H24</f>
        <v>100</v>
      </c>
      <c r="V24" s="770" t="s">
        <v>17</v>
      </c>
      <c r="W24" s="771">
        <f>J24</f>
        <v>100</v>
      </c>
      <c r="X24" s="1807"/>
      <c r="Y24" s="3290"/>
      <c r="Z24" s="1808">
        <f>Q24</f>
        <v>111</v>
      </c>
      <c r="AA24" s="1805">
        <f t="shared" si="3"/>
        <v>1</v>
      </c>
      <c r="AB24" s="1805">
        <f t="shared" si="4"/>
        <v>1</v>
      </c>
      <c r="AC24" s="1805">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28"/>
      <c r="M25" s="1129"/>
      <c r="N25" s="1129"/>
      <c r="O25" s="1130"/>
      <c r="P25" s="3290"/>
      <c r="Q25" s="1789">
        <f t="shared" si="11"/>
        <v>111</v>
      </c>
      <c r="R25" s="766" t="s">
        <v>17</v>
      </c>
      <c r="S25" s="767">
        <f>F25</f>
        <v>100</v>
      </c>
      <c r="T25" s="766" t="s">
        <v>17</v>
      </c>
      <c r="U25" s="767">
        <f>H25</f>
        <v>100</v>
      </c>
      <c r="V25" s="766" t="s">
        <v>17</v>
      </c>
      <c r="W25" s="767">
        <f>J25</f>
        <v>100</v>
      </c>
      <c r="X25" s="768"/>
      <c r="Y25" s="3290"/>
      <c r="Z25" s="55">
        <f>Q25</f>
        <v>111</v>
      </c>
      <c r="AA25" s="1805">
        <f>D25/F25</f>
        <v>1</v>
      </c>
      <c r="AB25" s="1805">
        <f>D25/H25</f>
        <v>1</v>
      </c>
      <c r="AC25" s="1805">
        <f>D25/J25</f>
        <v>1</v>
      </c>
    </row>
    <row r="26" spans="1:29" ht="28.5">
      <c r="A26" s="466" t="s">
        <v>2555</v>
      </c>
      <c r="B26" s="71" t="s">
        <v>2706</v>
      </c>
      <c r="C26" s="2676"/>
      <c r="D26" s="467">
        <v>100</v>
      </c>
      <c r="E26" s="2676"/>
      <c r="F26" s="666">
        <f>SUMIF(77:77,E26,78:78)-SUMIF(77:77,C26,78:78)+100</f>
        <v>100</v>
      </c>
      <c r="G26" s="2676"/>
      <c r="H26" s="467">
        <f>SUMIF(77:77,G26,78:78)-SUMIF(77:77,C26,78:78)+100</f>
        <v>100</v>
      </c>
      <c r="I26" s="2676"/>
      <c r="J26" s="467">
        <f>SUMIF(77:77,I26,78:78)-SUMIF(77:77,C26,78:78)+100</f>
        <v>100</v>
      </c>
      <c r="K26" s="612"/>
      <c r="L26" s="1136"/>
      <c r="M26" s="1127"/>
      <c r="N26" s="1127"/>
      <c r="O26" s="1135"/>
      <c r="P26" s="3347" t="s">
        <v>2557</v>
      </c>
      <c r="Q26" s="1804" t="str">
        <f t="shared" si="11"/>
        <v>公共部分装修</v>
      </c>
      <c r="R26" s="770" t="s">
        <v>17</v>
      </c>
      <c r="S26" s="771">
        <f t="shared" ref="S26:S34" si="12">F26</f>
        <v>100</v>
      </c>
      <c r="T26" s="770" t="s">
        <v>17</v>
      </c>
      <c r="U26" s="771">
        <f t="shared" ref="U26:U34" si="13">H26</f>
        <v>100</v>
      </c>
      <c r="V26" s="770" t="s">
        <v>17</v>
      </c>
      <c r="W26" s="771">
        <f t="shared" ref="W26:W34" si="14">J26</f>
        <v>100</v>
      </c>
      <c r="X26" s="1807"/>
      <c r="Y26" s="3294" t="s">
        <v>2557</v>
      </c>
      <c r="Z26" s="1808" t="str">
        <f t="shared" ref="Z26:Z34" si="15">Q26</f>
        <v>公共部分装修</v>
      </c>
      <c r="AA26" s="1805">
        <f t="shared" si="3"/>
        <v>1</v>
      </c>
      <c r="AB26" s="1805">
        <f t="shared" si="4"/>
        <v>1</v>
      </c>
      <c r="AC26" s="1805">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94"/>
      <c r="Q27" s="772" t="str">
        <f t="shared" si="11"/>
        <v>成新率</v>
      </c>
      <c r="R27" s="773" t="s">
        <v>17</v>
      </c>
      <c r="S27" s="774" t="e">
        <f t="shared" si="12"/>
        <v>#N/A</v>
      </c>
      <c r="T27" s="773" t="s">
        <v>17</v>
      </c>
      <c r="U27" s="774" t="e">
        <f t="shared" si="13"/>
        <v>#N/A</v>
      </c>
      <c r="V27" s="773" t="s">
        <v>17</v>
      </c>
      <c r="W27" s="774" t="e">
        <f t="shared" si="14"/>
        <v>#N/A</v>
      </c>
      <c r="X27" s="775"/>
      <c r="Y27" s="3294"/>
      <c r="Z27" s="776" t="str">
        <f t="shared" si="15"/>
        <v>成新率</v>
      </c>
      <c r="AA27" s="1805" t="e">
        <f t="shared" si="3"/>
        <v>#N/A</v>
      </c>
      <c r="AB27" s="1805" t="e">
        <f t="shared" si="4"/>
        <v>#N/A</v>
      </c>
      <c r="AC27" s="1805"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94"/>
      <c r="Q28" s="1804" t="str">
        <f t="shared" si="11"/>
        <v>物业等级</v>
      </c>
      <c r="R28" s="770" t="s">
        <v>17</v>
      </c>
      <c r="S28" s="771">
        <f t="shared" si="12"/>
        <v>100</v>
      </c>
      <c r="T28" s="770" t="s">
        <v>17</v>
      </c>
      <c r="U28" s="771">
        <f t="shared" si="13"/>
        <v>100</v>
      </c>
      <c r="V28" s="770" t="s">
        <v>17</v>
      </c>
      <c r="W28" s="771">
        <f t="shared" si="14"/>
        <v>100</v>
      </c>
      <c r="X28" s="1807"/>
      <c r="Y28" s="3294"/>
      <c r="Z28" s="1808" t="str">
        <f t="shared" si="15"/>
        <v>物业等级</v>
      </c>
      <c r="AA28" s="1805">
        <f t="shared" si="3"/>
        <v>1</v>
      </c>
      <c r="AB28" s="1805">
        <f t="shared" si="4"/>
        <v>1</v>
      </c>
      <c r="AC28" s="1805">
        <f t="shared" si="5"/>
        <v>1</v>
      </c>
    </row>
    <row r="29" spans="1:29" ht="15">
      <c r="A29" s="472"/>
      <c r="B29" s="422" t="s">
        <v>2729</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294"/>
      <c r="Q29" s="1804" t="str">
        <f t="shared" si="11"/>
        <v>有无电梯</v>
      </c>
      <c r="R29" s="770" t="s">
        <v>17</v>
      </c>
      <c r="S29" s="771">
        <f t="shared" si="12"/>
        <v>100</v>
      </c>
      <c r="T29" s="770" t="s">
        <v>17</v>
      </c>
      <c r="U29" s="771">
        <f t="shared" si="13"/>
        <v>100</v>
      </c>
      <c r="V29" s="770" t="s">
        <v>17</v>
      </c>
      <c r="W29" s="771">
        <f t="shared" si="14"/>
        <v>100</v>
      </c>
      <c r="X29" s="1807"/>
      <c r="Y29" s="3294"/>
      <c r="Z29" s="1808" t="str">
        <f t="shared" si="15"/>
        <v>有无电梯</v>
      </c>
      <c r="AA29" s="1805">
        <f t="shared" si="3"/>
        <v>1</v>
      </c>
      <c r="AB29" s="1805">
        <f t="shared" si="4"/>
        <v>1</v>
      </c>
      <c r="AC29" s="1805">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94"/>
      <c r="Q30" s="1804" t="str">
        <f t="shared" si="11"/>
        <v>建筑面积</v>
      </c>
      <c r="R30" s="770" t="s">
        <v>17</v>
      </c>
      <c r="S30" s="771" t="e">
        <f t="shared" si="12"/>
        <v>#N/A</v>
      </c>
      <c r="T30" s="770" t="s">
        <v>17</v>
      </c>
      <c r="U30" s="771" t="e">
        <f t="shared" si="13"/>
        <v>#N/A</v>
      </c>
      <c r="V30" s="770" t="s">
        <v>17</v>
      </c>
      <c r="W30" s="771" t="e">
        <f t="shared" si="14"/>
        <v>#N/A</v>
      </c>
      <c r="X30" s="1807"/>
      <c r="Y30" s="3294"/>
      <c r="Z30" s="1808" t="str">
        <f t="shared" si="15"/>
        <v>建筑面积</v>
      </c>
      <c r="AA30" s="1805" t="e">
        <f t="shared" si="3"/>
        <v>#N/A</v>
      </c>
      <c r="AB30" s="1805" t="e">
        <f t="shared" si="4"/>
        <v>#N/A</v>
      </c>
      <c r="AC30" s="1805" t="e">
        <f t="shared" si="5"/>
        <v>#N/A</v>
      </c>
    </row>
    <row r="31" spans="1:29" s="117" customFormat="1" ht="15">
      <c r="A31" s="473"/>
      <c r="B31" s="422" t="s">
        <v>2731</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294"/>
      <c r="Q31" s="1789" t="str">
        <f t="shared" si="11"/>
        <v>是否封闭</v>
      </c>
      <c r="R31" s="766" t="s">
        <v>17</v>
      </c>
      <c r="S31" s="767">
        <f t="shared" si="12"/>
        <v>100</v>
      </c>
      <c r="T31" s="766" t="s">
        <v>17</v>
      </c>
      <c r="U31" s="767">
        <f t="shared" si="13"/>
        <v>100</v>
      </c>
      <c r="V31" s="766" t="s">
        <v>17</v>
      </c>
      <c r="W31" s="767">
        <f t="shared" si="14"/>
        <v>100</v>
      </c>
      <c r="X31" s="768"/>
      <c r="Y31" s="3294"/>
      <c r="Z31" s="55" t="str">
        <f t="shared" si="15"/>
        <v>是否封闭</v>
      </c>
      <c r="AA31" s="769">
        <f t="shared" si="3"/>
        <v>1</v>
      </c>
      <c r="AB31" s="769">
        <f t="shared" si="4"/>
        <v>1</v>
      </c>
      <c r="AC31" s="769">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94" t="s">
        <v>2557</v>
      </c>
      <c r="Q32" s="1804">
        <f t="shared" si="11"/>
        <v>111</v>
      </c>
      <c r="R32" s="770" t="s">
        <v>17</v>
      </c>
      <c r="S32" s="771">
        <f t="shared" si="12"/>
        <v>100</v>
      </c>
      <c r="T32" s="770" t="s">
        <v>17</v>
      </c>
      <c r="U32" s="771">
        <f t="shared" si="13"/>
        <v>100</v>
      </c>
      <c r="V32" s="770" t="s">
        <v>17</v>
      </c>
      <c r="W32" s="771">
        <f t="shared" si="14"/>
        <v>100</v>
      </c>
      <c r="X32" s="1807"/>
      <c r="Y32" s="3294" t="s">
        <v>2557</v>
      </c>
      <c r="Z32" s="1808">
        <f t="shared" si="15"/>
        <v>111</v>
      </c>
      <c r="AA32" s="1805">
        <f t="shared" si="3"/>
        <v>1</v>
      </c>
      <c r="AB32" s="1805">
        <f t="shared" si="4"/>
        <v>1</v>
      </c>
      <c r="AC32" s="1805">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94"/>
      <c r="Q33" s="1804">
        <f t="shared" si="11"/>
        <v>111</v>
      </c>
      <c r="R33" s="770" t="s">
        <v>17</v>
      </c>
      <c r="S33" s="771">
        <f t="shared" si="12"/>
        <v>100</v>
      </c>
      <c r="T33" s="770" t="s">
        <v>17</v>
      </c>
      <c r="U33" s="771">
        <f t="shared" si="13"/>
        <v>100</v>
      </c>
      <c r="V33" s="770" t="s">
        <v>17</v>
      </c>
      <c r="W33" s="771">
        <f t="shared" si="14"/>
        <v>100</v>
      </c>
      <c r="X33" s="1807"/>
      <c r="Y33" s="3294"/>
      <c r="Z33" s="1808">
        <f t="shared" si="15"/>
        <v>111</v>
      </c>
      <c r="AA33" s="1805">
        <f t="shared" si="3"/>
        <v>1</v>
      </c>
      <c r="AB33" s="1805">
        <f t="shared" si="4"/>
        <v>1</v>
      </c>
      <c r="AC33" s="1805">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6"/>
      <c r="M34" s="1127"/>
      <c r="N34" s="1127"/>
      <c r="O34" s="1135"/>
      <c r="P34" s="3294"/>
      <c r="Q34" s="1804">
        <f t="shared" si="11"/>
        <v>111</v>
      </c>
      <c r="R34" s="770" t="s">
        <v>17</v>
      </c>
      <c r="S34" s="771">
        <f t="shared" si="12"/>
        <v>100</v>
      </c>
      <c r="T34" s="770" t="s">
        <v>17</v>
      </c>
      <c r="U34" s="771">
        <f t="shared" si="13"/>
        <v>100</v>
      </c>
      <c r="V34" s="770" t="s">
        <v>17</v>
      </c>
      <c r="W34" s="771">
        <f t="shared" si="14"/>
        <v>100</v>
      </c>
      <c r="X34" s="1807"/>
      <c r="Y34" s="3294"/>
      <c r="Z34" s="1808">
        <f t="shared" si="15"/>
        <v>111</v>
      </c>
      <c r="AA34" s="1805">
        <f t="shared" si="3"/>
        <v>1</v>
      </c>
      <c r="AB34" s="1805">
        <f t="shared" si="4"/>
        <v>1</v>
      </c>
      <c r="AC34" s="1805">
        <f t="shared" si="5"/>
        <v>1</v>
      </c>
    </row>
    <row r="35" spans="1:29" ht="15">
      <c r="A35" s="479" t="s">
        <v>2569</v>
      </c>
      <c r="B35" s="480"/>
      <c r="C35" s="1401" t="s">
        <v>1</v>
      </c>
      <c r="D35" s="1402"/>
      <c r="E35" s="1403"/>
      <c r="F35" s="1404"/>
      <c r="G35" s="1405"/>
      <c r="H35" s="1406"/>
      <c r="I35" s="1403"/>
      <c r="J35" s="1406"/>
      <c r="K35" s="779"/>
      <c r="L35" s="1139"/>
      <c r="M35" s="1140"/>
      <c r="N35" s="1127"/>
      <c r="O35" s="1140"/>
      <c r="P35" s="3287" t="str">
        <f>A35</f>
        <v>成交单价（元/平方米）</v>
      </c>
      <c r="Q35" s="3287"/>
      <c r="R35" s="3288">
        <f>E35</f>
        <v>0</v>
      </c>
      <c r="S35" s="3288"/>
      <c r="T35" s="3288">
        <f>G35</f>
        <v>0</v>
      </c>
      <c r="U35" s="3288"/>
      <c r="V35" s="3288">
        <f>I35</f>
        <v>0</v>
      </c>
      <c r="W35" s="3288"/>
      <c r="X35" s="755"/>
      <c r="Y35" s="777"/>
      <c r="Z35" s="755"/>
      <c r="AA35" s="755"/>
      <c r="AB35" s="755"/>
      <c r="AC35" s="755"/>
    </row>
    <row r="36" spans="1:29" ht="15.75" thickBot="1">
      <c r="A36" s="486" t="s">
        <v>2661</v>
      </c>
      <c r="B36" s="487"/>
      <c r="C36" s="1407" t="e">
        <f>R37</f>
        <v>#DIV/0!</v>
      </c>
      <c r="D36" s="1408"/>
      <c r="E36" s="1409" t="e">
        <f>R36</f>
        <v>#DIV/0!</v>
      </c>
      <c r="F36" s="1409"/>
      <c r="G36" s="1407" t="e">
        <f>T36</f>
        <v>#DIV/0!</v>
      </c>
      <c r="H36" s="1408"/>
      <c r="I36" s="1409" t="e">
        <f>V36</f>
        <v>#DIV/0!</v>
      </c>
      <c r="J36" s="1408"/>
      <c r="K36" s="780"/>
      <c r="L36" s="1139"/>
      <c r="M36" s="1140"/>
      <c r="N36" s="1127"/>
      <c r="O36" s="1140"/>
      <c r="P36" s="3287" t="str">
        <f>A36</f>
        <v>比较价值（元/平方米）</v>
      </c>
      <c r="Q36" s="3287"/>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755"/>
      <c r="Y36" s="755"/>
      <c r="Z36" s="755"/>
      <c r="AA36" s="755"/>
      <c r="AB36" s="755"/>
      <c r="AC36" s="755"/>
    </row>
    <row r="37" spans="1:29" ht="15.75" thickBot="1">
      <c r="A37" s="492" t="s">
        <v>2662</v>
      </c>
      <c r="B37" s="493"/>
      <c r="C37" s="1411" t="e">
        <f>R37</f>
        <v>#DIV/0!</v>
      </c>
      <c r="D37" s="1411"/>
      <c r="E37" s="1411"/>
      <c r="F37" s="1411"/>
      <c r="G37" s="1411"/>
      <c r="H37" s="1411"/>
      <c r="I37" s="1411"/>
      <c r="J37" s="1411"/>
      <c r="K37" s="781"/>
      <c r="L37" s="1139"/>
      <c r="M37" s="1140"/>
      <c r="N37" s="1140"/>
      <c r="O37" s="1140"/>
      <c r="P37" s="3284" t="str">
        <f>A37</f>
        <v>估价对象XX用房的比较价值（楼面单价，元/平方米）</v>
      </c>
      <c r="Q37" s="3285"/>
      <c r="R37" s="3286" t="e">
        <f>IF(F1="售价",ROUND(AVERAGE(R36:V36),0),ROUND(AVERAGE(R36:V36),1))</f>
        <v>#DIV/0!</v>
      </c>
      <c r="S37" s="3286"/>
      <c r="T37" s="3286"/>
      <c r="U37" s="3286"/>
      <c r="V37" s="3286"/>
      <c r="W37" s="3286"/>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2666</v>
      </c>
      <c r="B45" s="755"/>
      <c r="C45" s="760"/>
      <c r="D45" s="760"/>
      <c r="E45" s="760"/>
      <c r="F45" s="761"/>
      <c r="G45" s="761"/>
      <c r="H45" s="760"/>
      <c r="I45" s="760"/>
      <c r="J45" s="760"/>
      <c r="K45" s="762"/>
      <c r="L45" s="763"/>
      <c r="M45" s="760"/>
      <c r="N45" s="760"/>
      <c r="O45" s="760"/>
      <c r="P45" s="503"/>
      <c r="Q45" s="504"/>
    </row>
    <row r="46" spans="1:29" s="508" customFormat="1" ht="15">
      <c r="A46" s="505" t="s">
        <v>2540</v>
      </c>
      <c r="B46" s="506"/>
      <c r="C46" s="1568" t="str">
        <f>YEAR(C7)&amp;"-"&amp;MONTH(C7)</f>
        <v>2019-7</v>
      </c>
      <c r="D46" s="1569">
        <f>EDATE(C46,-1)</f>
        <v>43617</v>
      </c>
      <c r="E46" s="1569">
        <f t="shared" ref="E46:O46" si="16">EDATE(D46,-1)</f>
        <v>43586</v>
      </c>
      <c r="F46" s="1569">
        <f t="shared" si="16"/>
        <v>43556</v>
      </c>
      <c r="G46" s="1569">
        <f t="shared" si="16"/>
        <v>43525</v>
      </c>
      <c r="H46" s="1569">
        <f t="shared" si="16"/>
        <v>43497</v>
      </c>
      <c r="I46" s="1569">
        <f t="shared" si="16"/>
        <v>43466</v>
      </c>
      <c r="J46" s="1569">
        <f t="shared" si="16"/>
        <v>43435</v>
      </c>
      <c r="K46" s="1569">
        <f t="shared" si="16"/>
        <v>43405</v>
      </c>
      <c r="L46" s="1569">
        <f t="shared" si="16"/>
        <v>43374</v>
      </c>
      <c r="M46" s="1569">
        <f t="shared" si="16"/>
        <v>43344</v>
      </c>
      <c r="N46" s="1569">
        <f t="shared" si="16"/>
        <v>43313</v>
      </c>
      <c r="O46" s="1569">
        <f t="shared" si="16"/>
        <v>43282</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2580</v>
      </c>
      <c r="B51" s="528" t="s">
        <v>2546</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2681</v>
      </c>
      <c r="C65" s="659" t="s">
        <v>2667</v>
      </c>
      <c r="D65" s="659" t="s">
        <v>2668</v>
      </c>
      <c r="E65" s="659" t="s">
        <v>2669</v>
      </c>
      <c r="F65" s="659" t="s">
        <v>2670</v>
      </c>
      <c r="G65" s="659" t="s">
        <v>2671</v>
      </c>
      <c r="H65" s="539"/>
      <c r="I65" s="539"/>
      <c r="J65" s="539"/>
      <c r="K65" s="539"/>
      <c r="L65" s="539"/>
      <c r="M65" s="1376"/>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2721</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2555</v>
      </c>
      <c r="B77" s="528" t="s">
        <v>2608</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2725</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2733</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2735</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1"/>
      <c r="E1" s="751"/>
      <c r="F1" s="750" t="s">
        <v>2635</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2319</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2321</v>
      </c>
      <c r="B3" s="609" t="e">
        <f>ROUND(IF(D3="",B2*10000/'数据-汇总表'!E3,B2*10000/D3),0)</f>
        <v>#DIV/0!</v>
      </c>
      <c r="C3" s="247" t="s">
        <v>2738</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2637</v>
      </c>
      <c r="B4" s="402"/>
      <c r="C4" s="3302" t="s">
        <v>2638</v>
      </c>
      <c r="D4" s="3303"/>
      <c r="E4" s="3304" t="s">
        <v>2639</v>
      </c>
      <c r="F4" s="3305"/>
      <c r="G4" s="3302" t="s">
        <v>2640</v>
      </c>
      <c r="H4" s="3303"/>
      <c r="I4" s="3302" t="s">
        <v>2641</v>
      </c>
      <c r="J4" s="3303"/>
      <c r="K4" s="610" t="s">
        <v>2642</v>
      </c>
      <c r="L4" s="1126"/>
      <c r="M4" s="1127"/>
      <c r="N4" s="1127"/>
      <c r="O4" s="1127"/>
      <c r="P4" s="3306" t="s">
        <v>2643</v>
      </c>
      <c r="Q4" s="3307"/>
      <c r="R4" s="3312" t="s">
        <v>2639</v>
      </c>
      <c r="S4" s="3313"/>
      <c r="T4" s="3312" t="s">
        <v>2640</v>
      </c>
      <c r="U4" s="3313"/>
      <c r="V4" s="3318" t="s">
        <v>2641</v>
      </c>
      <c r="W4" s="3318"/>
      <c r="X4" s="1807"/>
      <c r="Y4" s="3312" t="s">
        <v>2643</v>
      </c>
      <c r="Z4" s="3313"/>
      <c r="AA4" s="3299" t="s">
        <v>2639</v>
      </c>
      <c r="AB4" s="3300" t="s">
        <v>2640</v>
      </c>
      <c r="AC4" s="3299" t="s">
        <v>2641</v>
      </c>
    </row>
    <row r="5" spans="1:30" ht="15">
      <c r="A5" s="404"/>
      <c r="B5" s="405"/>
      <c r="C5" s="3321" t="s">
        <v>2534</v>
      </c>
      <c r="D5" s="3322"/>
      <c r="E5" s="3328" t="s">
        <v>2535</v>
      </c>
      <c r="F5" s="3329"/>
      <c r="G5" s="3321" t="s">
        <v>2536</v>
      </c>
      <c r="H5" s="3322"/>
      <c r="I5" s="3321" t="s">
        <v>2537</v>
      </c>
      <c r="J5" s="3322"/>
      <c r="K5" s="610"/>
      <c r="L5" s="1126"/>
      <c r="M5" s="1127"/>
      <c r="N5" s="1127"/>
      <c r="O5" s="1127"/>
      <c r="P5" s="3308"/>
      <c r="Q5" s="3309"/>
      <c r="R5" s="3314"/>
      <c r="S5" s="3315"/>
      <c r="T5" s="3314"/>
      <c r="U5" s="3315"/>
      <c r="V5" s="3318"/>
      <c r="W5" s="3318"/>
      <c r="X5" s="1807"/>
      <c r="Y5" s="3314"/>
      <c r="Z5" s="3315"/>
      <c r="AA5" s="3300"/>
      <c r="AB5" s="3300"/>
      <c r="AC5" s="3300"/>
    </row>
    <row r="6" spans="1:30" ht="15.75" thickBot="1">
      <c r="A6" s="406"/>
      <c r="B6" s="407"/>
      <c r="C6" s="3319" t="s">
        <v>2538</v>
      </c>
      <c r="D6" s="3320"/>
      <c r="E6" s="3326" t="s">
        <v>2538</v>
      </c>
      <c r="F6" s="3327"/>
      <c r="G6" s="3319" t="s">
        <v>2538</v>
      </c>
      <c r="H6" s="3320"/>
      <c r="I6" s="3319" t="s">
        <v>2538</v>
      </c>
      <c r="J6" s="3320"/>
      <c r="K6" s="610" t="s">
        <v>2539</v>
      </c>
      <c r="L6" s="1126"/>
      <c r="M6" s="1127"/>
      <c r="N6" s="1127"/>
      <c r="O6" s="1127"/>
      <c r="P6" s="3310"/>
      <c r="Q6" s="3311"/>
      <c r="R6" s="3314"/>
      <c r="S6" s="3315"/>
      <c r="T6" s="3316"/>
      <c r="U6" s="3317"/>
      <c r="V6" s="3318"/>
      <c r="W6" s="3318"/>
      <c r="X6" s="1807"/>
      <c r="Y6" s="3316"/>
      <c r="Z6" s="3317"/>
      <c r="AA6" s="3301"/>
      <c r="AB6" s="3301"/>
      <c r="AC6" s="3301"/>
    </row>
    <row r="7" spans="1:30" s="117" customFormat="1" ht="15.75" thickBot="1">
      <c r="A7" s="408" t="s">
        <v>2540</v>
      </c>
      <c r="B7" s="409"/>
      <c r="C7" s="410">
        <f>'数据-取费表'!B2</f>
        <v>43670</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8"/>
      <c r="M7" s="1129"/>
      <c r="N7" s="1129"/>
      <c r="O7" s="1129"/>
      <c r="P7" s="3323" t="s">
        <v>2541</v>
      </c>
      <c r="Q7" s="3325"/>
      <c r="R7" s="766" t="s">
        <v>17</v>
      </c>
      <c r="S7" s="767">
        <f t="shared" ref="S7:S15" si="0">F7</f>
        <v>0</v>
      </c>
      <c r="T7" s="766" t="s">
        <v>17</v>
      </c>
      <c r="U7" s="767">
        <f t="shared" ref="U7:U15" si="1">H7</f>
        <v>0</v>
      </c>
      <c r="V7" s="766" t="s">
        <v>17</v>
      </c>
      <c r="W7" s="767">
        <f t="shared" ref="W7:W15" si="2">J7</f>
        <v>0</v>
      </c>
      <c r="X7" s="768"/>
      <c r="Y7" s="3323" t="s">
        <v>2541</v>
      </c>
      <c r="Z7" s="3324"/>
      <c r="AA7" s="769" t="e">
        <f>D7/F7</f>
        <v>#DIV/0!</v>
      </c>
      <c r="AB7" s="769" t="e">
        <f>D7/H7</f>
        <v>#DIV/0!</v>
      </c>
      <c r="AC7" s="769"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323" t="s">
        <v>2544</v>
      </c>
      <c r="Q8" s="3324"/>
      <c r="R8" s="766" t="s">
        <v>17</v>
      </c>
      <c r="S8" s="767">
        <f t="shared" si="0"/>
        <v>0</v>
      </c>
      <c r="T8" s="766" t="s">
        <v>17</v>
      </c>
      <c r="U8" s="767">
        <f t="shared" si="1"/>
        <v>0</v>
      </c>
      <c r="V8" s="766" t="s">
        <v>17</v>
      </c>
      <c r="W8" s="767">
        <f t="shared" si="2"/>
        <v>0</v>
      </c>
      <c r="X8" s="768"/>
      <c r="Y8" s="3323" t="s">
        <v>2544</v>
      </c>
      <c r="Z8" s="3324"/>
      <c r="AA8" s="769" t="e">
        <f t="shared" ref="AA8:AA45" si="3">D8/F8</f>
        <v>#DIV/0!</v>
      </c>
      <c r="AB8" s="769" t="e">
        <f t="shared" ref="AB8:AB45" si="4">D8/H8</f>
        <v>#DIV/0!</v>
      </c>
      <c r="AC8" s="769" t="e">
        <f t="shared" ref="AC8:AC45" si="5">D8/J8</f>
        <v>#DIV/0!</v>
      </c>
    </row>
    <row r="9" spans="1:30" s="117" customFormat="1">
      <c r="A9" s="415" t="s">
        <v>2545</v>
      </c>
      <c r="B9" s="71" t="s">
        <v>2546</v>
      </c>
      <c r="C9" s="2696"/>
      <c r="D9" s="135">
        <v>100</v>
      </c>
      <c r="E9" s="2696"/>
      <c r="F9" s="135">
        <f>SUMIF(75:75,E9,76:76)-SUMIF(75:75,C9,76:76)+100</f>
        <v>100</v>
      </c>
      <c r="G9" s="2696"/>
      <c r="H9" s="135">
        <f>SUMIF(75:75,G9,76:76)-SUMIF(75:75,C9,76:76)+100</f>
        <v>100</v>
      </c>
      <c r="I9" s="2696"/>
      <c r="J9" s="135">
        <f>SUMIF(75:75,I9,76:76)-SUMIF(75:75,C9,76:76)+100</f>
        <v>100</v>
      </c>
      <c r="K9" s="611"/>
      <c r="L9" s="1128"/>
      <c r="M9" s="1129"/>
      <c r="N9" s="1129"/>
      <c r="O9" s="1130"/>
      <c r="P9" s="3287" t="s">
        <v>2547</v>
      </c>
      <c r="Q9" s="1789" t="str">
        <f t="shared" ref="Q9:Q15" si="6">B9</f>
        <v>用途</v>
      </c>
      <c r="R9" s="766" t="s">
        <v>17</v>
      </c>
      <c r="S9" s="767">
        <f t="shared" si="0"/>
        <v>100</v>
      </c>
      <c r="T9" s="766" t="s">
        <v>17</v>
      </c>
      <c r="U9" s="767">
        <f t="shared" si="1"/>
        <v>100</v>
      </c>
      <c r="V9" s="766" t="s">
        <v>17</v>
      </c>
      <c r="W9" s="767">
        <f t="shared" si="2"/>
        <v>100</v>
      </c>
      <c r="X9" s="768"/>
      <c r="Y9" s="3112" t="s">
        <v>2548</v>
      </c>
      <c r="Z9" s="55" t="str">
        <f t="shared" ref="Z9:Z15" si="7">Q9</f>
        <v>用途</v>
      </c>
      <c r="AA9" s="769">
        <f t="shared" si="3"/>
        <v>1</v>
      </c>
      <c r="AB9" s="769">
        <f t="shared" si="4"/>
        <v>1</v>
      </c>
      <c r="AC9" s="769">
        <f t="shared" si="5"/>
        <v>1</v>
      </c>
    </row>
    <row r="10" spans="1:30" s="427" customFormat="1" ht="27">
      <c r="A10" s="421"/>
      <c r="B10" s="422" t="s">
        <v>2549</v>
      </c>
      <c r="C10" s="432"/>
      <c r="D10" s="136">
        <v>100</v>
      </c>
      <c r="E10" s="465"/>
      <c r="F10" s="136">
        <f>ROUND(100/'数据-取费表'!G16,0)</f>
        <v>110</v>
      </c>
      <c r="G10" s="463"/>
      <c r="H10" s="136">
        <f>ROUND(100/'数据-取费表'!G16,0)</f>
        <v>110</v>
      </c>
      <c r="I10" s="463"/>
      <c r="J10" s="136">
        <f>ROUND(100/'数据-取费表'!G16,0)</f>
        <v>110</v>
      </c>
      <c r="K10" s="671"/>
      <c r="L10" s="1131"/>
      <c r="M10" s="1132"/>
      <c r="N10" s="1132"/>
      <c r="O10" s="1133"/>
      <c r="P10" s="3287"/>
      <c r="Q10" s="1789" t="str">
        <f t="shared" si="6"/>
        <v>土地使用年限（年）</v>
      </c>
      <c r="R10" s="766" t="s">
        <v>17</v>
      </c>
      <c r="S10" s="767">
        <f t="shared" si="0"/>
        <v>110</v>
      </c>
      <c r="T10" s="766" t="s">
        <v>17</v>
      </c>
      <c r="U10" s="767">
        <f t="shared" si="1"/>
        <v>110</v>
      </c>
      <c r="V10" s="766" t="s">
        <v>17</v>
      </c>
      <c r="W10" s="767">
        <f t="shared" si="2"/>
        <v>110</v>
      </c>
      <c r="X10" s="768"/>
      <c r="Y10" s="3112"/>
      <c r="Z10" s="55" t="str">
        <f t="shared" si="7"/>
        <v>土地使用年限（年）</v>
      </c>
      <c r="AA10" s="769">
        <f t="shared" si="3"/>
        <v>0.90909090909090906</v>
      </c>
      <c r="AB10" s="769">
        <f t="shared" si="4"/>
        <v>0.90909090909090906</v>
      </c>
      <c r="AC10" s="769">
        <f t="shared" si="5"/>
        <v>0.90909090909090906</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287"/>
      <c r="Q11" s="1789" t="str">
        <f t="shared" si="6"/>
        <v>容积率</v>
      </c>
      <c r="R11" s="766" t="s">
        <v>17</v>
      </c>
      <c r="S11" s="767" t="e">
        <f t="shared" si="0"/>
        <v>#N/A</v>
      </c>
      <c r="T11" s="766" t="s">
        <v>17</v>
      </c>
      <c r="U11" s="767" t="e">
        <f t="shared" si="1"/>
        <v>#N/A</v>
      </c>
      <c r="V11" s="766" t="s">
        <v>17</v>
      </c>
      <c r="W11" s="767" t="e">
        <f t="shared" si="2"/>
        <v>#N/A</v>
      </c>
      <c r="X11" s="768"/>
      <c r="Y11" s="3112"/>
      <c r="Z11" s="55" t="str">
        <f t="shared" si="7"/>
        <v>容积率</v>
      </c>
      <c r="AA11" s="769" t="e">
        <f t="shared" si="3"/>
        <v>#N/A</v>
      </c>
      <c r="AB11" s="769" t="e">
        <f t="shared" si="4"/>
        <v>#N/A</v>
      </c>
      <c r="AC11" s="769" t="e">
        <f t="shared" si="5"/>
        <v>#N/A</v>
      </c>
    </row>
    <row r="12" spans="1:30" s="117" customFormat="1" ht="15">
      <c r="A12" s="431"/>
      <c r="B12" s="2597" t="s">
        <v>2739</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87"/>
      <c r="Q12" s="1789" t="str">
        <f t="shared" si="6"/>
        <v>配建</v>
      </c>
      <c r="R12" s="766" t="s">
        <v>17</v>
      </c>
      <c r="S12" s="767">
        <f t="shared" si="0"/>
        <v>100</v>
      </c>
      <c r="T12" s="766" t="s">
        <v>17</v>
      </c>
      <c r="U12" s="767">
        <f t="shared" si="1"/>
        <v>100</v>
      </c>
      <c r="V12" s="766" t="s">
        <v>17</v>
      </c>
      <c r="W12" s="767">
        <f t="shared" si="2"/>
        <v>100</v>
      </c>
      <c r="X12" s="768"/>
      <c r="Y12" s="3112"/>
      <c r="Z12" s="55" t="str">
        <f t="shared" si="7"/>
        <v>配建</v>
      </c>
      <c r="AA12" s="769">
        <f>D12/F12</f>
        <v>1</v>
      </c>
      <c r="AB12" s="769">
        <f>D12/H12</f>
        <v>1</v>
      </c>
      <c r="AC12" s="769">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87"/>
      <c r="Q13" s="1789">
        <f t="shared" si="6"/>
        <v>111</v>
      </c>
      <c r="R13" s="766" t="s">
        <v>17</v>
      </c>
      <c r="S13" s="767">
        <f t="shared" si="0"/>
        <v>100</v>
      </c>
      <c r="T13" s="766" t="s">
        <v>17</v>
      </c>
      <c r="U13" s="767">
        <f t="shared" si="1"/>
        <v>100</v>
      </c>
      <c r="V13" s="766" t="s">
        <v>17</v>
      </c>
      <c r="W13" s="767">
        <f t="shared" si="2"/>
        <v>100</v>
      </c>
      <c r="X13" s="768"/>
      <c r="Y13" s="3112"/>
      <c r="Z13" s="55">
        <f t="shared" si="7"/>
        <v>111</v>
      </c>
      <c r="AA13" s="769">
        <f>D13/F13</f>
        <v>1</v>
      </c>
      <c r="AB13" s="769">
        <f>D13/H13</f>
        <v>1</v>
      </c>
      <c r="AC13" s="769">
        <f>D13/J13</f>
        <v>1</v>
      </c>
    </row>
    <row r="14" spans="1:30" ht="15.75"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87"/>
      <c r="Q14" s="1789">
        <f t="shared" si="6"/>
        <v>111</v>
      </c>
      <c r="R14" s="766" t="s">
        <v>17</v>
      </c>
      <c r="S14" s="767">
        <f t="shared" si="0"/>
        <v>100</v>
      </c>
      <c r="T14" s="766" t="s">
        <v>17</v>
      </c>
      <c r="U14" s="767">
        <f t="shared" si="1"/>
        <v>100</v>
      </c>
      <c r="V14" s="766" t="s">
        <v>17</v>
      </c>
      <c r="W14" s="767">
        <f t="shared" si="2"/>
        <v>100</v>
      </c>
      <c r="X14" s="768"/>
      <c r="Y14" s="3112"/>
      <c r="Z14" s="55">
        <f t="shared" si="7"/>
        <v>111</v>
      </c>
      <c r="AA14" s="769">
        <f>D14/F14</f>
        <v>1</v>
      </c>
      <c r="AB14" s="769">
        <f>D14/H14</f>
        <v>1</v>
      </c>
      <c r="AC14" s="769">
        <f>D14/J14</f>
        <v>1</v>
      </c>
    </row>
    <row r="15" spans="1:30" ht="15">
      <c r="A15" s="440" t="s">
        <v>2551</v>
      </c>
      <c r="B15" s="69" t="s">
        <v>2085</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289" t="s">
        <v>2552</v>
      </c>
      <c r="Q15" s="1804" t="str">
        <f t="shared" si="6"/>
        <v>居住社区成熟度</v>
      </c>
      <c r="R15" s="770" t="s">
        <v>17</v>
      </c>
      <c r="S15" s="771">
        <f t="shared" si="0"/>
        <v>100</v>
      </c>
      <c r="T15" s="770" t="s">
        <v>17</v>
      </c>
      <c r="U15" s="771">
        <f t="shared" si="1"/>
        <v>100</v>
      </c>
      <c r="V15" s="770" t="s">
        <v>17</v>
      </c>
      <c r="W15" s="771">
        <f t="shared" si="2"/>
        <v>100</v>
      </c>
      <c r="X15" s="1807"/>
      <c r="Y15" s="3289" t="s">
        <v>2552</v>
      </c>
      <c r="Z15" s="1808" t="str">
        <f t="shared" si="7"/>
        <v>居住社区成熟度</v>
      </c>
      <c r="AA15" s="1805">
        <f t="shared" si="3"/>
        <v>1</v>
      </c>
      <c r="AB15" s="1805">
        <f t="shared" si="4"/>
        <v>1</v>
      </c>
      <c r="AC15" s="1805">
        <f t="shared" si="5"/>
        <v>1</v>
      </c>
    </row>
    <row r="16" spans="1:30" ht="15">
      <c r="A16" s="428"/>
      <c r="B16" s="446"/>
      <c r="C16" s="447"/>
      <c r="D16" s="448"/>
      <c r="E16" s="2602"/>
      <c r="F16" s="448"/>
      <c r="G16" s="2602"/>
      <c r="H16" s="450"/>
      <c r="I16" s="2601"/>
      <c r="J16" s="448"/>
      <c r="K16" s="671"/>
      <c r="L16" s="1136"/>
      <c r="M16" s="1127"/>
      <c r="N16" s="1127"/>
      <c r="O16" s="1135"/>
      <c r="P16" s="3290"/>
      <c r="Q16" s="1804"/>
      <c r="R16" s="770"/>
      <c r="S16" s="771"/>
      <c r="T16" s="770"/>
      <c r="U16" s="771"/>
      <c r="V16" s="770"/>
      <c r="W16" s="771"/>
      <c r="X16" s="1807"/>
      <c r="Y16" s="3290"/>
      <c r="Z16" s="1808"/>
      <c r="AA16" s="1805">
        <v>1</v>
      </c>
      <c r="AB16" s="1805">
        <v>1</v>
      </c>
      <c r="AC16" s="1805">
        <v>1</v>
      </c>
    </row>
    <row r="17" spans="1:29" ht="15">
      <c r="A17" s="428"/>
      <c r="B17" s="451" t="s">
        <v>2645</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290"/>
      <c r="Q17" s="1804" t="str">
        <f>B17</f>
        <v>商业繁华度</v>
      </c>
      <c r="R17" s="770" t="s">
        <v>17</v>
      </c>
      <c r="S17" s="771">
        <f>F17</f>
        <v>100</v>
      </c>
      <c r="T17" s="770" t="s">
        <v>17</v>
      </c>
      <c r="U17" s="771">
        <f>H17</f>
        <v>100</v>
      </c>
      <c r="V17" s="770" t="s">
        <v>17</v>
      </c>
      <c r="W17" s="771">
        <f>J17</f>
        <v>100</v>
      </c>
      <c r="X17" s="1807"/>
      <c r="Y17" s="3290"/>
      <c r="Z17" s="1808" t="str">
        <f>Q17</f>
        <v>商业繁华度</v>
      </c>
      <c r="AA17" s="1805">
        <f t="shared" si="3"/>
        <v>1</v>
      </c>
      <c r="AB17" s="1805">
        <f t="shared" si="4"/>
        <v>1</v>
      </c>
      <c r="AC17" s="1805">
        <f t="shared" si="5"/>
        <v>1</v>
      </c>
    </row>
    <row r="18" spans="1:29" ht="15">
      <c r="A18" s="428"/>
      <c r="B18" s="456"/>
      <c r="C18" s="2605"/>
      <c r="D18" s="450"/>
      <c r="E18" s="2607"/>
      <c r="F18" s="450"/>
      <c r="G18" s="2607"/>
      <c r="H18" s="448"/>
      <c r="I18" s="2606"/>
      <c r="J18" s="448"/>
      <c r="K18" s="671"/>
      <c r="L18" s="1136"/>
      <c r="M18" s="1127"/>
      <c r="N18" s="1127"/>
      <c r="O18" s="1135"/>
      <c r="P18" s="3290"/>
      <c r="Q18" s="1804"/>
      <c r="R18" s="770"/>
      <c r="S18" s="771"/>
      <c r="T18" s="770"/>
      <c r="U18" s="771"/>
      <c r="V18" s="770"/>
      <c r="W18" s="771"/>
      <c r="X18" s="1807"/>
      <c r="Y18" s="3290"/>
      <c r="Z18" s="1808"/>
      <c r="AA18" s="1805">
        <v>1</v>
      </c>
      <c r="AB18" s="1805">
        <v>1</v>
      </c>
      <c r="AC18" s="1805">
        <v>1</v>
      </c>
    </row>
    <row r="19" spans="1:29" ht="15">
      <c r="A19" s="428"/>
      <c r="B19" s="451" t="s">
        <v>2679</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290"/>
      <c r="Q19" s="1804" t="str">
        <f>B19</f>
        <v>办公集聚程度</v>
      </c>
      <c r="R19" s="770" t="s">
        <v>17</v>
      </c>
      <c r="S19" s="771">
        <f>F19</f>
        <v>100</v>
      </c>
      <c r="T19" s="770" t="s">
        <v>17</v>
      </c>
      <c r="U19" s="771">
        <f>H19</f>
        <v>100</v>
      </c>
      <c r="V19" s="770" t="s">
        <v>17</v>
      </c>
      <c r="W19" s="771">
        <f>J19</f>
        <v>100</v>
      </c>
      <c r="X19" s="1807"/>
      <c r="Y19" s="3290"/>
      <c r="Z19" s="1808" t="str">
        <f>Q19</f>
        <v>办公集聚程度</v>
      </c>
      <c r="AA19" s="1805">
        <f t="shared" si="3"/>
        <v>1</v>
      </c>
      <c r="AB19" s="1805">
        <f t="shared" si="4"/>
        <v>1</v>
      </c>
      <c r="AC19" s="1805">
        <f t="shared" si="5"/>
        <v>1</v>
      </c>
    </row>
    <row r="20" spans="1:29" ht="15">
      <c r="A20" s="428"/>
      <c r="B20" s="456"/>
      <c r="C20" s="447"/>
      <c r="D20" s="448"/>
      <c r="E20" s="2602"/>
      <c r="F20" s="448"/>
      <c r="G20" s="2602"/>
      <c r="H20" s="448"/>
      <c r="I20" s="2601"/>
      <c r="J20" s="448"/>
      <c r="K20" s="671"/>
      <c r="L20" s="1136"/>
      <c r="M20" s="1127"/>
      <c r="N20" s="1127"/>
      <c r="O20" s="1135"/>
      <c r="P20" s="3290"/>
      <c r="Q20" s="1804"/>
      <c r="R20" s="770"/>
      <c r="S20" s="771"/>
      <c r="T20" s="770"/>
      <c r="U20" s="771"/>
      <c r="V20" s="770"/>
      <c r="W20" s="771"/>
      <c r="X20" s="1807"/>
      <c r="Y20" s="3290"/>
      <c r="Z20" s="1808"/>
      <c r="AA20" s="1805">
        <v>1</v>
      </c>
      <c r="AB20" s="1805">
        <v>1</v>
      </c>
      <c r="AC20" s="1805">
        <v>1</v>
      </c>
    </row>
    <row r="21" spans="1:29" ht="15">
      <c r="A21" s="428"/>
      <c r="B21" s="451" t="s">
        <v>2701</v>
      </c>
      <c r="C21" s="2604">
        <f>估价对象房地状况!C18</f>
        <v>0</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290"/>
      <c r="Q21" s="1804" t="str">
        <f>B21</f>
        <v>交通便捷度</v>
      </c>
      <c r="R21" s="770" t="s">
        <v>17</v>
      </c>
      <c r="S21" s="771">
        <f>F21</f>
        <v>100</v>
      </c>
      <c r="T21" s="770" t="s">
        <v>17</v>
      </c>
      <c r="U21" s="771">
        <f>H21</f>
        <v>100</v>
      </c>
      <c r="V21" s="770" t="s">
        <v>17</v>
      </c>
      <c r="W21" s="771">
        <f>J21</f>
        <v>100</v>
      </c>
      <c r="X21" s="1807"/>
      <c r="Y21" s="3290"/>
      <c r="Z21" s="1808" t="str">
        <f>Q21</f>
        <v>交通便捷度</v>
      </c>
      <c r="AA21" s="1805">
        <f t="shared" si="3"/>
        <v>1</v>
      </c>
      <c r="AB21" s="1805">
        <f t="shared" si="4"/>
        <v>1</v>
      </c>
      <c r="AC21" s="1805">
        <f t="shared" si="5"/>
        <v>1</v>
      </c>
    </row>
    <row r="22" spans="1:29" ht="15">
      <c r="A22" s="428"/>
      <c r="B22" s="1378"/>
      <c r="C22" s="447"/>
      <c r="D22" s="450"/>
      <c r="E22" s="2602"/>
      <c r="F22" s="448"/>
      <c r="G22" s="2602"/>
      <c r="H22" s="448"/>
      <c r="I22" s="2601"/>
      <c r="J22" s="448"/>
      <c r="K22" s="671"/>
      <c r="L22" s="1136"/>
      <c r="M22" s="1127"/>
      <c r="N22" s="1127"/>
      <c r="O22" s="1135"/>
      <c r="P22" s="3290"/>
      <c r="Q22" s="1804"/>
      <c r="R22" s="770"/>
      <c r="S22" s="771"/>
      <c r="T22" s="770"/>
      <c r="U22" s="771"/>
      <c r="V22" s="770"/>
      <c r="W22" s="771"/>
      <c r="X22" s="1807"/>
      <c r="Y22" s="3290"/>
      <c r="Z22" s="1808"/>
      <c r="AA22" s="1805">
        <v>1</v>
      </c>
      <c r="AB22" s="1805">
        <v>1</v>
      </c>
      <c r="AC22" s="1805">
        <v>1</v>
      </c>
    </row>
    <row r="23" spans="1:29" ht="15">
      <c r="A23" s="404"/>
      <c r="B23" s="451" t="s">
        <v>2740</v>
      </c>
      <c r="C23" s="1383">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290"/>
      <c r="Q23" s="1804" t="str">
        <f t="shared" ref="Q23:Q37" si="8">B23</f>
        <v>区域土地利用方向</v>
      </c>
      <c r="R23" s="770" t="s">
        <v>17</v>
      </c>
      <c r="S23" s="771">
        <f>F23</f>
        <v>100</v>
      </c>
      <c r="T23" s="770" t="s">
        <v>17</v>
      </c>
      <c r="U23" s="771">
        <f>H23</f>
        <v>100</v>
      </c>
      <c r="V23" s="770" t="s">
        <v>17</v>
      </c>
      <c r="W23" s="771">
        <f>J23</f>
        <v>100</v>
      </c>
      <c r="X23" s="1807"/>
      <c r="Y23" s="3290"/>
      <c r="Z23" s="1808" t="str">
        <f>Q23</f>
        <v>区域土地利用方向</v>
      </c>
      <c r="AA23" s="1805">
        <f t="shared" si="3"/>
        <v>1</v>
      </c>
      <c r="AB23" s="1805">
        <f t="shared" si="4"/>
        <v>1</v>
      </c>
      <c r="AC23" s="1805">
        <f t="shared" si="5"/>
        <v>1</v>
      </c>
    </row>
    <row r="24" spans="1:29" ht="15">
      <c r="A24" s="404"/>
      <c r="B24" s="456"/>
      <c r="C24" s="616"/>
      <c r="D24" s="448"/>
      <c r="E24" s="2602"/>
      <c r="F24" s="448"/>
      <c r="G24" s="2601"/>
      <c r="H24" s="448"/>
      <c r="I24" s="2601"/>
      <c r="J24" s="448"/>
      <c r="K24" s="808"/>
      <c r="L24" s="1136"/>
      <c r="M24" s="1127"/>
      <c r="N24" s="1127"/>
      <c r="O24" s="1135"/>
      <c r="P24" s="3290"/>
      <c r="Q24" s="1804"/>
      <c r="R24" s="770"/>
      <c r="S24" s="771"/>
      <c r="T24" s="770"/>
      <c r="U24" s="771"/>
      <c r="V24" s="770"/>
      <c r="W24" s="771"/>
      <c r="X24" s="1807"/>
      <c r="Y24" s="3290"/>
      <c r="Z24" s="1808"/>
      <c r="AA24" s="1805"/>
      <c r="AB24" s="1805"/>
      <c r="AC24" s="1805"/>
    </row>
    <row r="25" spans="1:29" ht="27">
      <c r="A25" s="404"/>
      <c r="B25" s="1378" t="s">
        <v>2741</v>
      </c>
      <c r="C25" s="2661">
        <f>估价对象房地状况!C20</f>
        <v>0</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290"/>
      <c r="Q25" s="1804" t="str">
        <f t="shared" si="8"/>
        <v>自然及人文环境状况</v>
      </c>
      <c r="R25" s="770" t="s">
        <v>17</v>
      </c>
      <c r="S25" s="771">
        <f>F25</f>
        <v>100</v>
      </c>
      <c r="T25" s="770" t="s">
        <v>17</v>
      </c>
      <c r="U25" s="771">
        <f>H25</f>
        <v>100</v>
      </c>
      <c r="V25" s="770" t="s">
        <v>17</v>
      </c>
      <c r="W25" s="771">
        <f>J25</f>
        <v>100</v>
      </c>
      <c r="X25" s="1807"/>
      <c r="Y25" s="3290"/>
      <c r="Z25" s="1808" t="str">
        <f>Q25</f>
        <v>自然及人文环境状况</v>
      </c>
      <c r="AA25" s="1805">
        <f t="shared" si="3"/>
        <v>1</v>
      </c>
      <c r="AB25" s="1805">
        <f t="shared" si="4"/>
        <v>1</v>
      </c>
      <c r="AC25" s="1805">
        <f t="shared" si="5"/>
        <v>1</v>
      </c>
    </row>
    <row r="26" spans="1:29" ht="15">
      <c r="A26" s="404"/>
      <c r="B26" s="456"/>
      <c r="C26" s="447"/>
      <c r="D26" s="448"/>
      <c r="E26" s="2608"/>
      <c r="F26" s="448"/>
      <c r="G26" s="2608"/>
      <c r="H26" s="448"/>
      <c r="I26" s="447"/>
      <c r="J26" s="448"/>
      <c r="K26" s="671"/>
      <c r="L26" s="1136"/>
      <c r="M26" s="1127"/>
      <c r="N26" s="1127"/>
      <c r="O26" s="1135"/>
      <c r="P26" s="3290"/>
      <c r="Q26" s="1804"/>
      <c r="R26" s="770"/>
      <c r="S26" s="771"/>
      <c r="T26" s="770"/>
      <c r="U26" s="771"/>
      <c r="V26" s="770"/>
      <c r="W26" s="771"/>
      <c r="X26" s="1807"/>
      <c r="Y26" s="3290"/>
      <c r="Z26" s="1808"/>
      <c r="AA26" s="1805">
        <v>1</v>
      </c>
      <c r="AB26" s="1805">
        <v>1</v>
      </c>
      <c r="AC26" s="1805">
        <v>1</v>
      </c>
    </row>
    <row r="27" spans="1:29" s="117" customFormat="1" ht="15">
      <c r="A27" s="648"/>
      <c r="B27" s="1378" t="s">
        <v>2646</v>
      </c>
      <c r="C27" s="260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290"/>
      <c r="Q27" s="1789" t="str">
        <f t="shared" si="8"/>
        <v>公共配套设施</v>
      </c>
      <c r="R27" s="766" t="s">
        <v>17</v>
      </c>
      <c r="S27" s="767">
        <f>F27</f>
        <v>100</v>
      </c>
      <c r="T27" s="766" t="s">
        <v>17</v>
      </c>
      <c r="U27" s="767">
        <f>H27</f>
        <v>100</v>
      </c>
      <c r="V27" s="766" t="s">
        <v>17</v>
      </c>
      <c r="W27" s="767">
        <f>J27</f>
        <v>100</v>
      </c>
      <c r="X27" s="768"/>
      <c r="Y27" s="3290"/>
      <c r="Z27" s="55" t="str">
        <f>Q27</f>
        <v>公共配套设施</v>
      </c>
      <c r="AA27" s="1805">
        <f>D27/F27</f>
        <v>1</v>
      </c>
      <c r="AB27" s="1805">
        <f>D27/H27</f>
        <v>1</v>
      </c>
      <c r="AC27" s="1805">
        <f>D27/J27</f>
        <v>1</v>
      </c>
    </row>
    <row r="28" spans="1:29" s="117" customFormat="1" ht="15">
      <c r="A28" s="648"/>
      <c r="B28" s="456"/>
      <c r="C28" s="2697"/>
      <c r="D28" s="448"/>
      <c r="E28" s="2608"/>
      <c r="F28" s="448"/>
      <c r="G28" s="2608"/>
      <c r="H28" s="448"/>
      <c r="I28" s="447"/>
      <c r="J28" s="448"/>
      <c r="K28" s="671"/>
      <c r="L28" s="1128"/>
      <c r="M28" s="1129"/>
      <c r="N28" s="1129"/>
      <c r="O28" s="1130"/>
      <c r="P28" s="3290"/>
      <c r="Q28" s="1789"/>
      <c r="R28" s="766"/>
      <c r="S28" s="767"/>
      <c r="T28" s="766"/>
      <c r="U28" s="767"/>
      <c r="V28" s="766"/>
      <c r="W28" s="767"/>
      <c r="X28" s="768"/>
      <c r="Y28" s="3290"/>
      <c r="Z28" s="55"/>
      <c r="AA28" s="1805">
        <v>1</v>
      </c>
      <c r="AB28" s="1805">
        <v>1</v>
      </c>
      <c r="AC28" s="1805">
        <v>1</v>
      </c>
    </row>
    <row r="29" spans="1:29" s="117" customFormat="1" ht="15">
      <c r="A29" s="648"/>
      <c r="B29" s="1378" t="s">
        <v>2647</v>
      </c>
      <c r="C29" s="260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290"/>
      <c r="Q29" s="1789" t="str">
        <f t="shared" ref="Q29" si="9">B29</f>
        <v>基础设施水平</v>
      </c>
      <c r="R29" s="766" t="s">
        <v>17</v>
      </c>
      <c r="S29" s="767">
        <f>F29</f>
        <v>100</v>
      </c>
      <c r="T29" s="766" t="s">
        <v>17</v>
      </c>
      <c r="U29" s="767">
        <f>H29</f>
        <v>100</v>
      </c>
      <c r="V29" s="766" t="s">
        <v>17</v>
      </c>
      <c r="W29" s="767">
        <f>J29</f>
        <v>100</v>
      </c>
      <c r="X29" s="768"/>
      <c r="Y29" s="3290"/>
      <c r="Z29" s="55" t="str">
        <f>Q29</f>
        <v>基础设施水平</v>
      </c>
      <c r="AA29" s="1805">
        <f>D29/F29</f>
        <v>1</v>
      </c>
      <c r="AB29" s="1805">
        <f>D29/H29</f>
        <v>1</v>
      </c>
      <c r="AC29" s="1805">
        <f>D29/J29</f>
        <v>1</v>
      </c>
    </row>
    <row r="30" spans="1:29" s="117" customFormat="1" ht="15">
      <c r="A30" s="648"/>
      <c r="B30" s="456"/>
      <c r="C30" s="2697"/>
      <c r="D30" s="448"/>
      <c r="E30" s="2698"/>
      <c r="F30" s="448"/>
      <c r="G30" s="2698"/>
      <c r="H30" s="448"/>
      <c r="I30" s="2698"/>
      <c r="J30" s="448"/>
      <c r="K30" s="671"/>
      <c r="L30" s="1128"/>
      <c r="M30" s="1129"/>
      <c r="N30" s="1129"/>
      <c r="O30" s="1130"/>
      <c r="P30" s="3290"/>
      <c r="Q30" s="1789"/>
      <c r="R30" s="766"/>
      <c r="S30" s="767"/>
      <c r="T30" s="766"/>
      <c r="U30" s="767"/>
      <c r="V30" s="766"/>
      <c r="W30" s="767"/>
      <c r="X30" s="768"/>
      <c r="Y30" s="3290"/>
      <c r="Z30" s="55"/>
      <c r="AA30" s="1805">
        <v>1</v>
      </c>
      <c r="AB30" s="1805">
        <v>1</v>
      </c>
      <c r="AC30" s="1805">
        <v>1</v>
      </c>
    </row>
    <row r="31" spans="1:29" ht="15">
      <c r="A31" s="428"/>
      <c r="B31" s="456" t="s">
        <v>2648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290"/>
      <c r="Q31" s="1804" t="str">
        <f t="shared" si="8"/>
        <v>临街状况</v>
      </c>
      <c r="R31" s="770" t="s">
        <v>17</v>
      </c>
      <c r="S31" s="771">
        <f t="shared" ref="S31:S45" si="10">F31</f>
        <v>100</v>
      </c>
      <c r="T31" s="770" t="s">
        <v>17</v>
      </c>
      <c r="U31" s="771">
        <f t="shared" ref="U31:U45" si="11">H31</f>
        <v>100</v>
      </c>
      <c r="V31" s="770" t="s">
        <v>17</v>
      </c>
      <c r="W31" s="771">
        <f t="shared" ref="W31:W45" si="12">J31</f>
        <v>100</v>
      </c>
      <c r="X31" s="1807"/>
      <c r="Y31" s="3290"/>
      <c r="Z31" s="1808" t="str">
        <f t="shared" ref="Z31:Z45" si="13">Q31</f>
        <v>临街状况</v>
      </c>
      <c r="AA31" s="1805">
        <f t="shared" si="3"/>
        <v>1</v>
      </c>
      <c r="AB31" s="1805">
        <f t="shared" si="4"/>
        <v>1</v>
      </c>
      <c r="AC31" s="1805">
        <f t="shared" si="5"/>
        <v>1</v>
      </c>
    </row>
    <row r="32" spans="1:29" ht="27">
      <c r="A32" s="428"/>
      <c r="B32" s="1378"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290"/>
      <c r="Q32" s="1804" t="str">
        <f t="shared" si="8"/>
        <v>毗邻道路的类型与等级</v>
      </c>
      <c r="R32" s="770" t="s">
        <v>17</v>
      </c>
      <c r="S32" s="771">
        <f t="shared" si="10"/>
        <v>100</v>
      </c>
      <c r="T32" s="770" t="s">
        <v>17</v>
      </c>
      <c r="U32" s="771">
        <f t="shared" si="11"/>
        <v>100</v>
      </c>
      <c r="V32" s="770" t="s">
        <v>17</v>
      </c>
      <c r="W32" s="771">
        <f t="shared" si="12"/>
        <v>100</v>
      </c>
      <c r="X32" s="1807"/>
      <c r="Y32" s="3290"/>
      <c r="Z32" s="1808" t="str">
        <f t="shared" si="13"/>
        <v>毗邻道路的类型与等级</v>
      </c>
      <c r="AA32" s="1805">
        <f t="shared" si="3"/>
        <v>1</v>
      </c>
      <c r="AB32" s="1805">
        <f t="shared" si="4"/>
        <v>1</v>
      </c>
      <c r="AC32" s="1805">
        <f t="shared" si="5"/>
        <v>1</v>
      </c>
    </row>
    <row r="33" spans="1:29" ht="15">
      <c r="A33" s="428"/>
      <c r="B33" s="456"/>
      <c r="C33" s="447"/>
      <c r="D33" s="448"/>
      <c r="E33" s="2608"/>
      <c r="F33" s="448"/>
      <c r="G33" s="2608"/>
      <c r="H33" s="448"/>
      <c r="I33" s="447"/>
      <c r="J33" s="448"/>
      <c r="K33" s="613"/>
      <c r="L33" s="1136"/>
      <c r="M33" s="1127"/>
      <c r="N33" s="1127"/>
      <c r="O33" s="1135"/>
      <c r="P33" s="3290"/>
      <c r="Q33" s="1804"/>
      <c r="R33" s="770"/>
      <c r="S33" s="771"/>
      <c r="T33" s="770"/>
      <c r="U33" s="771"/>
      <c r="V33" s="770"/>
      <c r="W33" s="771"/>
      <c r="X33" s="1807"/>
      <c r="Y33" s="3290"/>
      <c r="Z33" s="1808"/>
      <c r="AA33" s="1805">
        <v>1</v>
      </c>
      <c r="AB33" s="1805">
        <v>1</v>
      </c>
      <c r="AC33" s="1805">
        <v>1</v>
      </c>
    </row>
    <row r="34" spans="1:29" ht="15">
      <c r="A34" s="428"/>
      <c r="B34" s="422" t="s">
        <v>2742</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290"/>
      <c r="Q34" s="1804" t="str">
        <f t="shared" si="8"/>
        <v>土地级别</v>
      </c>
      <c r="R34" s="770" t="s">
        <v>17</v>
      </c>
      <c r="S34" s="771">
        <f t="shared" si="10"/>
        <v>100</v>
      </c>
      <c r="T34" s="770" t="s">
        <v>17</v>
      </c>
      <c r="U34" s="771">
        <f t="shared" si="11"/>
        <v>100</v>
      </c>
      <c r="V34" s="770" t="s">
        <v>17</v>
      </c>
      <c r="W34" s="771">
        <f t="shared" si="12"/>
        <v>100</v>
      </c>
      <c r="X34" s="1807"/>
      <c r="Y34" s="3290"/>
      <c r="Z34" s="1808" t="str">
        <f t="shared" si="13"/>
        <v>土地级别</v>
      </c>
      <c r="AA34" s="1805">
        <f t="shared" si="3"/>
        <v>1</v>
      </c>
      <c r="AB34" s="1805">
        <f t="shared" si="4"/>
        <v>1</v>
      </c>
      <c r="AC34" s="1805">
        <f t="shared" si="5"/>
        <v>1</v>
      </c>
    </row>
    <row r="35" spans="1:29" ht="15">
      <c r="A35" s="404"/>
      <c r="B35" s="1380">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290"/>
      <c r="Q35" s="1804">
        <f t="shared" si="8"/>
        <v>111</v>
      </c>
      <c r="R35" s="770" t="s">
        <v>17</v>
      </c>
      <c r="S35" s="771">
        <f t="shared" si="10"/>
        <v>100</v>
      </c>
      <c r="T35" s="770" t="s">
        <v>17</v>
      </c>
      <c r="U35" s="771">
        <f t="shared" si="11"/>
        <v>100</v>
      </c>
      <c r="V35" s="770" t="s">
        <v>17</v>
      </c>
      <c r="W35" s="771">
        <f t="shared" si="12"/>
        <v>100</v>
      </c>
      <c r="X35" s="1807"/>
      <c r="Y35" s="3290"/>
      <c r="Z35" s="1808">
        <f t="shared" si="13"/>
        <v>111</v>
      </c>
      <c r="AA35" s="1805">
        <f t="shared" si="3"/>
        <v>1</v>
      </c>
      <c r="AB35" s="1805">
        <f t="shared" si="4"/>
        <v>1</v>
      </c>
      <c r="AC35" s="1805">
        <f t="shared" si="5"/>
        <v>1</v>
      </c>
    </row>
    <row r="36" spans="1:29" ht="15">
      <c r="A36" s="674"/>
      <c r="B36" s="1381">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47" t="s">
        <v>2557</v>
      </c>
      <c r="Q36" s="1804">
        <f t="shared" si="8"/>
        <v>111</v>
      </c>
      <c r="R36" s="770" t="s">
        <v>17</v>
      </c>
      <c r="S36" s="771">
        <f t="shared" si="10"/>
        <v>100</v>
      </c>
      <c r="T36" s="770" t="s">
        <v>17</v>
      </c>
      <c r="U36" s="771">
        <f t="shared" si="11"/>
        <v>100</v>
      </c>
      <c r="V36" s="770" t="s">
        <v>17</v>
      </c>
      <c r="W36" s="771">
        <f t="shared" si="12"/>
        <v>100</v>
      </c>
      <c r="X36" s="1807"/>
      <c r="Y36" s="3294" t="s">
        <v>2557</v>
      </c>
      <c r="Z36" s="1808">
        <f t="shared" si="13"/>
        <v>111</v>
      </c>
      <c r="AA36" s="1805">
        <f t="shared" si="3"/>
        <v>1</v>
      </c>
      <c r="AB36" s="1805">
        <f t="shared" si="4"/>
        <v>1</v>
      </c>
      <c r="AC36" s="1805">
        <f t="shared" si="5"/>
        <v>1</v>
      </c>
    </row>
    <row r="37" spans="1:29" s="471" customFormat="1" ht="15.75" thickBot="1">
      <c r="A37" s="675"/>
      <c r="B37" s="1382">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294"/>
      <c r="Q37" s="1804">
        <f t="shared" si="8"/>
        <v>111</v>
      </c>
      <c r="R37" s="773" t="s">
        <v>17</v>
      </c>
      <c r="S37" s="774">
        <f t="shared" si="10"/>
        <v>100</v>
      </c>
      <c r="T37" s="773" t="s">
        <v>17</v>
      </c>
      <c r="U37" s="774">
        <f t="shared" si="11"/>
        <v>100</v>
      </c>
      <c r="V37" s="773" t="s">
        <v>17</v>
      </c>
      <c r="W37" s="774">
        <f t="shared" si="12"/>
        <v>100</v>
      </c>
      <c r="X37" s="775"/>
      <c r="Y37" s="3294"/>
      <c r="Z37" s="776">
        <f t="shared" si="13"/>
        <v>111</v>
      </c>
      <c r="AA37" s="1805">
        <f t="shared" si="3"/>
        <v>1</v>
      </c>
      <c r="AB37" s="1805">
        <f t="shared" si="4"/>
        <v>1</v>
      </c>
      <c r="AC37" s="1805">
        <f t="shared" si="5"/>
        <v>1</v>
      </c>
    </row>
    <row r="38" spans="1:29" ht="15">
      <c r="A38" s="472" t="s">
        <v>2555</v>
      </c>
      <c r="B38" s="456" t="s">
        <v>2743</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294"/>
      <c r="Q38" s="1804" t="str">
        <f>B38</f>
        <v>宗地面积</v>
      </c>
      <c r="R38" s="770" t="s">
        <v>17</v>
      </c>
      <c r="S38" s="771" t="e">
        <f t="shared" si="10"/>
        <v>#N/A</v>
      </c>
      <c r="T38" s="770" t="s">
        <v>17</v>
      </c>
      <c r="U38" s="771" t="e">
        <f t="shared" si="11"/>
        <v>#N/A</v>
      </c>
      <c r="V38" s="770" t="s">
        <v>17</v>
      </c>
      <c r="W38" s="771" t="e">
        <f t="shared" si="12"/>
        <v>#N/A</v>
      </c>
      <c r="X38" s="1807"/>
      <c r="Y38" s="3294"/>
      <c r="Z38" s="1808" t="str">
        <f t="shared" si="13"/>
        <v>宗地面积</v>
      </c>
      <c r="AA38" s="1805" t="e">
        <f t="shared" si="3"/>
        <v>#N/A</v>
      </c>
      <c r="AB38" s="1805" t="e">
        <f t="shared" si="4"/>
        <v>#N/A</v>
      </c>
      <c r="AC38" s="1805" t="e">
        <f t="shared" si="5"/>
        <v>#N/A</v>
      </c>
    </row>
    <row r="39" spans="1:29" ht="15">
      <c r="A39" s="472"/>
      <c r="B39" s="422" t="s">
        <v>2744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6"/>
      <c r="M39" s="1127"/>
      <c r="N39" s="1127"/>
      <c r="O39" s="1135"/>
      <c r="P39" s="3294"/>
      <c r="Q39" s="1804" t="str">
        <f t="shared" ref="Q39:Q45" si="14">B39</f>
        <v>宗地形状</v>
      </c>
      <c r="R39" s="770" t="s">
        <v>17</v>
      </c>
      <c r="S39" s="771">
        <f t="shared" si="10"/>
        <v>100</v>
      </c>
      <c r="T39" s="770" t="s">
        <v>17</v>
      </c>
      <c r="U39" s="771">
        <f t="shared" si="11"/>
        <v>100</v>
      </c>
      <c r="V39" s="770" t="s">
        <v>17</v>
      </c>
      <c r="W39" s="771">
        <f t="shared" si="12"/>
        <v>100</v>
      </c>
      <c r="X39" s="1807"/>
      <c r="Y39" s="3294"/>
      <c r="Z39" s="1808" t="str">
        <f t="shared" si="13"/>
        <v>宗地形状</v>
      </c>
      <c r="AA39" s="1805">
        <f t="shared" si="3"/>
        <v>1</v>
      </c>
      <c r="AB39" s="1805">
        <f t="shared" si="4"/>
        <v>1</v>
      </c>
      <c r="AC39" s="1805">
        <f t="shared" si="5"/>
        <v>1</v>
      </c>
    </row>
    <row r="40" spans="1:29" ht="15">
      <c r="A40" s="472"/>
      <c r="B40" s="422" t="s">
        <v>2745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6"/>
      <c r="M40" s="1127"/>
      <c r="N40" s="1127"/>
      <c r="O40" s="1135"/>
      <c r="P40" s="3294"/>
      <c r="Q40" s="1804" t="str">
        <f t="shared" si="14"/>
        <v>临街宽度及深度</v>
      </c>
      <c r="R40" s="770" t="s">
        <v>17</v>
      </c>
      <c r="S40" s="771">
        <f t="shared" si="10"/>
        <v>100</v>
      </c>
      <c r="T40" s="770" t="s">
        <v>17</v>
      </c>
      <c r="U40" s="771">
        <f t="shared" si="11"/>
        <v>100</v>
      </c>
      <c r="V40" s="770" t="s">
        <v>17</v>
      </c>
      <c r="W40" s="771">
        <f t="shared" si="12"/>
        <v>100</v>
      </c>
      <c r="X40" s="1807"/>
      <c r="Y40" s="3294"/>
      <c r="Z40" s="1808" t="str">
        <f t="shared" si="13"/>
        <v>临街宽度及深度</v>
      </c>
      <c r="AA40" s="1805">
        <f t="shared" si="3"/>
        <v>1</v>
      </c>
      <c r="AB40" s="1805">
        <f t="shared" si="4"/>
        <v>1</v>
      </c>
      <c r="AC40" s="1805">
        <f t="shared" si="5"/>
        <v>1</v>
      </c>
    </row>
    <row r="41" spans="1:29" s="117" customFormat="1" ht="15">
      <c r="A41" s="473"/>
      <c r="B41" s="422" t="s">
        <v>2746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8"/>
      <c r="M41" s="1129"/>
      <c r="N41" s="1129"/>
      <c r="O41" s="1130"/>
      <c r="P41" s="3294"/>
      <c r="Q41" s="1804" t="str">
        <f t="shared" si="14"/>
        <v>宗地开发程度</v>
      </c>
      <c r="R41" s="766" t="s">
        <v>17</v>
      </c>
      <c r="S41" s="767">
        <f t="shared" si="10"/>
        <v>100</v>
      </c>
      <c r="T41" s="766" t="s">
        <v>17</v>
      </c>
      <c r="U41" s="767">
        <f t="shared" si="11"/>
        <v>100</v>
      </c>
      <c r="V41" s="766" t="s">
        <v>17</v>
      </c>
      <c r="W41" s="767">
        <f t="shared" si="12"/>
        <v>100</v>
      </c>
      <c r="X41" s="768"/>
      <c r="Y41" s="3294"/>
      <c r="Z41" s="55" t="str">
        <f t="shared" si="13"/>
        <v>宗地开发程度</v>
      </c>
      <c r="AA41" s="769">
        <f t="shared" si="3"/>
        <v>1</v>
      </c>
      <c r="AB41" s="769">
        <f t="shared" si="4"/>
        <v>1</v>
      </c>
      <c r="AC41" s="769">
        <f t="shared" si="5"/>
        <v>1</v>
      </c>
    </row>
    <row r="42" spans="1:29" ht="15">
      <c r="A42" s="472"/>
      <c r="B42" s="422" t="s">
        <v>2747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6"/>
      <c r="M42" s="1127"/>
      <c r="N42" s="1127"/>
      <c r="O42" s="1135"/>
      <c r="P42" s="3294" t="s">
        <v>2557</v>
      </c>
      <c r="Q42" s="1804" t="str">
        <f t="shared" si="14"/>
        <v>工程地质条件</v>
      </c>
      <c r="R42" s="770" t="s">
        <v>17</v>
      </c>
      <c r="S42" s="771">
        <f t="shared" si="10"/>
        <v>100</v>
      </c>
      <c r="T42" s="770" t="s">
        <v>17</v>
      </c>
      <c r="U42" s="771">
        <f t="shared" si="11"/>
        <v>100</v>
      </c>
      <c r="V42" s="770" t="s">
        <v>17</v>
      </c>
      <c r="W42" s="771">
        <f t="shared" si="12"/>
        <v>100</v>
      </c>
      <c r="X42" s="1807"/>
      <c r="Y42" s="3294" t="s">
        <v>2557</v>
      </c>
      <c r="Z42" s="1808" t="str">
        <f t="shared" si="13"/>
        <v>工程地质条件</v>
      </c>
      <c r="AA42" s="1805">
        <f t="shared" si="3"/>
        <v>1</v>
      </c>
      <c r="AB42" s="1805">
        <f t="shared" si="4"/>
        <v>1</v>
      </c>
      <c r="AC42" s="1805">
        <f t="shared" si="5"/>
        <v>1</v>
      </c>
    </row>
    <row r="43" spans="1:29" ht="15">
      <c r="A43" s="472"/>
      <c r="B43" s="1381">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294"/>
      <c r="Q43" s="1804">
        <f t="shared" si="14"/>
        <v>111</v>
      </c>
      <c r="R43" s="770" t="s">
        <v>17</v>
      </c>
      <c r="S43" s="771">
        <f t="shared" si="10"/>
        <v>100</v>
      </c>
      <c r="T43" s="770" t="s">
        <v>17</v>
      </c>
      <c r="U43" s="771">
        <f t="shared" si="11"/>
        <v>100</v>
      </c>
      <c r="V43" s="770" t="s">
        <v>17</v>
      </c>
      <c r="W43" s="771">
        <f t="shared" si="12"/>
        <v>100</v>
      </c>
      <c r="X43" s="1807"/>
      <c r="Y43" s="3294"/>
      <c r="Z43" s="1808">
        <f t="shared" si="13"/>
        <v>111</v>
      </c>
      <c r="AA43" s="1805">
        <f t="shared" si="3"/>
        <v>1</v>
      </c>
      <c r="AB43" s="1805">
        <f t="shared" si="4"/>
        <v>1</v>
      </c>
      <c r="AC43" s="1805">
        <f t="shared" si="5"/>
        <v>1</v>
      </c>
    </row>
    <row r="44" spans="1:29" ht="15">
      <c r="A44" s="472"/>
      <c r="B44" s="1381">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294"/>
      <c r="Q44" s="1804">
        <f t="shared" si="14"/>
        <v>111</v>
      </c>
      <c r="R44" s="770" t="s">
        <v>17</v>
      </c>
      <c r="S44" s="771">
        <f t="shared" si="10"/>
        <v>100</v>
      </c>
      <c r="T44" s="770" t="s">
        <v>17</v>
      </c>
      <c r="U44" s="771">
        <f t="shared" si="11"/>
        <v>100</v>
      </c>
      <c r="V44" s="770" t="s">
        <v>17</v>
      </c>
      <c r="W44" s="771">
        <f t="shared" si="12"/>
        <v>100</v>
      </c>
      <c r="X44" s="1807"/>
      <c r="Y44" s="3294"/>
      <c r="Z44" s="1808">
        <f t="shared" si="13"/>
        <v>111</v>
      </c>
      <c r="AA44" s="1805">
        <f t="shared" si="3"/>
        <v>1</v>
      </c>
      <c r="AB44" s="1805">
        <f t="shared" si="4"/>
        <v>1</v>
      </c>
      <c r="AC44" s="1805">
        <f t="shared" si="5"/>
        <v>1</v>
      </c>
    </row>
    <row r="45" spans="1:29" s="471" customFormat="1" ht="15.75" thickBot="1">
      <c r="A45" s="468"/>
      <c r="B45" s="1381">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294"/>
      <c r="Q45" s="1804">
        <f t="shared" si="14"/>
        <v>111</v>
      </c>
      <c r="R45" s="773" t="s">
        <v>17</v>
      </c>
      <c r="S45" s="774">
        <f t="shared" si="10"/>
        <v>100</v>
      </c>
      <c r="T45" s="773" t="s">
        <v>17</v>
      </c>
      <c r="U45" s="774">
        <f t="shared" si="11"/>
        <v>100</v>
      </c>
      <c r="V45" s="773" t="s">
        <v>17</v>
      </c>
      <c r="W45" s="774">
        <f t="shared" si="12"/>
        <v>100</v>
      </c>
      <c r="X45" s="775"/>
      <c r="Y45" s="3294"/>
      <c r="Z45" s="776">
        <f t="shared" si="13"/>
        <v>111</v>
      </c>
      <c r="AA45" s="1805">
        <f t="shared" si="3"/>
        <v>1</v>
      </c>
      <c r="AB45" s="1805">
        <f t="shared" si="4"/>
        <v>1</v>
      </c>
      <c r="AC45" s="1805">
        <f t="shared" si="5"/>
        <v>1</v>
      </c>
    </row>
    <row r="46" spans="1:29" ht="15">
      <c r="A46" s="479" t="s">
        <v>2712</v>
      </c>
      <c r="B46" s="2701" t="s">
        <v>2748</v>
      </c>
      <c r="C46" s="681" t="s">
        <v>1</v>
      </c>
      <c r="D46" s="481"/>
      <c r="E46" s="482"/>
      <c r="F46" s="483"/>
      <c r="G46" s="484"/>
      <c r="H46" s="485"/>
      <c r="I46" s="482"/>
      <c r="J46" s="485"/>
      <c r="K46" s="779"/>
      <c r="L46" s="1139"/>
      <c r="M46" s="1140"/>
      <c r="N46" s="1127"/>
      <c r="O46" s="1140"/>
      <c r="P46" s="3287" t="str">
        <f>A46</f>
        <v>成交单价</v>
      </c>
      <c r="Q46" s="3287"/>
      <c r="R46" s="3318">
        <f>E46</f>
        <v>0</v>
      </c>
      <c r="S46" s="3318"/>
      <c r="T46" s="3318">
        <f>G46</f>
        <v>0</v>
      </c>
      <c r="U46" s="3318"/>
      <c r="V46" s="3318">
        <f>I46</f>
        <v>0</v>
      </c>
      <c r="W46" s="3318"/>
      <c r="X46" s="755"/>
      <c r="Y46" s="777"/>
      <c r="Z46" s="755"/>
      <c r="AA46" s="755"/>
      <c r="AB46" s="755"/>
      <c r="AC46" s="755"/>
    </row>
    <row r="47" spans="1:29" ht="15.75" thickBot="1">
      <c r="A47" s="486" t="s">
        <v>2661</v>
      </c>
      <c r="B47" s="682"/>
      <c r="C47" s="490" t="e">
        <f>R48</f>
        <v>#DIV/0!</v>
      </c>
      <c r="D47" s="489"/>
      <c r="E47" s="490" t="e">
        <f>R47</f>
        <v>#DIV/0!</v>
      </c>
      <c r="F47" s="491"/>
      <c r="G47" s="488" t="e">
        <f>T47</f>
        <v>#DIV/0!</v>
      </c>
      <c r="H47" s="489"/>
      <c r="I47" s="490" t="e">
        <f>V47</f>
        <v>#DIV/0!</v>
      </c>
      <c r="J47" s="489"/>
      <c r="K47" s="780"/>
      <c r="L47" s="1139"/>
      <c r="M47" s="1140"/>
      <c r="N47" s="1140"/>
      <c r="O47" s="1140"/>
      <c r="P47" s="3287" t="str">
        <f>A47</f>
        <v>比较价值（元/平方米）</v>
      </c>
      <c r="Q47" s="3287"/>
      <c r="R47" s="3348" t="e">
        <f>ROUND(PRODUCT(R46,AA7:AA45),0)</f>
        <v>#DIV/0!</v>
      </c>
      <c r="S47" s="3348"/>
      <c r="T47" s="3348" t="e">
        <f>ROUND(PRODUCT(T46,AB7:AB45),0)</f>
        <v>#DIV/0!</v>
      </c>
      <c r="U47" s="3348"/>
      <c r="V47" s="3348" t="e">
        <f>ROUND(PRODUCT(V46,AC7:AC45),0)</f>
        <v>#DIV/0!</v>
      </c>
      <c r="W47" s="3348"/>
      <c r="X47" s="755"/>
      <c r="Y47" s="755"/>
      <c r="Z47" s="755"/>
      <c r="AA47" s="755"/>
      <c r="AB47" s="755"/>
      <c r="AC47" s="755"/>
    </row>
    <row r="48" spans="1:29" ht="15.75" thickBot="1">
      <c r="A48" s="492" t="s">
        <v>2749</v>
      </c>
      <c r="B48" s="493"/>
      <c r="C48" s="494" t="e">
        <f>R48</f>
        <v>#DIV/0!</v>
      </c>
      <c r="D48" s="494"/>
      <c r="E48" s="494"/>
      <c r="F48" s="494"/>
      <c r="G48" s="494"/>
      <c r="H48" s="494"/>
      <c r="I48" s="494"/>
      <c r="J48" s="494"/>
      <c r="K48" s="781"/>
      <c r="L48" s="1139"/>
      <c r="M48" s="1140"/>
      <c r="N48" s="1140"/>
      <c r="O48" s="1140"/>
      <c r="P48" s="3284" t="str">
        <f>A48</f>
        <v>估价对象XX用房的比较价值（楼面单价，元/平方米）</v>
      </c>
      <c r="Q48" s="3285"/>
      <c r="R48" s="3349" t="e">
        <f>ROUND(AVERAGE(R47:V47),0)</f>
        <v>#DIV/0!</v>
      </c>
      <c r="S48" s="3349"/>
      <c r="T48" s="3349"/>
      <c r="U48" s="3349"/>
      <c r="V48" s="3349"/>
      <c r="W48" s="3349"/>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2750</v>
      </c>
      <c r="B55" s="684" t="s">
        <v>2751</v>
      </c>
      <c r="C55" s="2702" t="s">
        <v>2752</v>
      </c>
      <c r="D55" s="2703" t="s">
        <v>2753</v>
      </c>
      <c r="E55" s="685" t="s">
        <v>2754</v>
      </c>
      <c r="F55" s="1103" t="s">
        <v>2755</v>
      </c>
      <c r="G55" s="3302" t="s">
        <v>2756</v>
      </c>
      <c r="H55" s="3350"/>
      <c r="I55" s="144" t="s">
        <v>2757</v>
      </c>
      <c r="J55" s="2704">
        <f>项目基本情况!F35</f>
        <v>0</v>
      </c>
      <c r="K55" s="2705" t="s">
        <v>2758</v>
      </c>
      <c r="L55" s="1102"/>
      <c r="M55" s="1140"/>
      <c r="N55" s="1140"/>
      <c r="O55" s="1140"/>
    </row>
    <row r="56" spans="1:15" s="691" customFormat="1">
      <c r="A56" s="687" t="s">
        <v>2759</v>
      </c>
      <c r="B56" s="688" t="e">
        <f>C48</f>
        <v>#DIV/0!</v>
      </c>
      <c r="C56" s="689">
        <v>1</v>
      </c>
      <c r="D56" s="1159">
        <v>1</v>
      </c>
      <c r="E56" s="689">
        <f>'数据-汇总表'!E8+'数据-汇总表'!E9</f>
        <v>3497.5499999999993</v>
      </c>
      <c r="F56" s="1099" t="e">
        <f t="shared" ref="F56:F65" si="15">ROUND(B56*E56/10000,0)</f>
        <v>#DIV/0!</v>
      </c>
      <c r="G56" s="3298"/>
      <c r="H56" s="3287"/>
      <c r="I56" s="1104">
        <v>1</v>
      </c>
      <c r="J56" s="1107">
        <v>1</v>
      </c>
      <c r="K56" s="1141"/>
      <c r="L56" s="937"/>
      <c r="M56" s="937"/>
      <c r="N56" s="937"/>
      <c r="O56" s="937"/>
    </row>
    <row r="57" spans="1:15" s="691" customFormat="1">
      <c r="A57" s="692" t="s">
        <v>2760</v>
      </c>
      <c r="B57" s="262" t="e">
        <f>ROUND($C$48*C57*D57,0)</f>
        <v>#DIV/0!</v>
      </c>
      <c r="C57" s="200">
        <f t="shared" ref="C57:C65" si="16">IF($C$55="北京市系数",I57,J57)</f>
        <v>0</v>
      </c>
      <c r="D57" s="1160">
        <v>0.25</v>
      </c>
      <c r="E57" s="693"/>
      <c r="F57" s="1099" t="e">
        <f t="shared" si="15"/>
        <v>#DIV/0!</v>
      </c>
      <c r="G57" s="3351" t="s">
        <v>2761</v>
      </c>
      <c r="H57" s="1100">
        <f>项目基本情况!B37</f>
        <v>0</v>
      </c>
      <c r="I57" s="1104">
        <f>SUMIF(修正!A45:A56,H57,修正!B45:B56)</f>
        <v>0</v>
      </c>
      <c r="J57" s="1108"/>
      <c r="K57" s="1140"/>
      <c r="L57" s="937"/>
      <c r="M57" s="937"/>
      <c r="N57" s="937"/>
      <c r="O57" s="937"/>
    </row>
    <row r="58" spans="1:15" s="691" customFormat="1">
      <c r="A58" s="692" t="s">
        <v>2762</v>
      </c>
      <c r="B58" s="262" t="e">
        <f t="shared" ref="B58:B65" si="17">ROUND($C$48*C58*D58,0)</f>
        <v>#DIV/0!</v>
      </c>
      <c r="C58" s="200">
        <f t="shared" si="16"/>
        <v>0</v>
      </c>
      <c r="D58" s="1160">
        <v>0.25</v>
      </c>
      <c r="E58" s="693"/>
      <c r="F58" s="1099" t="e">
        <f t="shared" si="15"/>
        <v>#DIV/0!</v>
      </c>
      <c r="G58" s="3351"/>
      <c r="H58" s="1100">
        <f>项目基本情况!B37</f>
        <v>0</v>
      </c>
      <c r="I58" s="1104">
        <f>SUMIF(修正!A45:A56,H58,修正!C45:C56)</f>
        <v>0</v>
      </c>
      <c r="J58" s="1108"/>
      <c r="K58" s="1141"/>
      <c r="L58" s="937"/>
      <c r="M58" s="937"/>
      <c r="N58" s="937"/>
      <c r="O58" s="937"/>
    </row>
    <row r="59" spans="1:15" s="691" customFormat="1">
      <c r="A59" s="692" t="s">
        <v>2763</v>
      </c>
      <c r="B59" s="262" t="e">
        <f t="shared" si="17"/>
        <v>#DIV/0!</v>
      </c>
      <c r="C59" s="200">
        <f t="shared" si="16"/>
        <v>0</v>
      </c>
      <c r="D59" s="1160">
        <v>0.25</v>
      </c>
      <c r="E59" s="693"/>
      <c r="F59" s="1099" t="e">
        <f t="shared" si="15"/>
        <v>#DIV/0!</v>
      </c>
      <c r="G59" s="3351"/>
      <c r="H59" s="1100">
        <f>项目基本情况!B37</f>
        <v>0</v>
      </c>
      <c r="I59" s="1104">
        <f>SUMIF(修正!A45:A56,H59,修正!D45:D56)</f>
        <v>0</v>
      </c>
      <c r="J59" s="1108"/>
      <c r="K59" s="1140"/>
      <c r="L59" s="937"/>
      <c r="M59" s="937"/>
      <c r="N59" s="937"/>
      <c r="O59" s="937"/>
    </row>
    <row r="60" spans="1:15" s="691" customFormat="1">
      <c r="A60" s="692" t="s">
        <v>2764</v>
      </c>
      <c r="B60" s="262" t="e">
        <f t="shared" si="17"/>
        <v>#DIV/0!</v>
      </c>
      <c r="C60" s="200">
        <f t="shared" si="16"/>
        <v>0</v>
      </c>
      <c r="D60" s="1160">
        <v>0.25</v>
      </c>
      <c r="E60" s="693"/>
      <c r="F60" s="1099" t="e">
        <f t="shared" si="15"/>
        <v>#DIV/0!</v>
      </c>
      <c r="G60" s="3351"/>
      <c r="H60" s="1100">
        <f>项目基本情况!B37</f>
        <v>0</v>
      </c>
      <c r="I60" s="1104">
        <f>SUMIF(修正!A45:A56,H60,修正!E45:E56)</f>
        <v>0</v>
      </c>
      <c r="J60" s="1108"/>
      <c r="K60" s="1141"/>
      <c r="L60" s="937"/>
      <c r="M60" s="937"/>
      <c r="N60" s="937"/>
      <c r="O60" s="937"/>
    </row>
    <row r="61" spans="1:15" s="691" customFormat="1">
      <c r="A61" s="692" t="s">
        <v>2765</v>
      </c>
      <c r="B61" s="262" t="e">
        <f t="shared" si="17"/>
        <v>#DIV/0!</v>
      </c>
      <c r="C61" s="200">
        <f t="shared" si="16"/>
        <v>0</v>
      </c>
      <c r="D61" s="1160">
        <v>0.25</v>
      </c>
      <c r="E61" s="261">
        <f>'数据-汇总表'!E11</f>
        <v>0</v>
      </c>
      <c r="F61" s="1099" t="e">
        <f t="shared" si="15"/>
        <v>#DIV/0!</v>
      </c>
      <c r="G61" s="2706" t="s">
        <v>2766</v>
      </c>
      <c r="H61" s="1100">
        <f>项目基本情况!C37</f>
        <v>0</v>
      </c>
      <c r="I61" s="1104">
        <f>SUMIF(修正!A45:A56,H61,修正!F45:F56)</f>
        <v>0</v>
      </c>
      <c r="J61" s="1108"/>
      <c r="K61" s="1140"/>
      <c r="L61" s="937"/>
      <c r="M61" s="937"/>
      <c r="N61" s="937"/>
      <c r="O61" s="937"/>
    </row>
    <row r="62" spans="1:15" s="691" customFormat="1">
      <c r="A62" s="692" t="s">
        <v>2767</v>
      </c>
      <c r="B62" s="262" t="e">
        <f t="shared" si="17"/>
        <v>#DIV/0!</v>
      </c>
      <c r="C62" s="200">
        <f t="shared" si="16"/>
        <v>0</v>
      </c>
      <c r="D62" s="1160">
        <v>0.25</v>
      </c>
      <c r="E62" s="261">
        <f>'数据-汇总表'!E12</f>
        <v>0</v>
      </c>
      <c r="F62" s="1099" t="e">
        <f t="shared" si="15"/>
        <v>#DIV/0!</v>
      </c>
      <c r="G62" s="1105" t="s">
        <v>2768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2769</v>
      </c>
      <c r="B63" s="262" t="e">
        <f t="shared" si="17"/>
        <v>#DIV/0!</v>
      </c>
      <c r="C63" s="200">
        <f t="shared" si="16"/>
        <v>0</v>
      </c>
      <c r="D63" s="1160">
        <v>0.25</v>
      </c>
      <c r="E63" s="261">
        <f>'数据-汇总表'!E13</f>
        <v>0</v>
      </c>
      <c r="F63" s="1099" t="e">
        <f t="shared" si="15"/>
        <v>#DIV/0!</v>
      </c>
      <c r="G63" s="1105" t="s">
        <v>2770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2771</v>
      </c>
      <c r="B64" s="262" t="e">
        <f t="shared" si="17"/>
        <v>#DIV/0!</v>
      </c>
      <c r="C64" s="200">
        <f t="shared" si="16"/>
        <v>0</v>
      </c>
      <c r="D64" s="1160">
        <v>0.25</v>
      </c>
      <c r="E64" s="261">
        <f>'数据-汇总表'!E14</f>
        <v>0</v>
      </c>
      <c r="F64" s="1099" t="e">
        <f t="shared" si="15"/>
        <v>#DIV/0!</v>
      </c>
      <c r="G64" s="2706" t="s">
        <v>2761</v>
      </c>
      <c r="H64" s="1100">
        <f>项目基本情况!B37</f>
        <v>0</v>
      </c>
      <c r="I64" s="1104">
        <f>SUMIF(修正!A45:A56,H64,修正!H45:H56)</f>
        <v>0</v>
      </c>
      <c r="J64" s="1108"/>
      <c r="K64" s="1141"/>
      <c r="L64" s="937"/>
      <c r="M64" s="937"/>
      <c r="N64" s="937"/>
      <c r="O64" s="937"/>
    </row>
    <row r="65" spans="1:17" s="691" customFormat="1" ht="15" thickBot="1">
      <c r="A65" s="692" t="s">
        <v>2772</v>
      </c>
      <c r="B65" s="262" t="e">
        <f t="shared" si="17"/>
        <v>#DIV/0!</v>
      </c>
      <c r="C65" s="200">
        <f t="shared" si="16"/>
        <v>0</v>
      </c>
      <c r="D65" s="1160">
        <v>0.25</v>
      </c>
      <c r="E65" s="261">
        <f>'数据-汇总表'!E15</f>
        <v>0</v>
      </c>
      <c r="F65" s="1099" t="e">
        <f t="shared" si="15"/>
        <v>#DIV/0!</v>
      </c>
      <c r="G65" s="2707" t="s">
        <v>2766</v>
      </c>
      <c r="H65" s="1110">
        <f>项目基本情况!C37</f>
        <v>0</v>
      </c>
      <c r="I65" s="1106">
        <f>SUMIF(修正!A45:A56,H65,修正!H45:H56)</f>
        <v>0</v>
      </c>
      <c r="J65" s="1109"/>
      <c r="K65" s="1140"/>
      <c r="L65" s="937"/>
      <c r="M65" s="937"/>
      <c r="N65" s="937"/>
      <c r="O65" s="937"/>
    </row>
    <row r="66" spans="1:17" s="691" customFormat="1" ht="13.5" thickBot="1">
      <c r="A66" s="694" t="s">
        <v>2773</v>
      </c>
      <c r="B66" s="695" t="s">
        <v>28</v>
      </c>
      <c r="C66" s="695" t="s">
        <v>29</v>
      </c>
      <c r="D66" s="695" t="s">
        <v>1026</v>
      </c>
      <c r="E66" s="695">
        <f>IF(B46="楼面地价",SUM(E56:E65),'数据-汇总表'!D3)</f>
        <v>3497.5499999999993</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2019-7-1</v>
      </c>
      <c r="D68" s="757">
        <f>EDATE(C68,-3)</f>
        <v>43556</v>
      </c>
      <c r="E68" s="757">
        <f>EDATE(D68,-3)</f>
        <v>43466</v>
      </c>
      <c r="F68" s="757">
        <f t="shared" ref="F68:O68" si="18">EDATE(E68,-3)</f>
        <v>43374</v>
      </c>
      <c r="G68" s="757">
        <f t="shared" si="18"/>
        <v>43282</v>
      </c>
      <c r="H68" s="757">
        <f t="shared" si="18"/>
        <v>43191</v>
      </c>
      <c r="I68" s="757">
        <f t="shared" si="18"/>
        <v>43101</v>
      </c>
      <c r="J68" s="757">
        <f t="shared" si="18"/>
        <v>43009</v>
      </c>
      <c r="K68" s="757">
        <f t="shared" si="18"/>
        <v>42917</v>
      </c>
      <c r="L68" s="757">
        <f t="shared" si="18"/>
        <v>42826</v>
      </c>
      <c r="M68" s="757">
        <f t="shared" si="18"/>
        <v>42736</v>
      </c>
      <c r="N68" s="757">
        <f t="shared" si="18"/>
        <v>42644</v>
      </c>
      <c r="O68" s="757">
        <f t="shared" si="18"/>
        <v>42552</v>
      </c>
    </row>
    <row r="69" spans="1:17" ht="21.75" thickBot="1">
      <c r="A69" s="759" t="s">
        <v>2666</v>
      </c>
      <c r="B69" s="755"/>
      <c r="C69" s="760"/>
      <c r="D69" s="760"/>
      <c r="E69" s="760"/>
      <c r="F69" s="761"/>
      <c r="G69" s="761"/>
      <c r="H69" s="760"/>
      <c r="I69" s="760"/>
      <c r="J69" s="1155"/>
      <c r="K69" s="1156"/>
      <c r="L69" s="1157"/>
      <c r="M69" s="1155"/>
      <c r="N69" s="1155"/>
      <c r="O69" s="1155"/>
      <c r="P69" s="503"/>
      <c r="Q69" s="504"/>
    </row>
    <row r="70" spans="1:17" s="508" customFormat="1" ht="15">
      <c r="A70" s="2708" t="s">
        <v>2774</v>
      </c>
      <c r="B70" s="1353"/>
      <c r="C70" s="1566" t="str">
        <f>YEAR(C68)&amp;"-"&amp;ROUNDUP(MONTH(C68)/3,0)</f>
        <v>2019-3</v>
      </c>
      <c r="D70" s="1566" t="str">
        <f>YEAR(D68)&amp;"-"&amp;ROUNDUP(MONTH(D68)/3,0)</f>
        <v>2019-2</v>
      </c>
      <c r="E70" s="1566" t="str">
        <f t="shared" ref="E70:O70" si="19">YEAR(E68)&amp;"-"&amp;ROUNDUP(MONTH(E68)/3,0)</f>
        <v>2019-1</v>
      </c>
      <c r="F70" s="1566" t="str">
        <f t="shared" si="19"/>
        <v>2018-4</v>
      </c>
      <c r="G70" s="1566" t="str">
        <f t="shared" si="19"/>
        <v>2018-3</v>
      </c>
      <c r="H70" s="1566" t="str">
        <f t="shared" si="19"/>
        <v>2018-2</v>
      </c>
      <c r="I70" s="1566" t="str">
        <f t="shared" si="19"/>
        <v>2018-1</v>
      </c>
      <c r="J70" s="1566" t="str">
        <f t="shared" si="19"/>
        <v>2017-4</v>
      </c>
      <c r="K70" s="1566" t="str">
        <f t="shared" si="19"/>
        <v>2017-3</v>
      </c>
      <c r="L70" s="1566" t="str">
        <f t="shared" si="19"/>
        <v>2017-2</v>
      </c>
      <c r="M70" s="1566" t="str">
        <f t="shared" si="19"/>
        <v>2017-1</v>
      </c>
      <c r="N70" s="1566" t="str">
        <f t="shared" si="19"/>
        <v>2016-4</v>
      </c>
      <c r="O70" s="1566" t="str">
        <f t="shared" si="19"/>
        <v>2016-3</v>
      </c>
      <c r="P70" s="507"/>
    </row>
    <row r="71" spans="1:17" s="117" customFormat="1" ht="30" customHeight="1">
      <c r="A71" s="2709" t="s">
        <v>2775</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1"/>
      <c r="N71" s="595"/>
      <c r="O71" s="1562"/>
      <c r="P71" s="504"/>
    </row>
    <row r="72" spans="1:17" s="117" customFormat="1" ht="15.75" thickBot="1">
      <c r="A72" s="515" t="s">
        <v>2577</v>
      </c>
      <c r="B72" s="516"/>
      <c r="C72" s="517"/>
      <c r="D72" s="518"/>
      <c r="E72" s="518"/>
      <c r="F72" s="518"/>
      <c r="G72" s="518"/>
      <c r="H72" s="518"/>
      <c r="I72" s="518"/>
      <c r="J72" s="518"/>
      <c r="K72" s="518"/>
      <c r="L72" s="518"/>
      <c r="M72" s="519"/>
      <c r="N72" s="518"/>
      <c r="O72" s="1158"/>
      <c r="P72" s="504"/>
      <c r="Q72" s="504"/>
    </row>
    <row r="73" spans="1:17" s="117" customFormat="1" ht="15">
      <c r="A73" s="521" t="s">
        <v>2542</v>
      </c>
      <c r="B73" s="510"/>
      <c r="C73" s="522" t="s">
        <v>2644</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2580</v>
      </c>
      <c r="B75" s="528" t="s">
        <v>2546</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2549</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2647</v>
      </c>
      <c r="C102" s="659" t="s">
        <v>2667</v>
      </c>
      <c r="D102" s="659" t="s">
        <v>2668</v>
      </c>
      <c r="E102" s="659" t="s">
        <v>2669</v>
      </c>
      <c r="F102" s="659" t="s">
        <v>2670</v>
      </c>
      <c r="G102" s="659" t="s">
        <v>2671</v>
      </c>
      <c r="H102" s="600"/>
      <c r="I102" s="600"/>
      <c r="J102" s="600"/>
      <c r="K102" s="600"/>
      <c r="L102" s="600"/>
      <c r="M102" s="1379"/>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9"/>
      <c r="N103" s="1150"/>
      <c r="O103" s="1150"/>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2683</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2742</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2784</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2785</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2786</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2787</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1"/>
      <c r="E1" s="751"/>
      <c r="F1" s="750" t="s">
        <v>2635</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2319</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2321</v>
      </c>
      <c r="B3" s="609" t="e">
        <f>ROUND(IF(D3="",B2*10000/'数据-汇总表'!E3,B2*10000/D3),0)</f>
        <v>#DIV/0!</v>
      </c>
      <c r="C3" s="247" t="s">
        <v>2738</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2637</v>
      </c>
      <c r="B4" s="402"/>
      <c r="C4" s="3302" t="s">
        <v>2638</v>
      </c>
      <c r="D4" s="3303"/>
      <c r="E4" s="3304" t="s">
        <v>2639</v>
      </c>
      <c r="F4" s="3305"/>
      <c r="G4" s="3302" t="s">
        <v>2640</v>
      </c>
      <c r="H4" s="3303"/>
      <c r="I4" s="3302" t="s">
        <v>2641</v>
      </c>
      <c r="J4" s="3303"/>
      <c r="K4" s="610" t="s">
        <v>2642</v>
      </c>
      <c r="L4" s="1126"/>
      <c r="M4" s="1127"/>
      <c r="N4" s="1127"/>
      <c r="O4" s="1127"/>
      <c r="P4" s="3306" t="s">
        <v>2643</v>
      </c>
      <c r="Q4" s="3307"/>
      <c r="R4" s="3312" t="s">
        <v>2639</v>
      </c>
      <c r="S4" s="3313"/>
      <c r="T4" s="3312" t="s">
        <v>2640</v>
      </c>
      <c r="U4" s="3313"/>
      <c r="V4" s="3318" t="s">
        <v>2641</v>
      </c>
      <c r="W4" s="3318"/>
      <c r="X4" s="1807"/>
      <c r="Y4" s="3312" t="s">
        <v>2643</v>
      </c>
      <c r="Z4" s="3313"/>
      <c r="AA4" s="3299" t="s">
        <v>2639</v>
      </c>
      <c r="AB4" s="3300" t="s">
        <v>2640</v>
      </c>
      <c r="AC4" s="3299" t="s">
        <v>2641</v>
      </c>
    </row>
    <row r="5" spans="1:29" ht="15">
      <c r="A5" s="404"/>
      <c r="B5" s="405"/>
      <c r="C5" s="3321" t="s">
        <v>2534</v>
      </c>
      <c r="D5" s="3322"/>
      <c r="E5" s="3328" t="s">
        <v>2535</v>
      </c>
      <c r="F5" s="3329"/>
      <c r="G5" s="3321" t="s">
        <v>2536</v>
      </c>
      <c r="H5" s="3322"/>
      <c r="I5" s="3321" t="s">
        <v>2537</v>
      </c>
      <c r="J5" s="3322"/>
      <c r="K5" s="610"/>
      <c r="L5" s="1126"/>
      <c r="M5" s="1127"/>
      <c r="N5" s="1127"/>
      <c r="O5" s="1127"/>
      <c r="P5" s="3308"/>
      <c r="Q5" s="3309"/>
      <c r="R5" s="3314"/>
      <c r="S5" s="3315"/>
      <c r="T5" s="3314"/>
      <c r="U5" s="3315"/>
      <c r="V5" s="3318"/>
      <c r="W5" s="3318"/>
      <c r="X5" s="1807"/>
      <c r="Y5" s="3314"/>
      <c r="Z5" s="3315"/>
      <c r="AA5" s="3300"/>
      <c r="AB5" s="3300"/>
      <c r="AC5" s="3300"/>
    </row>
    <row r="6" spans="1:29" ht="15.75" thickBot="1">
      <c r="A6" s="406"/>
      <c r="B6" s="407"/>
      <c r="C6" s="3352" t="s">
        <v>2789</v>
      </c>
      <c r="D6" s="3353"/>
      <c r="E6" s="3354" t="s">
        <v>2789</v>
      </c>
      <c r="F6" s="3355"/>
      <c r="G6" s="3352" t="s">
        <v>2789</v>
      </c>
      <c r="H6" s="3353"/>
      <c r="I6" s="3352" t="s">
        <v>2789</v>
      </c>
      <c r="J6" s="3353"/>
      <c r="K6" s="610" t="s">
        <v>2539</v>
      </c>
      <c r="L6" s="1126"/>
      <c r="M6" s="1127"/>
      <c r="N6" s="1127"/>
      <c r="O6" s="1127"/>
      <c r="P6" s="3310"/>
      <c r="Q6" s="3311"/>
      <c r="R6" s="3314"/>
      <c r="S6" s="3315"/>
      <c r="T6" s="3316"/>
      <c r="U6" s="3317"/>
      <c r="V6" s="3318"/>
      <c r="W6" s="3318"/>
      <c r="X6" s="1807"/>
      <c r="Y6" s="3316"/>
      <c r="Z6" s="3317"/>
      <c r="AA6" s="3301"/>
      <c r="AB6" s="3301"/>
      <c r="AC6" s="3301"/>
    </row>
    <row r="7" spans="1:29" s="117" customFormat="1" ht="15.75" thickBot="1">
      <c r="A7" s="408" t="s">
        <v>2540</v>
      </c>
      <c r="B7" s="409"/>
      <c r="C7" s="410">
        <f>'数据-取费表'!B2</f>
        <v>43670</v>
      </c>
      <c r="D7" s="411">
        <v>100</v>
      </c>
      <c r="E7" s="412"/>
      <c r="F7" s="413">
        <f>SUMIF(65:65,YEAR(E7)&amp;"-"&amp;INT((MONTH(E7)+2)/3),66:66)</f>
        <v>0</v>
      </c>
      <c r="G7" s="2693"/>
      <c r="H7" s="411">
        <f>SUMIF(65:65,YEAR(G7)&amp;"-"&amp;INT((MONTH(G7)+2)/3),66:66)</f>
        <v>0</v>
      </c>
      <c r="I7" s="2693"/>
      <c r="J7" s="411">
        <f>SUMIF(65:65,YEAR(I7)&amp;"-"&amp;INT((MONTH(I7)+2)/3),66:66)</f>
        <v>0</v>
      </c>
      <c r="K7" s="611"/>
      <c r="L7" s="1128"/>
      <c r="M7" s="1129"/>
      <c r="N7" s="1129"/>
      <c r="O7" s="1129"/>
      <c r="P7" s="3323" t="s">
        <v>2541</v>
      </c>
      <c r="Q7" s="3325"/>
      <c r="R7" s="766" t="s">
        <v>17</v>
      </c>
      <c r="S7" s="767">
        <f t="shared" ref="S7:S15" si="0">F7</f>
        <v>0</v>
      </c>
      <c r="T7" s="766" t="s">
        <v>17</v>
      </c>
      <c r="U7" s="767">
        <f t="shared" ref="U7:U15" si="1">H7</f>
        <v>0</v>
      </c>
      <c r="V7" s="766" t="s">
        <v>17</v>
      </c>
      <c r="W7" s="767">
        <f t="shared" ref="W7:W15" si="2">J7</f>
        <v>0</v>
      </c>
      <c r="X7" s="768"/>
      <c r="Y7" s="3323" t="s">
        <v>2541</v>
      </c>
      <c r="Z7" s="3324"/>
      <c r="AA7" s="769" t="e">
        <f>D7/F7</f>
        <v>#DIV/0!</v>
      </c>
      <c r="AB7" s="769" t="e">
        <f>D7/H7</f>
        <v>#DIV/0!</v>
      </c>
      <c r="AC7" s="769"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323" t="s">
        <v>2544</v>
      </c>
      <c r="Q8" s="3324"/>
      <c r="R8" s="766" t="s">
        <v>17</v>
      </c>
      <c r="S8" s="767">
        <f t="shared" si="0"/>
        <v>0</v>
      </c>
      <c r="T8" s="766" t="s">
        <v>17</v>
      </c>
      <c r="U8" s="767">
        <f t="shared" si="1"/>
        <v>0</v>
      </c>
      <c r="V8" s="766" t="s">
        <v>17</v>
      </c>
      <c r="W8" s="767">
        <f t="shared" si="2"/>
        <v>0</v>
      </c>
      <c r="X8" s="768"/>
      <c r="Y8" s="3323" t="s">
        <v>2544</v>
      </c>
      <c r="Z8" s="3324"/>
      <c r="AA8" s="769" t="e">
        <f t="shared" ref="AA8:AA40" si="3">D8/F8</f>
        <v>#DIV/0!</v>
      </c>
      <c r="AB8" s="769" t="e">
        <f t="shared" ref="AB8:AB40" si="4">D8/H8</f>
        <v>#DIV/0!</v>
      </c>
      <c r="AC8" s="769" t="e">
        <f t="shared" ref="AC8:AC40" si="5">D8/J8</f>
        <v>#DIV/0!</v>
      </c>
    </row>
    <row r="9" spans="1:29" s="117" customFormat="1">
      <c r="A9" s="415" t="s">
        <v>2545</v>
      </c>
      <c r="B9" s="71" t="s">
        <v>2546</v>
      </c>
      <c r="C9" s="2696"/>
      <c r="D9" s="135">
        <v>100</v>
      </c>
      <c r="E9" s="2696"/>
      <c r="F9" s="135">
        <f>SUMIF(70:70,E9,71:71)-SUMIF(70:70,C9,71:71)+100</f>
        <v>100</v>
      </c>
      <c r="G9" s="2696"/>
      <c r="H9" s="135">
        <f>SUMIF(70:70,G9,71:71)-SUMIF(70:70,C9,71:71)+100</f>
        <v>100</v>
      </c>
      <c r="I9" s="2696"/>
      <c r="J9" s="135">
        <f>SUMIF(70:70,I9,71:71)-SUMIF(70:70,C9,71:71)+100</f>
        <v>100</v>
      </c>
      <c r="K9" s="611"/>
      <c r="L9" s="1128"/>
      <c r="M9" s="1129"/>
      <c r="N9" s="1129"/>
      <c r="O9" s="1130"/>
      <c r="P9" s="3287" t="s">
        <v>2547</v>
      </c>
      <c r="Q9" s="1789" t="str">
        <f t="shared" ref="Q9:Q15" si="6">B9</f>
        <v>用途</v>
      </c>
      <c r="R9" s="766" t="s">
        <v>17</v>
      </c>
      <c r="S9" s="767">
        <f t="shared" si="0"/>
        <v>100</v>
      </c>
      <c r="T9" s="766" t="s">
        <v>17</v>
      </c>
      <c r="U9" s="767">
        <f t="shared" si="1"/>
        <v>100</v>
      </c>
      <c r="V9" s="766" t="s">
        <v>17</v>
      </c>
      <c r="W9" s="767">
        <f t="shared" si="2"/>
        <v>100</v>
      </c>
      <c r="X9" s="768"/>
      <c r="Y9" s="3112" t="s">
        <v>2548</v>
      </c>
      <c r="Z9" s="55" t="str">
        <f t="shared" ref="Z9:Z15" si="7">Q9</f>
        <v>用途</v>
      </c>
      <c r="AA9" s="769">
        <f t="shared" si="3"/>
        <v>1</v>
      </c>
      <c r="AB9" s="769">
        <f t="shared" si="4"/>
        <v>1</v>
      </c>
      <c r="AC9" s="769">
        <f t="shared" si="5"/>
        <v>1</v>
      </c>
    </row>
    <row r="10" spans="1:29" s="427" customFormat="1" ht="27">
      <c r="A10" s="421"/>
      <c r="B10" s="422" t="s">
        <v>2549</v>
      </c>
      <c r="C10" s="432"/>
      <c r="D10" s="136">
        <v>100</v>
      </c>
      <c r="E10" s="432"/>
      <c r="F10" s="136">
        <f>ROUND(100/'数据-取费表'!G16,0)</f>
        <v>110</v>
      </c>
      <c r="G10" s="432"/>
      <c r="H10" s="136">
        <f>ROUND(100/'数据-取费表'!G16,0)</f>
        <v>110</v>
      </c>
      <c r="I10" s="432"/>
      <c r="J10" s="136">
        <f>ROUND(100/'数据-取费表'!G16,0)</f>
        <v>110</v>
      </c>
      <c r="K10" s="671"/>
      <c r="L10" s="1131"/>
      <c r="M10" s="1132"/>
      <c r="N10" s="1132"/>
      <c r="O10" s="1133"/>
      <c r="P10" s="3287"/>
      <c r="Q10" s="1789" t="str">
        <f t="shared" si="6"/>
        <v>土地使用年限（年）</v>
      </c>
      <c r="R10" s="766" t="s">
        <v>17</v>
      </c>
      <c r="S10" s="767">
        <f t="shared" si="0"/>
        <v>110</v>
      </c>
      <c r="T10" s="766" t="s">
        <v>17</v>
      </c>
      <c r="U10" s="767">
        <f t="shared" si="1"/>
        <v>110</v>
      </c>
      <c r="V10" s="766" t="s">
        <v>17</v>
      </c>
      <c r="W10" s="767">
        <f t="shared" si="2"/>
        <v>110</v>
      </c>
      <c r="X10" s="768"/>
      <c r="Y10" s="3112"/>
      <c r="Z10" s="55" t="str">
        <f t="shared" si="7"/>
        <v>土地使用年限（年）</v>
      </c>
      <c r="AA10" s="769">
        <f t="shared" si="3"/>
        <v>0.90909090909090906</v>
      </c>
      <c r="AB10" s="769">
        <f t="shared" si="4"/>
        <v>0.90909090909090906</v>
      </c>
      <c r="AC10" s="769">
        <f t="shared" si="5"/>
        <v>0.90909090909090906</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87"/>
      <c r="Q11" s="1789" t="str">
        <f t="shared" si="6"/>
        <v>容积率</v>
      </c>
      <c r="R11" s="766" t="s">
        <v>17</v>
      </c>
      <c r="S11" s="767" t="e">
        <f t="shared" si="0"/>
        <v>#N/A</v>
      </c>
      <c r="T11" s="766" t="s">
        <v>17</v>
      </c>
      <c r="U11" s="767" t="e">
        <f t="shared" si="1"/>
        <v>#N/A</v>
      </c>
      <c r="V11" s="766" t="s">
        <v>17</v>
      </c>
      <c r="W11" s="767" t="e">
        <f t="shared" si="2"/>
        <v>#N/A</v>
      </c>
      <c r="X11" s="768"/>
      <c r="Y11" s="3112"/>
      <c r="Z11" s="55" t="str">
        <f t="shared" si="7"/>
        <v>容积率</v>
      </c>
      <c r="AA11" s="769" t="e">
        <f t="shared" si="3"/>
        <v>#N/A</v>
      </c>
      <c r="AB11" s="769" t="e">
        <f t="shared" si="4"/>
        <v>#N/A</v>
      </c>
      <c r="AC11" s="769"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87"/>
      <c r="Q12" s="1789">
        <f t="shared" si="6"/>
        <v>111</v>
      </c>
      <c r="R12" s="766" t="s">
        <v>17</v>
      </c>
      <c r="S12" s="767">
        <f t="shared" si="0"/>
        <v>100</v>
      </c>
      <c r="T12" s="766" t="s">
        <v>17</v>
      </c>
      <c r="U12" s="767">
        <f t="shared" si="1"/>
        <v>100</v>
      </c>
      <c r="V12" s="766" t="s">
        <v>17</v>
      </c>
      <c r="W12" s="767">
        <f t="shared" si="2"/>
        <v>100</v>
      </c>
      <c r="X12" s="768"/>
      <c r="Y12" s="3112"/>
      <c r="Z12" s="55">
        <f t="shared" si="7"/>
        <v>111</v>
      </c>
      <c r="AA12" s="769">
        <f>D12/F12</f>
        <v>1</v>
      </c>
      <c r="AB12" s="769">
        <f>D12/H12</f>
        <v>1</v>
      </c>
      <c r="AC12" s="769">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87"/>
      <c r="Q13" s="1789">
        <f t="shared" si="6"/>
        <v>111</v>
      </c>
      <c r="R13" s="766" t="s">
        <v>17</v>
      </c>
      <c r="S13" s="767">
        <f t="shared" si="0"/>
        <v>100</v>
      </c>
      <c r="T13" s="766" t="s">
        <v>17</v>
      </c>
      <c r="U13" s="767">
        <f t="shared" si="1"/>
        <v>100</v>
      </c>
      <c r="V13" s="766" t="s">
        <v>17</v>
      </c>
      <c r="W13" s="767">
        <f t="shared" si="2"/>
        <v>100</v>
      </c>
      <c r="X13" s="768"/>
      <c r="Y13" s="3112"/>
      <c r="Z13" s="55">
        <f t="shared" si="7"/>
        <v>111</v>
      </c>
      <c r="AA13" s="769">
        <f t="shared" si="3"/>
        <v>1</v>
      </c>
      <c r="AB13" s="769">
        <f t="shared" si="4"/>
        <v>1</v>
      </c>
      <c r="AC13" s="769">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87"/>
      <c r="Q14" s="1789">
        <f t="shared" si="6"/>
        <v>111</v>
      </c>
      <c r="R14" s="766" t="s">
        <v>17</v>
      </c>
      <c r="S14" s="767">
        <f t="shared" si="0"/>
        <v>100</v>
      </c>
      <c r="T14" s="766" t="s">
        <v>17</v>
      </c>
      <c r="U14" s="767">
        <f t="shared" si="1"/>
        <v>100</v>
      </c>
      <c r="V14" s="766" t="s">
        <v>17</v>
      </c>
      <c r="W14" s="767">
        <f t="shared" si="2"/>
        <v>100</v>
      </c>
      <c r="X14" s="768"/>
      <c r="Y14" s="3112"/>
      <c r="Z14" s="55">
        <f t="shared" si="7"/>
        <v>111</v>
      </c>
      <c r="AA14" s="769">
        <f t="shared" si="3"/>
        <v>1</v>
      </c>
      <c r="AB14" s="769">
        <f t="shared" si="4"/>
        <v>1</v>
      </c>
      <c r="AC14" s="769">
        <f t="shared" si="5"/>
        <v>1</v>
      </c>
    </row>
    <row r="15" spans="1:29" ht="15">
      <c r="A15" s="440" t="s">
        <v>2551</v>
      </c>
      <c r="B15" s="628" t="s">
        <v>2790</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289" t="s">
        <v>2552</v>
      </c>
      <c r="Q15" s="1804" t="str">
        <f t="shared" si="6"/>
        <v>产业集聚程度</v>
      </c>
      <c r="R15" s="770" t="s">
        <v>17</v>
      </c>
      <c r="S15" s="771">
        <f t="shared" si="0"/>
        <v>100</v>
      </c>
      <c r="T15" s="770" t="s">
        <v>17</v>
      </c>
      <c r="U15" s="771">
        <f t="shared" si="1"/>
        <v>100</v>
      </c>
      <c r="V15" s="770" t="s">
        <v>17</v>
      </c>
      <c r="W15" s="771">
        <f t="shared" si="2"/>
        <v>100</v>
      </c>
      <c r="X15" s="1807"/>
      <c r="Y15" s="3289" t="s">
        <v>2552</v>
      </c>
      <c r="Z15" s="1808" t="str">
        <f t="shared" si="7"/>
        <v>产业集聚程度</v>
      </c>
      <c r="AA15" s="1805">
        <f t="shared" si="3"/>
        <v>1</v>
      </c>
      <c r="AB15" s="1805">
        <f t="shared" si="4"/>
        <v>1</v>
      </c>
      <c r="AC15" s="1805">
        <f t="shared" si="5"/>
        <v>1</v>
      </c>
    </row>
    <row r="16" spans="1:29" ht="15">
      <c r="A16" s="428"/>
      <c r="B16" s="629"/>
      <c r="C16" s="447"/>
      <c r="D16" s="448"/>
      <c r="E16" s="2608"/>
      <c r="F16" s="448"/>
      <c r="G16" s="2608"/>
      <c r="H16" s="450"/>
      <c r="I16" s="2608"/>
      <c r="J16" s="448"/>
      <c r="K16" s="671"/>
      <c r="L16" s="1136"/>
      <c r="M16" s="1127"/>
      <c r="N16" s="1127"/>
      <c r="O16" s="1135"/>
      <c r="P16" s="3290"/>
      <c r="Q16" s="1804"/>
      <c r="R16" s="770"/>
      <c r="S16" s="771"/>
      <c r="T16" s="770"/>
      <c r="U16" s="771"/>
      <c r="V16" s="770"/>
      <c r="W16" s="771"/>
      <c r="X16" s="1807"/>
      <c r="Y16" s="3290"/>
      <c r="Z16" s="1808"/>
      <c r="AA16" s="1805">
        <v>1</v>
      </c>
      <c r="AB16" s="1805">
        <v>1</v>
      </c>
      <c r="AC16" s="1805">
        <v>1</v>
      </c>
    </row>
    <row r="17" spans="1:29" ht="15">
      <c r="A17" s="428"/>
      <c r="B17" s="630" t="s">
        <v>2701</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290"/>
      <c r="Q17" s="1804" t="str">
        <f>B17</f>
        <v>交通便捷度</v>
      </c>
      <c r="R17" s="770" t="s">
        <v>17</v>
      </c>
      <c r="S17" s="771">
        <f>F17</f>
        <v>100</v>
      </c>
      <c r="T17" s="770" t="s">
        <v>17</v>
      </c>
      <c r="U17" s="771">
        <f>H17</f>
        <v>100</v>
      </c>
      <c r="V17" s="770" t="s">
        <v>17</v>
      </c>
      <c r="W17" s="771">
        <f>J17</f>
        <v>100</v>
      </c>
      <c r="X17" s="1807"/>
      <c r="Y17" s="3290"/>
      <c r="Z17" s="1808" t="str">
        <f>Q17</f>
        <v>交通便捷度</v>
      </c>
      <c r="AA17" s="1805">
        <f t="shared" si="3"/>
        <v>1</v>
      </c>
      <c r="AB17" s="1805">
        <f t="shared" si="4"/>
        <v>1</v>
      </c>
      <c r="AC17" s="1805">
        <f t="shared" si="5"/>
        <v>1</v>
      </c>
    </row>
    <row r="18" spans="1:29" ht="15">
      <c r="A18" s="428"/>
      <c r="B18" s="631"/>
      <c r="C18" s="447"/>
      <c r="D18" s="448"/>
      <c r="E18" s="2602"/>
      <c r="F18" s="448"/>
      <c r="G18" s="2602"/>
      <c r="H18" s="448"/>
      <c r="I18" s="2601"/>
      <c r="J18" s="448"/>
      <c r="K18" s="671"/>
      <c r="L18" s="1136"/>
      <c r="M18" s="1127"/>
      <c r="N18" s="1127"/>
      <c r="O18" s="1135"/>
      <c r="P18" s="3290"/>
      <c r="Q18" s="1804"/>
      <c r="R18" s="770"/>
      <c r="S18" s="771"/>
      <c r="T18" s="770"/>
      <c r="U18" s="771"/>
      <c r="V18" s="770"/>
      <c r="W18" s="771"/>
      <c r="X18" s="1807"/>
      <c r="Y18" s="3290"/>
      <c r="Z18" s="1808"/>
      <c r="AA18" s="1805">
        <v>1</v>
      </c>
      <c r="AB18" s="1805">
        <v>1</v>
      </c>
      <c r="AC18" s="1805">
        <v>1</v>
      </c>
    </row>
    <row r="19" spans="1:29" ht="15">
      <c r="A19" s="428"/>
      <c r="B19" s="630" t="s">
        <v>2740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290"/>
      <c r="Q19" s="1804" t="str">
        <f t="shared" ref="Q19:Q33" si="8">B19</f>
        <v>区域土地利用方向</v>
      </c>
      <c r="R19" s="770" t="s">
        <v>17</v>
      </c>
      <c r="S19" s="771">
        <f>F19</f>
        <v>100</v>
      </c>
      <c r="T19" s="770" t="s">
        <v>17</v>
      </c>
      <c r="U19" s="771">
        <f>H19</f>
        <v>100</v>
      </c>
      <c r="V19" s="770" t="s">
        <v>17</v>
      </c>
      <c r="W19" s="771">
        <f>J19</f>
        <v>100</v>
      </c>
      <c r="X19" s="1807"/>
      <c r="Y19" s="3290"/>
      <c r="Z19" s="1808" t="str">
        <f>Q19</f>
        <v>区域土地利用方向</v>
      </c>
      <c r="AA19" s="1805">
        <f t="shared" si="3"/>
        <v>1</v>
      </c>
      <c r="AB19" s="1805">
        <f t="shared" si="4"/>
        <v>1</v>
      </c>
      <c r="AC19" s="1805">
        <f t="shared" si="5"/>
        <v>1</v>
      </c>
    </row>
    <row r="20" spans="1:29" ht="15">
      <c r="A20" s="404"/>
      <c r="B20" s="631"/>
      <c r="C20" s="447"/>
      <c r="D20" s="448"/>
      <c r="E20" s="2602"/>
      <c r="F20" s="448"/>
      <c r="G20" s="2602"/>
      <c r="H20" s="448"/>
      <c r="I20" s="2602"/>
      <c r="J20" s="448"/>
      <c r="K20" s="808"/>
      <c r="L20" s="1136"/>
      <c r="M20" s="1127"/>
      <c r="N20" s="1127"/>
      <c r="O20" s="1135"/>
      <c r="P20" s="3290"/>
      <c r="Q20" s="1804"/>
      <c r="R20" s="770"/>
      <c r="S20" s="771"/>
      <c r="T20" s="770"/>
      <c r="U20" s="771"/>
      <c r="V20" s="770"/>
      <c r="W20" s="771"/>
      <c r="X20" s="1807"/>
      <c r="Y20" s="3290"/>
      <c r="Z20" s="1808"/>
      <c r="AA20" s="1805"/>
      <c r="AB20" s="1805"/>
      <c r="AC20" s="1805"/>
    </row>
    <row r="21" spans="1:29" ht="15">
      <c r="A21" s="404"/>
      <c r="B21" s="630" t="s">
        <v>2791</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290"/>
      <c r="Q21" s="1804" t="str">
        <f t="shared" si="8"/>
        <v>环境状况</v>
      </c>
      <c r="R21" s="770" t="s">
        <v>17</v>
      </c>
      <c r="S21" s="771">
        <f>F21</f>
        <v>100</v>
      </c>
      <c r="T21" s="770" t="s">
        <v>17</v>
      </c>
      <c r="U21" s="771">
        <f>H21</f>
        <v>100</v>
      </c>
      <c r="V21" s="770" t="s">
        <v>17</v>
      </c>
      <c r="W21" s="771">
        <f>J21</f>
        <v>100</v>
      </c>
      <c r="X21" s="1807"/>
      <c r="Y21" s="3290"/>
      <c r="Z21" s="1808" t="str">
        <f>Q21</f>
        <v>环境状况</v>
      </c>
      <c r="AA21" s="1805">
        <f t="shared" si="3"/>
        <v>1</v>
      </c>
      <c r="AB21" s="1805">
        <f t="shared" si="4"/>
        <v>1</v>
      </c>
      <c r="AC21" s="1805">
        <f t="shared" si="5"/>
        <v>1</v>
      </c>
    </row>
    <row r="22" spans="1:29" ht="15">
      <c r="A22" s="404"/>
      <c r="B22" s="631"/>
      <c r="C22" s="447"/>
      <c r="D22" s="448"/>
      <c r="E22" s="2608"/>
      <c r="F22" s="448"/>
      <c r="G22" s="2608"/>
      <c r="H22" s="448"/>
      <c r="I22" s="447"/>
      <c r="J22" s="448"/>
      <c r="K22" s="671"/>
      <c r="L22" s="1136"/>
      <c r="M22" s="1127"/>
      <c r="N22" s="1127"/>
      <c r="O22" s="1135"/>
      <c r="P22" s="3290"/>
      <c r="Q22" s="1804"/>
      <c r="R22" s="770"/>
      <c r="S22" s="771"/>
      <c r="T22" s="770"/>
      <c r="U22" s="771"/>
      <c r="V22" s="770"/>
      <c r="W22" s="771"/>
      <c r="X22" s="1807"/>
      <c r="Y22" s="3290"/>
      <c r="Z22" s="1808"/>
      <c r="AA22" s="1805">
        <v>1</v>
      </c>
      <c r="AB22" s="1805">
        <v>1</v>
      </c>
      <c r="AC22" s="1805">
        <v>1</v>
      </c>
    </row>
    <row r="23" spans="1:29" s="117" customFormat="1" ht="15">
      <c r="A23" s="648"/>
      <c r="B23" s="632" t="s">
        <v>2646</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290"/>
      <c r="Q23" s="1789" t="str">
        <f t="shared" si="8"/>
        <v>公共配套设施</v>
      </c>
      <c r="R23" s="766" t="s">
        <v>17</v>
      </c>
      <c r="S23" s="767">
        <f>F23</f>
        <v>100</v>
      </c>
      <c r="T23" s="766" t="s">
        <v>17</v>
      </c>
      <c r="U23" s="767">
        <f>H23</f>
        <v>100</v>
      </c>
      <c r="V23" s="766" t="s">
        <v>17</v>
      </c>
      <c r="W23" s="767">
        <f>J23</f>
        <v>100</v>
      </c>
      <c r="X23" s="768"/>
      <c r="Y23" s="3290"/>
      <c r="Z23" s="55" t="str">
        <f>Q23</f>
        <v>公共配套设施</v>
      </c>
      <c r="AA23" s="1805">
        <f>D23/F23</f>
        <v>1</v>
      </c>
      <c r="AB23" s="1805">
        <f>D23/H23</f>
        <v>1</v>
      </c>
      <c r="AC23" s="1805">
        <f>D23/J23</f>
        <v>1</v>
      </c>
    </row>
    <row r="24" spans="1:29" s="117" customFormat="1" ht="15">
      <c r="A24" s="648"/>
      <c r="B24" s="631"/>
      <c r="C24" s="2697"/>
      <c r="D24" s="448"/>
      <c r="E24" s="2608"/>
      <c r="F24" s="448"/>
      <c r="G24" s="2608"/>
      <c r="H24" s="448"/>
      <c r="I24" s="447"/>
      <c r="J24" s="448"/>
      <c r="K24" s="671"/>
      <c r="L24" s="1128"/>
      <c r="M24" s="1129"/>
      <c r="N24" s="1129"/>
      <c r="O24" s="1130"/>
      <c r="P24" s="3290"/>
      <c r="Q24" s="1789"/>
      <c r="R24" s="766"/>
      <c r="S24" s="767"/>
      <c r="T24" s="766"/>
      <c r="U24" s="767"/>
      <c r="V24" s="766"/>
      <c r="W24" s="767"/>
      <c r="X24" s="768"/>
      <c r="Y24" s="3290"/>
      <c r="Z24" s="55"/>
      <c r="AA24" s="769">
        <v>1</v>
      </c>
      <c r="AB24" s="769">
        <v>1</v>
      </c>
      <c r="AC24" s="769">
        <v>1</v>
      </c>
    </row>
    <row r="25" spans="1:29" s="117" customFormat="1" ht="15">
      <c r="A25" s="648"/>
      <c r="B25" s="632" t="s">
        <v>2647</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290"/>
      <c r="Q25" s="1789" t="str">
        <f t="shared" ref="Q25" si="9">B25</f>
        <v>基础设施水平</v>
      </c>
      <c r="R25" s="766" t="s">
        <v>17</v>
      </c>
      <c r="S25" s="767">
        <f>F25</f>
        <v>100</v>
      </c>
      <c r="T25" s="766" t="s">
        <v>17</v>
      </c>
      <c r="U25" s="767">
        <f>H25</f>
        <v>100</v>
      </c>
      <c r="V25" s="766" t="s">
        <v>17</v>
      </c>
      <c r="W25" s="767">
        <f>J25</f>
        <v>100</v>
      </c>
      <c r="X25" s="768"/>
      <c r="Y25" s="3290"/>
      <c r="Z25" s="55" t="str">
        <f>Q25</f>
        <v>基础设施水平</v>
      </c>
      <c r="AA25" s="1805">
        <f>D25/F25</f>
        <v>1</v>
      </c>
      <c r="AB25" s="1805">
        <f>D25/H25</f>
        <v>1</v>
      </c>
      <c r="AC25" s="1805">
        <f>D25/J25</f>
        <v>1</v>
      </c>
    </row>
    <row r="26" spans="1:29" s="117" customFormat="1" ht="15">
      <c r="A26" s="648"/>
      <c r="B26" s="631"/>
      <c r="C26" s="2697"/>
      <c r="D26" s="448"/>
      <c r="E26" s="2698"/>
      <c r="F26" s="448"/>
      <c r="G26" s="2698"/>
      <c r="H26" s="448"/>
      <c r="I26" s="2698"/>
      <c r="J26" s="448"/>
      <c r="K26" s="671"/>
      <c r="L26" s="1128"/>
      <c r="M26" s="1129"/>
      <c r="N26" s="1129"/>
      <c r="O26" s="1130"/>
      <c r="P26" s="3290"/>
      <c r="Q26" s="1789"/>
      <c r="R26" s="766"/>
      <c r="S26" s="767"/>
      <c r="T26" s="766"/>
      <c r="U26" s="767"/>
      <c r="V26" s="766"/>
      <c r="W26" s="767"/>
      <c r="X26" s="768"/>
      <c r="Y26" s="3290"/>
      <c r="Z26" s="55"/>
      <c r="AA26" s="769">
        <v>1</v>
      </c>
      <c r="AB26" s="769">
        <v>1</v>
      </c>
      <c r="AC26" s="769">
        <v>1</v>
      </c>
    </row>
    <row r="27" spans="1:29" ht="15">
      <c r="A27" s="428"/>
      <c r="B27" s="631" t="s">
        <v>2648</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290"/>
      <c r="Q27" s="1804" t="str">
        <f t="shared" si="8"/>
        <v>临街状况</v>
      </c>
      <c r="R27" s="770" t="s">
        <v>17</v>
      </c>
      <c r="S27" s="771">
        <f t="shared" ref="S27:S40" si="10">F27</f>
        <v>100</v>
      </c>
      <c r="T27" s="770" t="s">
        <v>17</v>
      </c>
      <c r="U27" s="771">
        <f t="shared" ref="U27:U40" si="11">H27</f>
        <v>100</v>
      </c>
      <c r="V27" s="770" t="s">
        <v>17</v>
      </c>
      <c r="W27" s="771">
        <f t="shared" ref="W27:W40" si="12">J27</f>
        <v>100</v>
      </c>
      <c r="X27" s="1807"/>
      <c r="Y27" s="3290"/>
      <c r="Z27" s="1808" t="str">
        <f t="shared" ref="Z27:Z40" si="13">Q27</f>
        <v>临街状况</v>
      </c>
      <c r="AA27" s="1805">
        <f t="shared" si="3"/>
        <v>1</v>
      </c>
      <c r="AB27" s="1805">
        <f t="shared" si="4"/>
        <v>1</v>
      </c>
      <c r="AC27" s="1805">
        <f t="shared" si="5"/>
        <v>1</v>
      </c>
    </row>
    <row r="28" spans="1:29" ht="27">
      <c r="A28" s="428"/>
      <c r="B28" s="632" t="s">
        <v>2683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290"/>
      <c r="Q28" s="1804" t="str">
        <f t="shared" si="8"/>
        <v>毗邻道路的类型与等级</v>
      </c>
      <c r="R28" s="770" t="s">
        <v>17</v>
      </c>
      <c r="S28" s="771">
        <f t="shared" si="10"/>
        <v>100</v>
      </c>
      <c r="T28" s="770" t="s">
        <v>17</v>
      </c>
      <c r="U28" s="771">
        <f t="shared" si="11"/>
        <v>100</v>
      </c>
      <c r="V28" s="770" t="s">
        <v>17</v>
      </c>
      <c r="W28" s="771">
        <f t="shared" si="12"/>
        <v>100</v>
      </c>
      <c r="X28" s="1807"/>
      <c r="Y28" s="3290"/>
      <c r="Z28" s="1808" t="str">
        <f t="shared" si="13"/>
        <v>毗邻道路的类型与等级</v>
      </c>
      <c r="AA28" s="1805">
        <f t="shared" si="3"/>
        <v>1</v>
      </c>
      <c r="AB28" s="1805">
        <f t="shared" si="4"/>
        <v>1</v>
      </c>
      <c r="AC28" s="1805">
        <f t="shared" si="5"/>
        <v>1</v>
      </c>
    </row>
    <row r="29" spans="1:29" ht="15">
      <c r="A29" s="428"/>
      <c r="B29" s="631"/>
      <c r="C29" s="447"/>
      <c r="D29" s="448"/>
      <c r="E29" s="2608"/>
      <c r="F29" s="448"/>
      <c r="G29" s="2608"/>
      <c r="H29" s="448"/>
      <c r="I29" s="2608"/>
      <c r="J29" s="448"/>
      <c r="K29" s="613"/>
      <c r="L29" s="1136"/>
      <c r="M29" s="1127"/>
      <c r="N29" s="1127"/>
      <c r="O29" s="1135"/>
      <c r="P29" s="3290"/>
      <c r="Q29" s="1804"/>
      <c r="R29" s="770"/>
      <c r="S29" s="771"/>
      <c r="T29" s="770"/>
      <c r="U29" s="771"/>
      <c r="V29" s="770"/>
      <c r="W29" s="771"/>
      <c r="X29" s="1807"/>
      <c r="Y29" s="3290"/>
      <c r="Z29" s="1808"/>
      <c r="AA29" s="1805">
        <v>1</v>
      </c>
      <c r="AB29" s="1805">
        <v>1</v>
      </c>
      <c r="AC29" s="1805">
        <v>1</v>
      </c>
    </row>
    <row r="30" spans="1:29" ht="15">
      <c r="A30" s="428"/>
      <c r="B30" s="653" t="s">
        <v>2742</v>
      </c>
      <c r="C30" s="1383">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290"/>
      <c r="Q30" s="1804" t="str">
        <f t="shared" si="8"/>
        <v>土地级别</v>
      </c>
      <c r="R30" s="770" t="s">
        <v>17</v>
      </c>
      <c r="S30" s="771">
        <f t="shared" si="10"/>
        <v>100</v>
      </c>
      <c r="T30" s="770" t="s">
        <v>17</v>
      </c>
      <c r="U30" s="771">
        <f t="shared" si="11"/>
        <v>100</v>
      </c>
      <c r="V30" s="770" t="s">
        <v>17</v>
      </c>
      <c r="W30" s="771">
        <f t="shared" si="12"/>
        <v>100</v>
      </c>
      <c r="X30" s="1807"/>
      <c r="Y30" s="3290"/>
      <c r="Z30" s="1808" t="str">
        <f t="shared" si="13"/>
        <v>土地级别</v>
      </c>
      <c r="AA30" s="1805">
        <f t="shared" si="3"/>
        <v>1</v>
      </c>
      <c r="AB30" s="1805">
        <f t="shared" si="4"/>
        <v>1</v>
      </c>
      <c r="AC30" s="1805">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90"/>
      <c r="Q31" s="1804">
        <f t="shared" si="8"/>
        <v>111</v>
      </c>
      <c r="R31" s="770" t="s">
        <v>17</v>
      </c>
      <c r="S31" s="771">
        <f t="shared" si="10"/>
        <v>100</v>
      </c>
      <c r="T31" s="770" t="s">
        <v>17</v>
      </c>
      <c r="U31" s="771">
        <f t="shared" si="11"/>
        <v>100</v>
      </c>
      <c r="V31" s="770" t="s">
        <v>17</v>
      </c>
      <c r="W31" s="771">
        <f t="shared" si="12"/>
        <v>100</v>
      </c>
      <c r="X31" s="1807"/>
      <c r="Y31" s="3290"/>
      <c r="Z31" s="1808">
        <f t="shared" si="13"/>
        <v>111</v>
      </c>
      <c r="AA31" s="1805">
        <f t="shared" si="3"/>
        <v>1</v>
      </c>
      <c r="AB31" s="1805">
        <f t="shared" si="4"/>
        <v>1</v>
      </c>
      <c r="AC31" s="1805">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347" t="s">
        <v>2557</v>
      </c>
      <c r="Q32" s="1804">
        <f t="shared" si="8"/>
        <v>111</v>
      </c>
      <c r="R32" s="770" t="s">
        <v>17</v>
      </c>
      <c r="S32" s="771">
        <f t="shared" si="10"/>
        <v>100</v>
      </c>
      <c r="T32" s="770" t="s">
        <v>17</v>
      </c>
      <c r="U32" s="771">
        <f t="shared" si="11"/>
        <v>100</v>
      </c>
      <c r="V32" s="770" t="s">
        <v>17</v>
      </c>
      <c r="W32" s="771">
        <f t="shared" si="12"/>
        <v>100</v>
      </c>
      <c r="X32" s="1807"/>
      <c r="Y32" s="3294" t="s">
        <v>2557</v>
      </c>
      <c r="Z32" s="1808">
        <f t="shared" si="13"/>
        <v>111</v>
      </c>
      <c r="AA32" s="1805">
        <f t="shared" si="3"/>
        <v>1</v>
      </c>
      <c r="AB32" s="1805">
        <f t="shared" si="4"/>
        <v>1</v>
      </c>
      <c r="AC32" s="1805">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294"/>
      <c r="Q33" s="1804">
        <f t="shared" si="8"/>
        <v>111</v>
      </c>
      <c r="R33" s="773" t="s">
        <v>17</v>
      </c>
      <c r="S33" s="774">
        <f t="shared" si="10"/>
        <v>100</v>
      </c>
      <c r="T33" s="773" t="s">
        <v>17</v>
      </c>
      <c r="U33" s="774">
        <f t="shared" si="11"/>
        <v>100</v>
      </c>
      <c r="V33" s="773" t="s">
        <v>17</v>
      </c>
      <c r="W33" s="774">
        <f t="shared" si="12"/>
        <v>100</v>
      </c>
      <c r="X33" s="775"/>
      <c r="Y33" s="3294"/>
      <c r="Z33" s="776">
        <f t="shared" si="13"/>
        <v>111</v>
      </c>
      <c r="AA33" s="1805">
        <f t="shared" si="3"/>
        <v>1</v>
      </c>
      <c r="AB33" s="1805">
        <f t="shared" si="4"/>
        <v>1</v>
      </c>
      <c r="AC33" s="1805">
        <f t="shared" si="5"/>
        <v>1</v>
      </c>
    </row>
    <row r="34" spans="1:29" ht="15">
      <c r="A34" s="440" t="s">
        <v>2555</v>
      </c>
      <c r="B34" s="456" t="s">
        <v>2743</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294"/>
      <c r="Q34" s="1804" t="str">
        <f>B34</f>
        <v>宗地面积</v>
      </c>
      <c r="R34" s="770" t="s">
        <v>17</v>
      </c>
      <c r="S34" s="771" t="e">
        <f t="shared" si="10"/>
        <v>#N/A</v>
      </c>
      <c r="T34" s="770" t="s">
        <v>17</v>
      </c>
      <c r="U34" s="771" t="e">
        <f t="shared" si="11"/>
        <v>#N/A</v>
      </c>
      <c r="V34" s="770" t="s">
        <v>17</v>
      </c>
      <c r="W34" s="771" t="e">
        <f t="shared" si="12"/>
        <v>#N/A</v>
      </c>
      <c r="X34" s="1807"/>
      <c r="Y34" s="3294"/>
      <c r="Z34" s="1808" t="str">
        <f t="shared" si="13"/>
        <v>宗地面积</v>
      </c>
      <c r="AA34" s="1805" t="e">
        <f t="shared" si="3"/>
        <v>#N/A</v>
      </c>
      <c r="AB34" s="1805" t="e">
        <f t="shared" si="4"/>
        <v>#N/A</v>
      </c>
      <c r="AC34" s="1805" t="e">
        <f t="shared" si="5"/>
        <v>#N/A</v>
      </c>
    </row>
    <row r="35" spans="1:29" ht="15">
      <c r="A35" s="472"/>
      <c r="B35" s="422" t="s">
        <v>2744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6"/>
      <c r="M35" s="1127"/>
      <c r="N35" s="1127"/>
      <c r="O35" s="1135"/>
      <c r="P35" s="3294"/>
      <c r="Q35" s="1804" t="str">
        <f t="shared" ref="Q35:Q40" si="14">B35</f>
        <v>宗地形状</v>
      </c>
      <c r="R35" s="770" t="s">
        <v>17</v>
      </c>
      <c r="S35" s="771">
        <f t="shared" si="10"/>
        <v>100</v>
      </c>
      <c r="T35" s="770" t="s">
        <v>17</v>
      </c>
      <c r="U35" s="771">
        <f t="shared" si="11"/>
        <v>100</v>
      </c>
      <c r="V35" s="770" t="s">
        <v>17</v>
      </c>
      <c r="W35" s="771">
        <f t="shared" si="12"/>
        <v>100</v>
      </c>
      <c r="X35" s="1807"/>
      <c r="Y35" s="3294"/>
      <c r="Z35" s="1808" t="str">
        <f t="shared" si="13"/>
        <v>宗地形状</v>
      </c>
      <c r="AA35" s="1805">
        <f t="shared" si="3"/>
        <v>1</v>
      </c>
      <c r="AB35" s="1805">
        <f t="shared" si="4"/>
        <v>1</v>
      </c>
      <c r="AC35" s="1805">
        <f t="shared" si="5"/>
        <v>1</v>
      </c>
    </row>
    <row r="36" spans="1:29" s="117" customFormat="1" ht="15">
      <c r="A36" s="473"/>
      <c r="B36" s="422" t="s">
        <v>2746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8"/>
      <c r="M36" s="1129"/>
      <c r="N36" s="1129"/>
      <c r="O36" s="1130"/>
      <c r="P36" s="3294"/>
      <c r="Q36" s="1804" t="str">
        <f t="shared" si="14"/>
        <v>宗地开发程度</v>
      </c>
      <c r="R36" s="766" t="s">
        <v>17</v>
      </c>
      <c r="S36" s="767">
        <f t="shared" si="10"/>
        <v>100</v>
      </c>
      <c r="T36" s="766" t="s">
        <v>17</v>
      </c>
      <c r="U36" s="767">
        <f t="shared" si="11"/>
        <v>100</v>
      </c>
      <c r="V36" s="766" t="s">
        <v>17</v>
      </c>
      <c r="W36" s="767">
        <f t="shared" si="12"/>
        <v>100</v>
      </c>
      <c r="X36" s="768"/>
      <c r="Y36" s="3294"/>
      <c r="Z36" s="55" t="str">
        <f t="shared" si="13"/>
        <v>宗地开发程度</v>
      </c>
      <c r="AA36" s="769">
        <f t="shared" si="3"/>
        <v>1</v>
      </c>
      <c r="AB36" s="769">
        <f t="shared" si="4"/>
        <v>1</v>
      </c>
      <c r="AC36" s="769">
        <f t="shared" si="5"/>
        <v>1</v>
      </c>
    </row>
    <row r="37" spans="1:29" ht="15">
      <c r="A37" s="472"/>
      <c r="B37" s="422" t="s">
        <v>2747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6"/>
      <c r="M37" s="1127"/>
      <c r="N37" s="1127"/>
      <c r="O37" s="1135"/>
      <c r="P37" s="3294" t="s">
        <v>2557</v>
      </c>
      <c r="Q37" s="1804" t="str">
        <f t="shared" si="14"/>
        <v>工程地质条件</v>
      </c>
      <c r="R37" s="770" t="s">
        <v>17</v>
      </c>
      <c r="S37" s="771">
        <f t="shared" si="10"/>
        <v>100</v>
      </c>
      <c r="T37" s="770" t="s">
        <v>17</v>
      </c>
      <c r="U37" s="771">
        <f t="shared" si="11"/>
        <v>100</v>
      </c>
      <c r="V37" s="770" t="s">
        <v>17</v>
      </c>
      <c r="W37" s="771">
        <f t="shared" si="12"/>
        <v>100</v>
      </c>
      <c r="X37" s="1807"/>
      <c r="Y37" s="3294" t="s">
        <v>2557</v>
      </c>
      <c r="Z37" s="1808" t="str">
        <f t="shared" si="13"/>
        <v>工程地质条件</v>
      </c>
      <c r="AA37" s="1805">
        <f t="shared" si="3"/>
        <v>1</v>
      </c>
      <c r="AB37" s="1805">
        <f t="shared" si="4"/>
        <v>1</v>
      </c>
      <c r="AC37" s="1805">
        <f t="shared" si="5"/>
        <v>1</v>
      </c>
    </row>
    <row r="38" spans="1:29" ht="15">
      <c r="A38" s="472"/>
      <c r="B38" s="1381">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294"/>
      <c r="Q38" s="1804">
        <f t="shared" si="14"/>
        <v>111</v>
      </c>
      <c r="R38" s="770" t="s">
        <v>17</v>
      </c>
      <c r="S38" s="771">
        <f t="shared" si="10"/>
        <v>100</v>
      </c>
      <c r="T38" s="770" t="s">
        <v>17</v>
      </c>
      <c r="U38" s="771">
        <f t="shared" si="11"/>
        <v>100</v>
      </c>
      <c r="V38" s="770" t="s">
        <v>17</v>
      </c>
      <c r="W38" s="771">
        <f t="shared" si="12"/>
        <v>100</v>
      </c>
      <c r="X38" s="1807"/>
      <c r="Y38" s="3294"/>
      <c r="Z38" s="1808">
        <f t="shared" si="13"/>
        <v>111</v>
      </c>
      <c r="AA38" s="1805">
        <f t="shared" si="3"/>
        <v>1</v>
      </c>
      <c r="AB38" s="1805">
        <f t="shared" si="4"/>
        <v>1</v>
      </c>
      <c r="AC38" s="1805">
        <f t="shared" si="5"/>
        <v>1</v>
      </c>
    </row>
    <row r="39" spans="1:29" ht="15">
      <c r="A39" s="472"/>
      <c r="B39" s="1381">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294"/>
      <c r="Q39" s="1804">
        <f t="shared" si="14"/>
        <v>111</v>
      </c>
      <c r="R39" s="770" t="s">
        <v>17</v>
      </c>
      <c r="S39" s="771">
        <f t="shared" si="10"/>
        <v>100</v>
      </c>
      <c r="T39" s="770" t="s">
        <v>17</v>
      </c>
      <c r="U39" s="771">
        <f t="shared" si="11"/>
        <v>100</v>
      </c>
      <c r="V39" s="770" t="s">
        <v>17</v>
      </c>
      <c r="W39" s="771">
        <f t="shared" si="12"/>
        <v>100</v>
      </c>
      <c r="X39" s="1807"/>
      <c r="Y39" s="3294"/>
      <c r="Z39" s="1808">
        <f t="shared" si="13"/>
        <v>111</v>
      </c>
      <c r="AA39" s="1805">
        <f t="shared" si="3"/>
        <v>1</v>
      </c>
      <c r="AB39" s="1805">
        <f t="shared" si="4"/>
        <v>1</v>
      </c>
      <c r="AC39" s="1805">
        <f t="shared" si="5"/>
        <v>1</v>
      </c>
    </row>
    <row r="40" spans="1:29" s="471" customFormat="1" ht="15.75" thickBot="1">
      <c r="A40" s="468"/>
      <c r="B40" s="1381">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294"/>
      <c r="Q40" s="1804">
        <f t="shared" si="14"/>
        <v>111</v>
      </c>
      <c r="R40" s="773" t="s">
        <v>17</v>
      </c>
      <c r="S40" s="774">
        <f t="shared" si="10"/>
        <v>100</v>
      </c>
      <c r="T40" s="773" t="s">
        <v>17</v>
      </c>
      <c r="U40" s="774">
        <f t="shared" si="11"/>
        <v>100</v>
      </c>
      <c r="V40" s="773" t="s">
        <v>17</v>
      </c>
      <c r="W40" s="774">
        <f t="shared" si="12"/>
        <v>100</v>
      </c>
      <c r="X40" s="775"/>
      <c r="Y40" s="3294"/>
      <c r="Z40" s="776">
        <f t="shared" si="13"/>
        <v>111</v>
      </c>
      <c r="AA40" s="1805">
        <f t="shared" si="3"/>
        <v>1</v>
      </c>
      <c r="AB40" s="1805">
        <f t="shared" si="4"/>
        <v>1</v>
      </c>
      <c r="AC40" s="1805">
        <f t="shared" si="5"/>
        <v>1</v>
      </c>
    </row>
    <row r="41" spans="1:29" ht="15">
      <c r="A41" s="479" t="s">
        <v>2712</v>
      </c>
      <c r="B41" s="2701" t="s">
        <v>2792</v>
      </c>
      <c r="C41" s="681" t="s">
        <v>1</v>
      </c>
      <c r="D41" s="481"/>
      <c r="E41" s="482"/>
      <c r="F41" s="483"/>
      <c r="G41" s="484"/>
      <c r="H41" s="485"/>
      <c r="I41" s="482"/>
      <c r="J41" s="485"/>
      <c r="K41" s="779"/>
      <c r="L41" s="1139"/>
      <c r="M41" s="1127"/>
      <c r="N41" s="1127"/>
      <c r="O41" s="1140"/>
      <c r="P41" s="3287" t="str">
        <f>A41</f>
        <v>成交单价</v>
      </c>
      <c r="Q41" s="3287"/>
      <c r="R41" s="3318">
        <f>E41</f>
        <v>0</v>
      </c>
      <c r="S41" s="3318"/>
      <c r="T41" s="3318">
        <f>G41</f>
        <v>0</v>
      </c>
      <c r="U41" s="3318"/>
      <c r="V41" s="3318">
        <f>I41</f>
        <v>0</v>
      </c>
      <c r="W41" s="3318"/>
      <c r="X41" s="755"/>
      <c r="Y41" s="777"/>
      <c r="Z41" s="755"/>
      <c r="AA41" s="755"/>
      <c r="AB41" s="755"/>
      <c r="AC41" s="755"/>
    </row>
    <row r="42" spans="1:29" ht="15.75" thickBot="1">
      <c r="A42" s="486" t="s">
        <v>2661</v>
      </c>
      <c r="B42" s="682"/>
      <c r="C42" s="490" t="e">
        <f>R43</f>
        <v>#DIV/0!</v>
      </c>
      <c r="D42" s="489"/>
      <c r="E42" s="490" t="e">
        <f>R42</f>
        <v>#DIV/0!</v>
      </c>
      <c r="F42" s="491"/>
      <c r="G42" s="488" t="e">
        <f>T42</f>
        <v>#DIV/0!</v>
      </c>
      <c r="H42" s="489"/>
      <c r="I42" s="490" t="e">
        <f>V42</f>
        <v>#DIV/0!</v>
      </c>
      <c r="J42" s="489"/>
      <c r="K42" s="780"/>
      <c r="L42" s="1139"/>
      <c r="M42" s="1127"/>
      <c r="N42" s="1127"/>
      <c r="O42" s="1140"/>
      <c r="P42" s="3287" t="str">
        <f>A42</f>
        <v>比较价值（元/平方米）</v>
      </c>
      <c r="Q42" s="3287"/>
      <c r="R42" s="3348" t="e">
        <f>ROUND(PRODUCT(R41,AA7:AA40),0)</f>
        <v>#DIV/0!</v>
      </c>
      <c r="S42" s="3348"/>
      <c r="T42" s="3348" t="e">
        <f>ROUND(PRODUCT(T41,AB7:AB40),0)</f>
        <v>#DIV/0!</v>
      </c>
      <c r="U42" s="3348"/>
      <c r="V42" s="3348" t="e">
        <f>ROUND(PRODUCT(V41,AC7:AC40),0)</f>
        <v>#DIV/0!</v>
      </c>
      <c r="W42" s="3348"/>
      <c r="X42" s="755"/>
      <c r="Y42" s="755"/>
      <c r="Z42" s="755"/>
      <c r="AA42" s="755"/>
      <c r="AB42" s="755"/>
      <c r="AC42" s="755"/>
    </row>
    <row r="43" spans="1:29" ht="15.75" thickBot="1">
      <c r="A43" s="492" t="s">
        <v>2662</v>
      </c>
      <c r="B43" s="493"/>
      <c r="C43" s="494" t="e">
        <f>R43</f>
        <v>#DIV/0!</v>
      </c>
      <c r="D43" s="494"/>
      <c r="E43" s="494"/>
      <c r="F43" s="494"/>
      <c r="G43" s="494"/>
      <c r="H43" s="494"/>
      <c r="I43" s="494"/>
      <c r="J43" s="494"/>
      <c r="K43" s="781"/>
      <c r="L43" s="1139"/>
      <c r="M43" s="1127"/>
      <c r="N43" s="1127"/>
      <c r="O43" s="1140"/>
      <c r="P43" s="3284" t="str">
        <f>A43</f>
        <v>估价对象XX用房的比较价值（楼面单价，元/平方米）</v>
      </c>
      <c r="Q43" s="3285"/>
      <c r="R43" s="3349" t="e">
        <f>ROUND(AVERAGE(R42:V42),0)</f>
        <v>#DIV/0!</v>
      </c>
      <c r="S43" s="3349"/>
      <c r="T43" s="3349"/>
      <c r="U43" s="3349"/>
      <c r="V43" s="3349"/>
      <c r="W43" s="3349"/>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2750</v>
      </c>
      <c r="B50" s="684" t="s">
        <v>2751</v>
      </c>
      <c r="C50" s="2702" t="s">
        <v>2752</v>
      </c>
      <c r="D50" s="2703" t="s">
        <v>2753</v>
      </c>
      <c r="E50" s="685" t="s">
        <v>2754</v>
      </c>
      <c r="F50" s="686" t="s">
        <v>2755</v>
      </c>
      <c r="G50" s="3302" t="s">
        <v>2756</v>
      </c>
      <c r="H50" s="3350"/>
      <c r="I50" s="1808" t="s">
        <v>2793</v>
      </c>
      <c r="J50" s="1808">
        <f>项目基本情况!F35</f>
        <v>0</v>
      </c>
      <c r="K50" s="2705" t="s">
        <v>2758</v>
      </c>
      <c r="L50" s="1102"/>
      <c r="M50" s="1140"/>
      <c r="N50" s="1140"/>
      <c r="O50" s="1140"/>
    </row>
    <row r="51" spans="1:17" s="691" customFormat="1">
      <c r="A51" s="687" t="s">
        <v>2759</v>
      </c>
      <c r="B51" s="688" t="e">
        <f>C43</f>
        <v>#DIV/0!</v>
      </c>
      <c r="C51" s="689">
        <v>1</v>
      </c>
      <c r="D51" s="1159">
        <v>1</v>
      </c>
      <c r="E51" s="689">
        <f>'数据-汇总表'!E8+'数据-汇总表'!E9</f>
        <v>3497.5499999999993</v>
      </c>
      <c r="F51" s="690" t="e">
        <f t="shared" ref="F51:F60" si="15">ROUND(B51*E51/10000,0)</f>
        <v>#DIV/0!</v>
      </c>
      <c r="G51" s="3298"/>
      <c r="H51" s="3287"/>
      <c r="I51" s="938">
        <v>1</v>
      </c>
      <c r="J51" s="938">
        <v>1</v>
      </c>
      <c r="K51" s="1141"/>
      <c r="L51" s="937"/>
      <c r="M51" s="937"/>
      <c r="N51" s="937"/>
      <c r="O51" s="937"/>
    </row>
    <row r="52" spans="1:17" s="691" customFormat="1">
      <c r="A52" s="692" t="s">
        <v>2760</v>
      </c>
      <c r="B52" s="262" t="e">
        <f>ROUND($C$43*C52*D52,0)</f>
        <v>#DIV/0!</v>
      </c>
      <c r="C52" s="200">
        <f t="shared" ref="C52:C60" si="16">IF($C$50="北京市系数",I52,J52)</f>
        <v>0</v>
      </c>
      <c r="D52" s="1160">
        <v>0.25</v>
      </c>
      <c r="E52" s="693"/>
      <c r="F52" s="690" t="e">
        <f t="shared" si="15"/>
        <v>#DIV/0!</v>
      </c>
      <c r="G52" s="3351" t="s">
        <v>2761</v>
      </c>
      <c r="H52" s="1100">
        <f>项目基本情况!B37</f>
        <v>0</v>
      </c>
      <c r="I52" s="938">
        <f>SUMIF(修正!A45:A56,H52,修正!B45:B56)</f>
        <v>0</v>
      </c>
      <c r="J52" s="939"/>
      <c r="K52" s="1140"/>
      <c r="L52" s="937"/>
      <c r="M52" s="937"/>
      <c r="N52" s="937"/>
      <c r="O52" s="937"/>
    </row>
    <row r="53" spans="1:17" s="691" customFormat="1">
      <c r="A53" s="692" t="s">
        <v>2762</v>
      </c>
      <c r="B53" s="262" t="e">
        <f t="shared" ref="B53:B60" si="17">ROUND($C$43*C53*D53,0)</f>
        <v>#DIV/0!</v>
      </c>
      <c r="C53" s="200">
        <f t="shared" si="16"/>
        <v>0</v>
      </c>
      <c r="D53" s="1160">
        <v>0.25</v>
      </c>
      <c r="E53" s="693"/>
      <c r="F53" s="690" t="e">
        <f t="shared" si="15"/>
        <v>#DIV/0!</v>
      </c>
      <c r="G53" s="3351"/>
      <c r="H53" s="1100">
        <f>项目基本情况!B37</f>
        <v>0</v>
      </c>
      <c r="I53" s="938">
        <f>SUMIF(修正!A45:A56,H53,修正!C45:C56)</f>
        <v>0</v>
      </c>
      <c r="J53" s="939"/>
      <c r="K53" s="1141"/>
      <c r="L53" s="937"/>
      <c r="M53" s="937"/>
      <c r="N53" s="937"/>
      <c r="O53" s="937"/>
    </row>
    <row r="54" spans="1:17" s="691" customFormat="1">
      <c r="A54" s="692" t="s">
        <v>2763</v>
      </c>
      <c r="B54" s="262" t="e">
        <f t="shared" si="17"/>
        <v>#DIV/0!</v>
      </c>
      <c r="C54" s="200">
        <f t="shared" si="16"/>
        <v>0</v>
      </c>
      <c r="D54" s="1160">
        <v>0.25</v>
      </c>
      <c r="E54" s="693"/>
      <c r="F54" s="690" t="e">
        <f t="shared" si="15"/>
        <v>#DIV/0!</v>
      </c>
      <c r="G54" s="3351"/>
      <c r="H54" s="1100">
        <f>项目基本情况!B37</f>
        <v>0</v>
      </c>
      <c r="I54" s="938">
        <f>SUMIF(修正!A45:A56,H54,修正!D45:D56)</f>
        <v>0</v>
      </c>
      <c r="J54" s="939"/>
      <c r="K54" s="1140"/>
      <c r="L54" s="937"/>
      <c r="M54" s="937"/>
      <c r="N54" s="937"/>
      <c r="O54" s="937"/>
    </row>
    <row r="55" spans="1:17" s="691" customFormat="1">
      <c r="A55" s="692" t="s">
        <v>2764</v>
      </c>
      <c r="B55" s="262" t="e">
        <f t="shared" si="17"/>
        <v>#DIV/0!</v>
      </c>
      <c r="C55" s="200">
        <f t="shared" si="16"/>
        <v>0</v>
      </c>
      <c r="D55" s="1160">
        <v>0.25</v>
      </c>
      <c r="E55" s="693"/>
      <c r="F55" s="690" t="e">
        <f t="shared" si="15"/>
        <v>#DIV/0!</v>
      </c>
      <c r="G55" s="3351"/>
      <c r="H55" s="1100">
        <f>项目基本情况!B37</f>
        <v>0</v>
      </c>
      <c r="I55" s="938">
        <f>SUMIF(修正!A45:A56,H55,修正!E45:E56)</f>
        <v>0</v>
      </c>
      <c r="J55" s="939"/>
      <c r="K55" s="1141"/>
      <c r="L55" s="937"/>
      <c r="M55" s="937"/>
      <c r="N55" s="937"/>
      <c r="O55" s="937"/>
    </row>
    <row r="56" spans="1:17" s="691" customFormat="1">
      <c r="A56" s="692" t="s">
        <v>2765</v>
      </c>
      <c r="B56" s="262" t="e">
        <f t="shared" si="17"/>
        <v>#DIV/0!</v>
      </c>
      <c r="C56" s="200">
        <f t="shared" si="16"/>
        <v>0</v>
      </c>
      <c r="D56" s="1160">
        <v>0.25</v>
      </c>
      <c r="E56" s="261">
        <f>'数据-汇总表'!E11</f>
        <v>0</v>
      </c>
      <c r="F56" s="690" t="e">
        <f t="shared" si="15"/>
        <v>#DIV/0!</v>
      </c>
      <c r="G56" s="2706" t="s">
        <v>2766</v>
      </c>
      <c r="H56" s="1100">
        <f>项目基本情况!C37</f>
        <v>0</v>
      </c>
      <c r="I56" s="938">
        <f>SUMIF(修正!A45:A56,H56,修正!F45:F56)</f>
        <v>0</v>
      </c>
      <c r="J56" s="939"/>
      <c r="K56" s="1140"/>
      <c r="L56" s="937"/>
      <c r="M56" s="937"/>
      <c r="N56" s="937"/>
      <c r="O56" s="937"/>
    </row>
    <row r="57" spans="1:17" s="691" customFormat="1">
      <c r="A57" s="692" t="s">
        <v>2767</v>
      </c>
      <c r="B57" s="262" t="e">
        <f t="shared" si="17"/>
        <v>#DIV/0!</v>
      </c>
      <c r="C57" s="200">
        <f t="shared" si="16"/>
        <v>0</v>
      </c>
      <c r="D57" s="1160">
        <v>0.25</v>
      </c>
      <c r="E57" s="261">
        <f>'数据-汇总表'!E12</f>
        <v>0</v>
      </c>
      <c r="F57" s="690" t="e">
        <f t="shared" si="15"/>
        <v>#DIV/0!</v>
      </c>
      <c r="G57" s="1105" t="s">
        <v>2768</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2769</v>
      </c>
      <c r="B58" s="262" t="e">
        <f t="shared" si="17"/>
        <v>#DIV/0!</v>
      </c>
      <c r="C58" s="200">
        <f t="shared" si="16"/>
        <v>0</v>
      </c>
      <c r="D58" s="1160">
        <v>0.25</v>
      </c>
      <c r="E58" s="261">
        <f>'数据-汇总表'!E13</f>
        <v>0</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2771</v>
      </c>
      <c r="B59" s="262" t="e">
        <f t="shared" si="17"/>
        <v>#DIV/0!</v>
      </c>
      <c r="C59" s="200">
        <f t="shared" si="16"/>
        <v>0</v>
      </c>
      <c r="D59" s="1160">
        <v>0.25</v>
      </c>
      <c r="E59" s="261">
        <f>'数据-汇总表'!E14</f>
        <v>0</v>
      </c>
      <c r="F59" s="690" t="e">
        <f t="shared" si="15"/>
        <v>#DIV/0!</v>
      </c>
      <c r="G59" s="2706" t="s">
        <v>2761</v>
      </c>
      <c r="H59" s="1100">
        <f>项目基本情况!B37</f>
        <v>0</v>
      </c>
      <c r="I59" s="938">
        <f>SUMIF(修正!A45:A56,H59,修正!H45:H56)</f>
        <v>0</v>
      </c>
      <c r="J59" s="939"/>
      <c r="K59" s="1141"/>
      <c r="L59" s="937"/>
      <c r="M59" s="937"/>
      <c r="N59" s="937"/>
      <c r="O59" s="937"/>
    </row>
    <row r="60" spans="1:17" s="691" customFormat="1" ht="15" thickBot="1">
      <c r="A60" s="692" t="s">
        <v>2772</v>
      </c>
      <c r="B60" s="262" t="e">
        <f t="shared" si="17"/>
        <v>#DIV/0!</v>
      </c>
      <c r="C60" s="200">
        <f t="shared" si="16"/>
        <v>0</v>
      </c>
      <c r="D60" s="1160">
        <v>0.25</v>
      </c>
      <c r="E60" s="261">
        <f>'数据-汇总表'!E15</f>
        <v>0</v>
      </c>
      <c r="F60" s="690" t="e">
        <f t="shared" si="15"/>
        <v>#DIV/0!</v>
      </c>
      <c r="G60" s="2707" t="s">
        <v>2766</v>
      </c>
      <c r="H60" s="1110">
        <f>项目基本情况!C37</f>
        <v>0</v>
      </c>
      <c r="I60" s="938">
        <f>SUMIF(修正!A45:A56,H60,修正!H45:H56)</f>
        <v>0</v>
      </c>
      <c r="J60" s="939"/>
      <c r="K60" s="1140"/>
      <c r="L60" s="937"/>
      <c r="M60" s="937"/>
      <c r="N60" s="937"/>
      <c r="O60" s="937"/>
    </row>
    <row r="61" spans="1:17" s="691" customFormat="1" ht="15" thickBot="1">
      <c r="A61" s="694" t="s">
        <v>2773</v>
      </c>
      <c r="B61" s="695" t="s">
        <v>28</v>
      </c>
      <c r="C61" s="695" t="s">
        <v>29</v>
      </c>
      <c r="D61" s="695" t="s">
        <v>1026</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2019-7-1</v>
      </c>
      <c r="D63" s="757">
        <f>EDATE(C63,-3)</f>
        <v>43556</v>
      </c>
      <c r="E63" s="757">
        <f>EDATE(D63,-3)</f>
        <v>43466</v>
      </c>
      <c r="F63" s="757">
        <f t="shared" ref="F63:O63" si="18">EDATE(E63,-3)</f>
        <v>43374</v>
      </c>
      <c r="G63" s="757">
        <f t="shared" si="18"/>
        <v>43282</v>
      </c>
      <c r="H63" s="757">
        <f t="shared" si="18"/>
        <v>43191</v>
      </c>
      <c r="I63" s="757">
        <f t="shared" si="18"/>
        <v>43101</v>
      </c>
      <c r="J63" s="757">
        <f t="shared" si="18"/>
        <v>43009</v>
      </c>
      <c r="K63" s="757">
        <f t="shared" si="18"/>
        <v>42917</v>
      </c>
      <c r="L63" s="757">
        <f t="shared" si="18"/>
        <v>42826</v>
      </c>
      <c r="M63" s="757">
        <f t="shared" si="18"/>
        <v>42736</v>
      </c>
      <c r="N63" s="757">
        <f t="shared" si="18"/>
        <v>42644</v>
      </c>
      <c r="O63" s="757">
        <f t="shared" si="18"/>
        <v>42552</v>
      </c>
    </row>
    <row r="64" spans="1:17" ht="21.75" thickBot="1">
      <c r="A64" s="759" t="s">
        <v>2666</v>
      </c>
      <c r="B64" s="755"/>
      <c r="C64" s="760"/>
      <c r="D64" s="760"/>
      <c r="E64" s="760"/>
      <c r="F64" s="761"/>
      <c r="G64" s="761"/>
      <c r="H64" s="760"/>
      <c r="I64" s="760"/>
      <c r="J64" s="760"/>
      <c r="K64" s="762"/>
      <c r="L64" s="763"/>
      <c r="M64" s="760"/>
      <c r="N64" s="760"/>
      <c r="O64" s="1155"/>
      <c r="P64" s="503"/>
      <c r="Q64" s="504"/>
    </row>
    <row r="65" spans="1:17" s="508" customFormat="1" ht="15">
      <c r="A65" s="2708" t="s">
        <v>2774</v>
      </c>
      <c r="B65" s="1353"/>
      <c r="C65" s="1566" t="str">
        <f>YEAR(C63)&amp;"-"&amp;ROUNDUP(MONTH(C63)/3,0)</f>
        <v>2019-3</v>
      </c>
      <c r="D65" s="1566" t="str">
        <f t="shared" ref="D65:O65" si="19">YEAR(D63)&amp;"-"&amp;ROUNDUP(MONTH(D63)/3,0)</f>
        <v>2019-2</v>
      </c>
      <c r="E65" s="1566" t="str">
        <f t="shared" si="19"/>
        <v>2019-1</v>
      </c>
      <c r="F65" s="1566" t="str">
        <f t="shared" si="19"/>
        <v>2018-4</v>
      </c>
      <c r="G65" s="1566" t="str">
        <f t="shared" si="19"/>
        <v>2018-3</v>
      </c>
      <c r="H65" s="1566" t="str">
        <f t="shared" si="19"/>
        <v>2018-2</v>
      </c>
      <c r="I65" s="1566" t="str">
        <f t="shared" si="19"/>
        <v>2018-1</v>
      </c>
      <c r="J65" s="1566" t="str">
        <f t="shared" si="19"/>
        <v>2017-4</v>
      </c>
      <c r="K65" s="1566" t="str">
        <f t="shared" si="19"/>
        <v>2017-3</v>
      </c>
      <c r="L65" s="1566" t="str">
        <f t="shared" si="19"/>
        <v>2017-2</v>
      </c>
      <c r="M65" s="1566" t="str">
        <f t="shared" si="19"/>
        <v>2017-1</v>
      </c>
      <c r="N65" s="1566" t="str">
        <f t="shared" si="19"/>
        <v>2016-4</v>
      </c>
      <c r="O65" s="1566" t="str">
        <f t="shared" si="19"/>
        <v>2016-3</v>
      </c>
      <c r="P65" s="507"/>
    </row>
    <row r="66" spans="1:17" s="117" customFormat="1" ht="30.75" customHeight="1">
      <c r="A66" s="2713" t="s">
        <v>2794</v>
      </c>
      <c r="B66" s="332" t="str">
        <f>"北京市平均增长率"&amp;TEXT(基准地价修正!P24,"0.00%")</f>
        <v>北京市平均增长率1.40%</v>
      </c>
      <c r="C66" s="603">
        <v>100</v>
      </c>
      <c r="D66" s="595"/>
      <c r="E66" s="595"/>
      <c r="F66" s="595"/>
      <c r="G66" s="595"/>
      <c r="H66" s="595"/>
      <c r="I66" s="595"/>
      <c r="J66" s="595"/>
      <c r="K66" s="595"/>
      <c r="L66" s="595"/>
      <c r="M66" s="1561"/>
      <c r="N66" s="1561"/>
      <c r="O66" s="1563"/>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2580</v>
      </c>
      <c r="B70" s="528" t="s">
        <v>2546</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2549</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2795</v>
      </c>
      <c r="C93" s="659" t="s">
        <v>2667</v>
      </c>
      <c r="D93" s="659" t="s">
        <v>2668</v>
      </c>
      <c r="E93" s="659" t="s">
        <v>2669</v>
      </c>
      <c r="F93" s="659" t="s">
        <v>2670</v>
      </c>
      <c r="G93" s="659" t="s">
        <v>2671</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9"/>
      <c r="N94" s="1150"/>
      <c r="O94" s="1150"/>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2683</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2742</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0" t="str">
        <f t="shared" si="25"/>
        <v>(含)-</v>
      </c>
      <c r="L107" s="1760" t="str">
        <f t="shared" si="25"/>
        <v>(含)-</v>
      </c>
      <c r="M107" s="1761"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2784</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2786</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2787</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6" customWidth="1"/>
    <col min="33" max="36" width="9.375" style="2785" customWidth="1"/>
    <col min="37" max="38" width="9.375" style="2717" customWidth="1"/>
    <col min="39" max="16384" width="12" style="2717"/>
  </cols>
  <sheetData>
    <row r="1" spans="1:36" ht="28.5">
      <c r="A1" s="240" t="s">
        <v>2796</v>
      </c>
      <c r="B1" s="241"/>
      <c r="C1" s="245" t="s">
        <v>2797</v>
      </c>
      <c r="D1" s="388">
        <f>SUM(D29:D30,D33:D39)</f>
        <v>0</v>
      </c>
      <c r="E1" s="2714"/>
      <c r="F1" s="2714"/>
      <c r="G1" s="2714"/>
      <c r="H1" s="2714"/>
      <c r="I1" s="2714"/>
      <c r="J1" s="2714"/>
      <c r="K1" s="1364"/>
      <c r="L1" s="2715" t="s">
        <v>2798</v>
      </c>
      <c r="M1" s="1076">
        <f>SUMPRODUCT((区片价!B5:B9=I2)*(区片价!C3:F3=E2)*(区片价!C5:F9))</f>
        <v>0</v>
      </c>
      <c r="N1" s="1079">
        <f>SUMPRODUCT((因素修正幅度!B5:B9=I2)*(因素修正幅度!C3:F3=E2)*(因素修正幅度!C5:F9))</f>
        <v>0</v>
      </c>
      <c r="O1" s="2716"/>
      <c r="P1" s="2716"/>
      <c r="Q1" s="1364"/>
      <c r="R1" s="1596" t="s">
        <v>2799</v>
      </c>
      <c r="S1" s="1596" t="s">
        <v>2800</v>
      </c>
      <c r="T1" s="1596" t="s">
        <v>2801</v>
      </c>
      <c r="U1" s="1596" t="s">
        <v>2802</v>
      </c>
      <c r="V1" s="1596" t="s">
        <v>2803</v>
      </c>
      <c r="W1" s="1600"/>
      <c r="X1" s="1600"/>
      <c r="Y1" s="1600"/>
      <c r="Z1" s="1600"/>
      <c r="AA1" s="1600"/>
      <c r="AB1" s="1600"/>
      <c r="AC1" s="1601"/>
      <c r="AD1" s="1602"/>
      <c r="AE1" s="1602"/>
      <c r="AF1" s="1602"/>
      <c r="AG1" s="1602"/>
      <c r="AH1" s="1602"/>
      <c r="AI1" s="1602"/>
      <c r="AJ1" s="1603"/>
    </row>
    <row r="2" spans="1:36" ht="15.75">
      <c r="A2" s="245" t="s">
        <v>2804</v>
      </c>
      <c r="B2" s="248" t="e">
        <f>C26</f>
        <v>#DIV/0!</v>
      </c>
      <c r="C2" s="2718" t="s">
        <v>2805</v>
      </c>
      <c r="D2" s="2719" t="s">
        <v>2806</v>
      </c>
      <c r="E2" s="2720"/>
      <c r="F2" s="2719" t="s">
        <v>2807</v>
      </c>
      <c r="G2" s="2721">
        <f>IF(E2="商业",项目基本情况!B37,IF(E2="办公",项目基本情况!C37,IF(E2="住宅",项目基本情况!D37,项目基本情况!E37)))</f>
        <v>0</v>
      </c>
      <c r="H2" s="2719" t="s">
        <v>2808</v>
      </c>
      <c r="I2" s="2721">
        <f>IF(E2="商业",项目基本情况!B38,IF(E2="办公",项目基本情况!C38,IF(E2="住宅",项目基本情况!D38,项目基本情况!E38)))</f>
        <v>0</v>
      </c>
      <c r="J2" s="2722"/>
      <c r="K2" s="1364"/>
      <c r="L2" s="2723" t="s">
        <v>2809</v>
      </c>
      <c r="M2" s="1077">
        <f>SUMPRODUCT((区片价!B10:B28=I2)*(区片价!C3:F3=E2)*(区片价!C10:F28))</f>
        <v>0</v>
      </c>
      <c r="N2" s="1079">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7" t="s">
        <v>2810</v>
      </c>
      <c r="B3" s="248" t="e">
        <f>ROUND(B2*10000/D1,0)</f>
        <v>#DIV/0!</v>
      </c>
      <c r="C3" s="2718" t="s">
        <v>2811</v>
      </c>
      <c r="D3" s="2719" t="s">
        <v>2812</v>
      </c>
      <c r="E3" s="2724"/>
      <c r="F3" s="2725" t="s">
        <v>2813</v>
      </c>
      <c r="G3" s="912" t="e">
        <f>IF(F3="宗地容积率",'数据-汇总表'!I4,IF(F3="估价对象容积率",'数据-汇总表'!I6,'数据-汇总表'!I7))</f>
        <v>#DIV/0!</v>
      </c>
      <c r="H3" s="198" t="s">
        <v>2814</v>
      </c>
      <c r="I3" s="940"/>
      <c r="J3" s="2722" t="s">
        <v>2815</v>
      </c>
      <c r="K3" s="1364"/>
      <c r="L3" s="2723" t="s">
        <v>2816</v>
      </c>
      <c r="M3" s="1077">
        <f>SUMPRODUCT((区片价!B29:B48=I2)*(区片价!C3:F3=E2)*(区片价!C29:F48))</f>
        <v>0</v>
      </c>
      <c r="N3" s="1079">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59"/>
      <c r="B4" s="3360"/>
      <c r="C4" s="3360"/>
      <c r="D4" s="3361"/>
      <c r="E4" s="3361"/>
      <c r="F4" s="3361"/>
      <c r="G4" s="3361"/>
      <c r="H4" s="3361"/>
      <c r="I4" s="3361"/>
      <c r="J4" s="3362"/>
      <c r="K4" s="1364"/>
      <c r="L4" s="2723" t="s">
        <v>2817</v>
      </c>
      <c r="M4" s="1077">
        <f>SUMPRODUCT((区片价!B49:B75=I2)*(区片价!C3:F3=E2)*(区片价!C49:F75))</f>
        <v>0</v>
      </c>
      <c r="N4" s="1079">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5" customFormat="1" ht="15.75" thickBot="1">
      <c r="A5" s="2726" t="s">
        <v>807</v>
      </c>
      <c r="B5" s="2727" t="s">
        <v>2818</v>
      </c>
      <c r="C5" s="913" t="e">
        <f>ROUND(IF(E2="商业",C6*C7+C16,(IF(E2="住宅",C6*C12+C16,C6+C16))),0)</f>
        <v>#DIV/0!</v>
      </c>
      <c r="D5" s="1781" t="e">
        <f>ROUND(C6+C16,0)</f>
        <v>#DIV/0!</v>
      </c>
      <c r="E5" s="1781"/>
      <c r="F5" s="2728"/>
      <c r="G5" s="2729"/>
      <c r="H5" s="2729"/>
      <c r="I5" s="2729"/>
      <c r="J5" s="2730"/>
      <c r="K5" s="2731"/>
      <c r="L5" s="2723" t="s">
        <v>2819</v>
      </c>
      <c r="M5" s="1077">
        <f>SUMPRODUCT((区片价!B76:B109=I2)*(区片价!C3:F3=E2)*(区片价!C76:F109))</f>
        <v>0</v>
      </c>
      <c r="N5" s="1079">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32"/>
      <c r="AD5" s="2733"/>
      <c r="AE5" s="2733"/>
      <c r="AF5" s="2733"/>
      <c r="AG5" s="2733"/>
      <c r="AH5" s="2733"/>
      <c r="AI5" s="2733"/>
      <c r="AJ5" s="2734"/>
    </row>
    <row r="6" spans="1:36" ht="15.75" thickBot="1">
      <c r="A6" s="2736" t="s">
        <v>2820</v>
      </c>
      <c r="B6" s="2737" t="s">
        <v>2821</v>
      </c>
      <c r="C6" s="914">
        <f>SUMIF(L1:L12,G2,M1:M12)</f>
        <v>0</v>
      </c>
      <c r="D6" s="2738" t="s">
        <v>2822</v>
      </c>
      <c r="E6" s="2739"/>
      <c r="F6" s="2739"/>
      <c r="G6" s="2740"/>
      <c r="H6" s="2740"/>
      <c r="I6" s="2740"/>
      <c r="J6" s="2741"/>
      <c r="K6" s="1836"/>
      <c r="L6" s="2723" t="s">
        <v>2823</v>
      </c>
      <c r="M6" s="1077">
        <f>SUMPRODUCT((区片价!B110:B157=I2)*(区片价!C3:F3=E2)*(区片价!C110:F157))</f>
        <v>0</v>
      </c>
      <c r="N6" s="1079">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32"/>
      <c r="AD6" s="2733"/>
      <c r="AE6" s="2733"/>
      <c r="AF6" s="2733"/>
      <c r="AG6" s="2733"/>
      <c r="AH6" s="2733"/>
      <c r="AI6" s="2733"/>
      <c r="AJ6" s="2734"/>
    </row>
    <row r="7" spans="1:36" ht="24">
      <c r="A7" s="3363" t="str">
        <f>IF(E2="商业",IF(C8="不临58条商业街","",2),"")</f>
        <v/>
      </c>
      <c r="B7" s="2742" t="s">
        <v>2824</v>
      </c>
      <c r="C7" s="915" t="e">
        <f>IF(C8="不临58条商业街",1,ROUND(1+(1.6*E8+1.2*E9+0.8*E10+0.4*E11)*C9,4))</f>
        <v>#DIV/0!</v>
      </c>
      <c r="D7" s="2743" t="s">
        <v>2825</v>
      </c>
      <c r="E7" s="941"/>
      <c r="F7" s="2744"/>
      <c r="G7" s="2745"/>
      <c r="H7" s="2745"/>
      <c r="I7" s="2745"/>
      <c r="J7" s="2746"/>
      <c r="K7" s="1836"/>
      <c r="L7" s="2723" t="s">
        <v>2826</v>
      </c>
      <c r="M7" s="1077">
        <f>SUMPRODUCT((区片价!B158:B205=I2)*(区片价!C3:F3=E2)*(区片价!C158:F205))</f>
        <v>0</v>
      </c>
      <c r="N7" s="1079">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810" t="s">
        <v>2827</v>
      </c>
      <c r="X7" s="1598">
        <f>G2</f>
        <v>0</v>
      </c>
      <c r="Y7" s="1598" t="s">
        <v>2828</v>
      </c>
      <c r="Z7" s="1599" t="e">
        <f>G3</f>
        <v>#DIV/0!</v>
      </c>
      <c r="AA7" s="1600"/>
      <c r="AB7" s="1600"/>
      <c r="AC7" s="1601"/>
      <c r="AD7" s="1602"/>
      <c r="AE7" s="1602"/>
      <c r="AF7" s="1602"/>
      <c r="AG7" s="1602"/>
      <c r="AH7" s="1602"/>
      <c r="AI7" s="1602"/>
      <c r="AJ7" s="1603"/>
    </row>
    <row r="8" spans="1:36" ht="15">
      <c r="A8" s="3364"/>
      <c r="B8" s="198" t="s">
        <v>2829</v>
      </c>
      <c r="C8" s="2747"/>
      <c r="D8" s="916" t="s">
        <v>139</v>
      </c>
      <c r="E8" s="917" t="e">
        <f>ROUND(C11/E7,4)</f>
        <v>#DIV/0!</v>
      </c>
      <c r="F8" s="2748" t="s">
        <v>2830</v>
      </c>
      <c r="G8" s="2749"/>
      <c r="H8" s="2749"/>
      <c r="I8" s="2749"/>
      <c r="J8" s="2750"/>
      <c r="K8" s="1364"/>
      <c r="L8" s="2723" t="s">
        <v>2831</v>
      </c>
      <c r="M8" s="1077">
        <f>SUMPRODUCT((区片价!B206:B244=I2)*(区片价!C3:F3=E2)*(区片价!C206:F244))</f>
        <v>0</v>
      </c>
      <c r="N8" s="1079">
        <f>SUMPRODUCT((因素修正幅度!B206:B244=I2)*(因素修正幅度!C3:F3=E2)*(因素修正幅度!C206:F244))</f>
        <v>0</v>
      </c>
      <c r="O8" s="1364"/>
      <c r="P8" s="1364"/>
      <c r="Q8" s="1364"/>
      <c r="R8" s="1596">
        <v>7</v>
      </c>
      <c r="S8" s="1597"/>
      <c r="T8" s="1596" t="e">
        <f t="shared" si="0"/>
        <v>#DIV/0!</v>
      </c>
      <c r="U8" s="1597"/>
      <c r="V8" s="1596" t="e">
        <f t="shared" si="1"/>
        <v>#DIV/0!</v>
      </c>
      <c r="W8" s="3356" t="s">
        <v>2832</v>
      </c>
      <c r="X8" s="3357"/>
      <c r="Y8" s="1604" t="s">
        <v>2833</v>
      </c>
      <c r="Z8" s="1604" t="s">
        <v>2834</v>
      </c>
      <c r="AA8" s="1604" t="s">
        <v>2835</v>
      </c>
      <c r="AB8" s="1604" t="s">
        <v>2836</v>
      </c>
      <c r="AC8" s="1604" t="s">
        <v>2837</v>
      </c>
      <c r="AD8" s="1604" t="s">
        <v>2838</v>
      </c>
      <c r="AE8" s="1604" t="s">
        <v>2839</v>
      </c>
      <c r="AF8" s="1604" t="s">
        <v>2840</v>
      </c>
      <c r="AG8" s="1604" t="s">
        <v>2841</v>
      </c>
      <c r="AH8" s="1604" t="s">
        <v>2842</v>
      </c>
      <c r="AI8" s="1604" t="s">
        <v>2843</v>
      </c>
      <c r="AJ8" s="1604" t="s">
        <v>2844</v>
      </c>
    </row>
    <row r="9" spans="1:36" ht="15">
      <c r="A9" s="3364"/>
      <c r="B9" s="198" t="s">
        <v>2845</v>
      </c>
      <c r="C9" s="918">
        <f>SUMIF(修正!C59:C119,C8,修正!E59:E119)</f>
        <v>0</v>
      </c>
      <c r="D9" s="200" t="s">
        <v>140</v>
      </c>
      <c r="E9" s="200" t="e">
        <f>ROUND(C11/E7,4)</f>
        <v>#DIV/0!</v>
      </c>
      <c r="F9" s="2748" t="s">
        <v>2846</v>
      </c>
      <c r="G9" s="2749"/>
      <c r="H9" s="2749"/>
      <c r="I9" s="2749"/>
      <c r="J9" s="2750"/>
      <c r="K9" s="1364"/>
      <c r="L9" s="2723" t="s">
        <v>2847</v>
      </c>
      <c r="M9" s="1077">
        <f>SUMPRODUCT((区片价!B245:B289=I2)*(区片价!C3:F3=E2)*(区片价!C245:F289))</f>
        <v>0</v>
      </c>
      <c r="N9" s="1079">
        <f>SUMPRODUCT((因素修正幅度!B245:B289=I2)*(因素修正幅度!C3:F3=E2)*(因素修正幅度!C245:F289))</f>
        <v>0</v>
      </c>
      <c r="O9" s="1364"/>
      <c r="P9" s="1364"/>
      <c r="Q9" s="1364"/>
      <c r="R9" s="1596">
        <v>8</v>
      </c>
      <c r="S9" s="1597"/>
      <c r="T9" s="1596" t="e">
        <f t="shared" si="0"/>
        <v>#DIV/0!</v>
      </c>
      <c r="U9" s="1597"/>
      <c r="V9" s="1596" t="e">
        <f t="shared" si="1"/>
        <v>#DIV/0!</v>
      </c>
      <c r="W9" s="3358" t="s">
        <v>2848</v>
      </c>
      <c r="X9" s="1605" t="s">
        <v>2849</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64"/>
      <c r="B10" s="198" t="s">
        <v>2850</v>
      </c>
      <c r="C10" s="200">
        <f>SUMIF(修正!C59:C119,C8,修正!F59:F119)</f>
        <v>0</v>
      </c>
      <c r="D10" s="200" t="s">
        <v>141</v>
      </c>
      <c r="E10" s="200" t="e">
        <f>ROUND(C11/E7,4)</f>
        <v>#DIV/0!</v>
      </c>
      <c r="F10" s="2748" t="s">
        <v>2851</v>
      </c>
      <c r="G10" s="2749"/>
      <c r="H10" s="2749"/>
      <c r="I10" s="2749"/>
      <c r="J10" s="2750"/>
      <c r="K10" s="1364"/>
      <c r="L10" s="2723" t="s">
        <v>2852</v>
      </c>
      <c r="M10" s="1077">
        <f>SUMPRODUCT((区片价!B290:B316=I2)*(区片价!C3:F3=E2)*(区片价!C290:F316))</f>
        <v>0</v>
      </c>
      <c r="N10" s="1079">
        <f>SUMPRODUCT((因素修正幅度!B290:B316=I2)*(因素修正幅度!C3:F3=E2)*(因素修正幅度!C290:F316))</f>
        <v>0</v>
      </c>
      <c r="O10" s="1364"/>
      <c r="P10" s="1364"/>
      <c r="Q10" s="1364"/>
      <c r="R10" s="1596">
        <v>9</v>
      </c>
      <c r="S10" s="1597"/>
      <c r="T10" s="1596" t="e">
        <f t="shared" si="0"/>
        <v>#DIV/0!</v>
      </c>
      <c r="U10" s="1597"/>
      <c r="V10" s="1596" t="e">
        <f t="shared" si="1"/>
        <v>#DIV/0!</v>
      </c>
      <c r="W10" s="335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64"/>
      <c r="B11" s="2751" t="s">
        <v>2853</v>
      </c>
      <c r="C11" s="919">
        <f>C10/4</f>
        <v>0</v>
      </c>
      <c r="D11" s="919" t="s">
        <v>142</v>
      </c>
      <c r="E11" s="919" t="e">
        <f>ROUND(C11/E7,4)</f>
        <v>#DIV/0!</v>
      </c>
      <c r="F11" s="2752" t="s">
        <v>2854</v>
      </c>
      <c r="G11" s="2753"/>
      <c r="H11" s="2753"/>
      <c r="I11" s="2753"/>
      <c r="J11" s="2754"/>
      <c r="K11" s="1364"/>
      <c r="L11" s="2723" t="s">
        <v>2855</v>
      </c>
      <c r="M11" s="1077">
        <f>SUMPRODUCT((区片价!B317:B337=I2)*(区片价!C3:F3=E2)*(区片价!C317:F337))</f>
        <v>0</v>
      </c>
      <c r="N11" s="1079">
        <f>SUMPRODUCT((因素修正幅度!B317:B337=I2)*(因素修正幅度!C3:F3=E2)*(因素修正幅度!C317:F337))</f>
        <v>0</v>
      </c>
      <c r="O11" s="1364"/>
      <c r="P11" s="1364"/>
      <c r="Q11" s="1364"/>
      <c r="R11" s="1596">
        <v>10</v>
      </c>
      <c r="S11" s="1597"/>
      <c r="T11" s="1596" t="e">
        <f t="shared" si="0"/>
        <v>#DIV/0!</v>
      </c>
      <c r="U11" s="1597"/>
      <c r="V11" s="1596" t="e">
        <f t="shared" si="1"/>
        <v>#DIV/0!</v>
      </c>
      <c r="W11" s="3358" t="s">
        <v>2856</v>
      </c>
      <c r="X11" s="1608" t="s">
        <v>2857</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363" t="s">
        <v>2858</v>
      </c>
      <c r="B12" s="2755" t="s">
        <v>2859</v>
      </c>
      <c r="C12" s="915">
        <f>ROUND(C15*D15*E15*F15*G15*H15*I15*J15,4)</f>
        <v>1</v>
      </c>
      <c r="D12" s="2756" t="s">
        <v>2860</v>
      </c>
      <c r="E12" s="2757"/>
      <c r="F12" s="2757"/>
      <c r="G12" s="2758"/>
      <c r="H12" s="2758"/>
      <c r="I12" s="2758"/>
      <c r="J12" s="2759"/>
      <c r="K12" s="1364"/>
      <c r="L12" s="2760" t="s">
        <v>2861</v>
      </c>
      <c r="M12" s="1078">
        <f>SUMPRODUCT((区片价!B338:B344=I2)*(区片价!C3:F3=E2)*(区片价!C338:F344))</f>
        <v>0</v>
      </c>
      <c r="N12" s="1079">
        <f>SUMPRODUCT((因素修正幅度!B338:B344=I2)*(因素修正幅度!C3:F3=E2)*(因素修正幅度!C338:F344))</f>
        <v>0</v>
      </c>
      <c r="O12" s="1364"/>
      <c r="P12" s="1364"/>
      <c r="Q12" s="1364"/>
      <c r="R12" s="1596">
        <v>11</v>
      </c>
      <c r="S12" s="1597"/>
      <c r="T12" s="1596" t="e">
        <f t="shared" si="0"/>
        <v>#DIV/0!</v>
      </c>
      <c r="U12" s="1597"/>
      <c r="V12" s="1596" t="e">
        <f t="shared" si="1"/>
        <v>#DIV/0!</v>
      </c>
      <c r="W12" s="3358"/>
      <c r="X12" s="1610" t="s">
        <v>2862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65"/>
      <c r="B13" s="2761" t="s">
        <v>2863</v>
      </c>
      <c r="C13" s="2762" t="s">
        <v>2864</v>
      </c>
      <c r="D13" s="1802" t="s">
        <v>2865</v>
      </c>
      <c r="E13" s="1802" t="s">
        <v>2866</v>
      </c>
      <c r="F13" s="30" t="s">
        <v>2867</v>
      </c>
      <c r="G13" s="2763" t="s">
        <v>2868</v>
      </c>
      <c r="H13" s="2763" t="s">
        <v>2868</v>
      </c>
      <c r="I13" s="2763" t="s">
        <v>2868</v>
      </c>
      <c r="J13" s="2764" t="s">
        <v>2868</v>
      </c>
      <c r="K13" s="1364"/>
      <c r="L13" s="1364"/>
      <c r="M13" s="1364"/>
      <c r="N13" s="1364"/>
      <c r="O13" s="1364"/>
      <c r="P13" s="1364"/>
      <c r="Q13" s="1364"/>
      <c r="R13" s="1596">
        <v>12</v>
      </c>
      <c r="S13" s="1597"/>
      <c r="T13" s="1596" t="e">
        <f t="shared" si="0"/>
        <v>#DIV/0!</v>
      </c>
      <c r="U13" s="1597"/>
      <c r="V13" s="1596" t="e">
        <f t="shared" si="1"/>
        <v>#DIV/0!</v>
      </c>
      <c r="W13" s="3358"/>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365"/>
      <c r="B14" s="2765"/>
      <c r="C14" s="2766"/>
      <c r="D14" s="2767"/>
      <c r="E14" s="2767"/>
      <c r="F14" s="2768"/>
      <c r="G14" s="2769" t="s">
        <v>2869</v>
      </c>
      <c r="H14" s="2770"/>
      <c r="I14" s="2771"/>
      <c r="J14" s="2772"/>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66"/>
      <c r="B15" s="2773" t="s">
        <v>2870</v>
      </c>
      <c r="C15" s="229">
        <f>IF(C14="有",1.1,1)</f>
        <v>1</v>
      </c>
      <c r="D15" s="229">
        <f>IF(D14="有",1.1,1)</f>
        <v>1</v>
      </c>
      <c r="E15" s="229">
        <f>IF(E14="有",1.1,1)</f>
        <v>1</v>
      </c>
      <c r="F15" s="229">
        <f>IF(F14="500米范围内",1.2,IF(F14="500-1000米",1.1,1))</f>
        <v>1</v>
      </c>
      <c r="G15" s="942">
        <v>1</v>
      </c>
      <c r="H15" s="942">
        <v>1</v>
      </c>
      <c r="I15" s="942">
        <v>1</v>
      </c>
      <c r="J15" s="943">
        <v>1</v>
      </c>
      <c r="K15" s="1364"/>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363" t="s">
        <v>2875</v>
      </c>
      <c r="B16" s="2742" t="s">
        <v>2876</v>
      </c>
      <c r="C16" s="2929" t="e">
        <f>ROUND(IF(F17="与级别开发程度一致",0,(G17-E17)/C17),0)</f>
        <v>#DIV/0!</v>
      </c>
      <c r="D16" s="3377" t="s">
        <v>2880</v>
      </c>
      <c r="E16" s="3378"/>
      <c r="F16" s="3377" t="s">
        <v>2877</v>
      </c>
      <c r="G16" s="3378"/>
      <c r="H16" s="2776"/>
      <c r="I16" s="2776"/>
      <c r="J16" s="2933"/>
      <c r="K16" s="2776"/>
      <c r="L16" s="2776"/>
      <c r="M16" s="2776"/>
      <c r="N16" s="2776"/>
      <c r="O16" s="2777"/>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67"/>
      <c r="B17" s="2940" t="s">
        <v>2879</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4"/>
      <c r="R17" s="1364"/>
      <c r="S17" s="1364"/>
      <c r="T17" s="1364"/>
      <c r="U17" s="1364"/>
      <c r="V17" s="1364"/>
      <c r="W17" s="1364"/>
      <c r="X17" s="1364"/>
      <c r="Y17" s="1364"/>
      <c r="Z17" s="1365"/>
      <c r="AE17" s="2780"/>
      <c r="AF17" s="2780"/>
      <c r="AG17" s="2717"/>
      <c r="AH17" s="2717"/>
      <c r="AI17" s="2717"/>
      <c r="AJ17" s="2717"/>
    </row>
    <row r="18" spans="1:37" s="2735" customFormat="1" ht="15.75" thickBot="1">
      <c r="A18" s="2934" t="s">
        <v>808</v>
      </c>
      <c r="B18" s="2935" t="s">
        <v>2882</v>
      </c>
      <c r="C18" s="2936">
        <f>SUMIF(修正!C18:C39,E3,修正!E18:E39)</f>
        <v>0</v>
      </c>
      <c r="D18" s="2937"/>
      <c r="E18" s="2938"/>
      <c r="F18" s="2938"/>
      <c r="G18" s="2938"/>
      <c r="H18" s="2938"/>
      <c r="I18" s="2938"/>
      <c r="J18" s="2939"/>
      <c r="K18" s="1371"/>
      <c r="O18" s="1369"/>
      <c r="P18" s="1369"/>
      <c r="Q18" s="1370"/>
      <c r="R18" s="1370"/>
      <c r="S18" s="1370"/>
      <c r="T18" s="1365"/>
      <c r="U18" s="1365"/>
      <c r="V18" s="1365"/>
      <c r="W18" s="1364"/>
      <c r="X18" s="1364"/>
      <c r="Y18" s="1364"/>
      <c r="Z18" s="1371"/>
      <c r="AA18" s="1372"/>
      <c r="AB18" s="1372"/>
      <c r="AC18" s="1372"/>
      <c r="AD18" s="1372"/>
      <c r="AE18" s="1366"/>
      <c r="AF18" s="1366"/>
      <c r="AG18" s="2785"/>
      <c r="AH18" s="2785"/>
      <c r="AI18" s="2785"/>
    </row>
    <row r="19" spans="1:37" s="2735" customFormat="1" ht="27.75" thickBot="1">
      <c r="A19" s="2781" t="s">
        <v>809</v>
      </c>
      <c r="B19" s="2782" t="s">
        <v>2883</v>
      </c>
      <c r="C19" s="920" t="e">
        <f>ROUND(IF(H19="按公示增长率计算",SUMPRODUCT((地价!A3:A27=YEAR(G19)&amp;"-"&amp;ROUNDUP(MONTH(G19)/3,0))*(地价!X2:AB2=E2)*(地价!X3:AB27)),IF(H19="地价指数",M20/M19,(1+I19)^O19)),4)</f>
        <v>#VALUE!</v>
      </c>
      <c r="D19" s="2786" t="s">
        <v>2884</v>
      </c>
      <c r="E19" s="921">
        <v>41640</v>
      </c>
      <c r="F19" s="2786" t="s">
        <v>2885</v>
      </c>
      <c r="G19" s="922">
        <f>'数据-取费表'!B2</f>
        <v>43670</v>
      </c>
      <c r="H19" s="2787"/>
      <c r="I19" s="923" t="str">
        <f>IF(H19="季度增幅（自定义）",SUMIF(N21:N24,E2,O21:O24),"")</f>
        <v/>
      </c>
      <c r="J19" s="2784"/>
      <c r="K19" s="1371"/>
      <c r="L19" s="2788" t="s">
        <v>2886</v>
      </c>
      <c r="M19" s="1728">
        <f>ROUND(SUMIF(地价!B2:F2,E2,地价!B27:F27),0)</f>
        <v>0</v>
      </c>
      <c r="N19" s="2789" t="s">
        <v>2887</v>
      </c>
      <c r="O19" s="924">
        <f>ROUNDDOWN(DATEDIF(E19,G19,"M")/3,0)</f>
        <v>22</v>
      </c>
      <c r="P19" s="1368"/>
      <c r="Q19" s="1370"/>
      <c r="R19" s="1370"/>
      <c r="S19" s="1370"/>
      <c r="T19" s="1365"/>
      <c r="U19" s="1365"/>
      <c r="V19" s="1365"/>
      <c r="W19" s="1364"/>
      <c r="X19" s="1364"/>
      <c r="Y19" s="1364"/>
      <c r="Z19" s="1371"/>
      <c r="AA19" s="1372"/>
      <c r="AB19" s="1372"/>
      <c r="AC19" s="1372"/>
      <c r="AD19" s="1372"/>
      <c r="AE19" s="1372"/>
      <c r="AF19" s="2790"/>
      <c r="AG19" s="2791"/>
      <c r="AH19" s="2785"/>
      <c r="AI19" s="2792"/>
      <c r="AJ19" s="2792"/>
      <c r="AK19" s="2792"/>
    </row>
    <row r="20" spans="1:37" s="2735" customFormat="1" ht="27.75" thickBot="1">
      <c r="A20" s="2793" t="s">
        <v>810</v>
      </c>
      <c r="B20" s="2794" t="s">
        <v>2888</v>
      </c>
      <c r="C20" s="925" t="e">
        <f>ROUND(POWER(1+G20,J20-I20)*(POWER(1+G20,I20)-1)/(POWER(1+G20,J20)-1),4)</f>
        <v>#DIV/0!</v>
      </c>
      <c r="D20" s="2795" t="s">
        <v>2889</v>
      </c>
      <c r="E20" s="1762">
        <f ca="1">存贷款利率!D4/100</f>
        <v>4.3499999999999997E-2</v>
      </c>
      <c r="F20" s="2795" t="s">
        <v>2881</v>
      </c>
      <c r="G20" s="930">
        <f>SUMIF(M26:P26,E2,M28:P28)</f>
        <v>0</v>
      </c>
      <c r="H20" s="2795" t="s">
        <v>2890</v>
      </c>
      <c r="I20" s="931" t="e">
        <f>SUMIF('数据-取费表'!C6:C15,E2,'数据-取费表'!F6:F15)/COUNTIF('数据-取费表'!C6:C15,E2)</f>
        <v>#DIV/0!</v>
      </c>
      <c r="J20" s="932">
        <f>IF(E2="住宅",70,IF(E2="商业",40,50))</f>
        <v>50</v>
      </c>
      <c r="K20" s="1371"/>
      <c r="L20" s="2796" t="s">
        <v>2891</v>
      </c>
      <c r="M20" s="1729">
        <f>ROUND(SUMPRODUCT((地价!A4:A27=YEAR(G19)&amp;"-"&amp;ROUNDUP(MONTH(G19)/3,0))*(地价!B2:F2=E2)*(地价!B4:F27)),0)</f>
        <v>0</v>
      </c>
      <c r="N20" s="2797" t="s">
        <v>2892</v>
      </c>
      <c r="O20" s="2798" t="s">
        <v>2893</v>
      </c>
      <c r="P20" s="2799" t="s">
        <v>2894</v>
      </c>
      <c r="R20" s="1370"/>
      <c r="S20" s="1370"/>
      <c r="T20" s="1365"/>
      <c r="U20" s="1365"/>
      <c r="V20" s="1365"/>
      <c r="W20" s="1364"/>
      <c r="X20" s="1364"/>
      <c r="Y20" s="1364"/>
      <c r="Z20" s="1371"/>
      <c r="AA20" s="1372"/>
      <c r="AB20" s="1372"/>
      <c r="AC20" s="1372"/>
      <c r="AD20" s="1372"/>
      <c r="AE20" s="1372"/>
      <c r="AF20" s="1372"/>
    </row>
    <row r="21" spans="1:37" s="2735" customFormat="1" ht="15">
      <c r="A21" s="2800" t="s">
        <v>811</v>
      </c>
      <c r="B21" s="2801" t="s">
        <v>2895</v>
      </c>
      <c r="C21" s="933" t="e">
        <f>IF(B21="容积率修正",IF(G3&lt;=10,D22,J22),C23)</f>
        <v>#DIV/0!</v>
      </c>
      <c r="D21" s="2802"/>
      <c r="E21" s="2802"/>
      <c r="F21" s="2802"/>
      <c r="G21" s="2802"/>
      <c r="H21" s="2802"/>
      <c r="I21" s="2802"/>
      <c r="J21" s="2803"/>
      <c r="K21" s="1371"/>
      <c r="N21" s="2804" t="s">
        <v>2896</v>
      </c>
      <c r="O21" s="1555"/>
      <c r="P21" s="1556">
        <f>SUMPRODUCT((地价!A3:A27=YEAR(G19)&amp;"-"&amp;ROUNDUP(MONTH(G19)/3,0))*(地价!AD2:AH2=N21)*(地价!AD3:AH27))</f>
        <v>1.44E-2</v>
      </c>
      <c r="R21" s="1370"/>
      <c r="S21" s="1370"/>
      <c r="T21" s="1365"/>
      <c r="U21" s="1365"/>
      <c r="V21" s="1365"/>
      <c r="W21" s="1364"/>
      <c r="X21" s="1364"/>
      <c r="Y21" s="1364"/>
      <c r="Z21" s="1371"/>
      <c r="AA21" s="1372"/>
      <c r="AB21" s="1372"/>
      <c r="AC21" s="1372"/>
      <c r="AD21" s="1372"/>
      <c r="AE21" s="1372"/>
      <c r="AF21" s="1372"/>
    </row>
    <row r="22" spans="1:37" s="2735" customFormat="1" ht="14.25">
      <c r="A22" s="2661" t="s">
        <v>2897</v>
      </c>
      <c r="B22" s="2805" t="s">
        <v>2898</v>
      </c>
      <c r="C22" s="1804" t="s">
        <v>2899</v>
      </c>
      <c r="D22" s="1804" t="e">
        <f>IF(E22=G22,F22,IF(G3&lt;=10,ROUND(F22+(H22-F22)*(G3-E22)/(G22-E22),4),"——"))</f>
        <v>#DIV/0!</v>
      </c>
      <c r="E22" s="912"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4" t="e">
        <f>IF(G3&gt;10,D113,"——")</f>
        <v>#DIV/0!</v>
      </c>
      <c r="K22" s="1371"/>
      <c r="N22" s="2804" t="s">
        <v>2900</v>
      </c>
      <c r="O22" s="1555"/>
      <c r="P22" s="1556">
        <f>SUMPRODUCT((地价!A3:A27=YEAR(G19)&amp;"-"&amp;ROUNDUP(MONTH(G19)/3,0))*(地价!AD2:AH2=N22)*(地价!AD3:AH27))</f>
        <v>1.44E-2</v>
      </c>
      <c r="R22" s="1370"/>
      <c r="S22" s="1370"/>
      <c r="T22" s="1365"/>
      <c r="U22" s="1365"/>
      <c r="V22" s="1365"/>
      <c r="W22" s="1364"/>
      <c r="X22" s="1364"/>
      <c r="Y22" s="1364"/>
      <c r="Z22" s="1371"/>
      <c r="AA22" s="1372"/>
      <c r="AB22" s="1372"/>
      <c r="AC22" s="1372"/>
      <c r="AD22" s="1372"/>
      <c r="AE22" s="1372"/>
      <c r="AF22" s="1372"/>
    </row>
    <row r="23" spans="1:37" ht="27.75" thickBot="1">
      <c r="A23" s="2661" t="s">
        <v>2901</v>
      </c>
      <c r="B23" s="2806" t="s">
        <v>2902</v>
      </c>
      <c r="C23" s="1009" t="e">
        <f>ROUND(IF(G3&gt;1,IF(I3&lt;7,SUMPRODUCT((B93:B98=I3)*(C92:N92=G2)*(C93:N98)),SUMIF(C92:N92,G2,C100:N100)),IF(I3&lt;7,SUMPRODUCT((B102:B107=I3)*(C92:N92=G2)*(C102:N107)),SUMIF(C92:N92,G2,C109:N109))),4)</f>
        <v>#DIV/0!</v>
      </c>
      <c r="D23" s="2770"/>
      <c r="E23" s="2770"/>
      <c r="F23" s="2807"/>
      <c r="G23" s="2808"/>
      <c r="H23" s="2809"/>
      <c r="I23" s="2810"/>
      <c r="J23" s="2811"/>
      <c r="K23" s="1364"/>
      <c r="N23" s="2804" t="s">
        <v>2903</v>
      </c>
      <c r="O23" s="1555"/>
      <c r="P23" s="1556">
        <f>SUMPRODUCT((地价!A3:A27=YEAR(G19)&amp;"-"&amp;ROUNDUP(MONTH(G19)/3,0))*(地价!AD2:AH2=N23)*(地价!AD3:AH27))</f>
        <v>2.23E-2</v>
      </c>
      <c r="R23" s="1370"/>
      <c r="S23" s="1370"/>
      <c r="T23" s="1365"/>
      <c r="U23" s="1365"/>
      <c r="V23" s="1365"/>
      <c r="W23" s="1364"/>
      <c r="X23" s="1364"/>
      <c r="Y23" s="1364"/>
      <c r="Z23" s="1371"/>
      <c r="AA23" s="1372"/>
      <c r="AB23" s="1372"/>
      <c r="AC23" s="1372"/>
      <c r="AD23" s="1372"/>
      <c r="AK23" s="2785"/>
    </row>
    <row r="24" spans="1:37" s="2735" customFormat="1" ht="15.75" thickBot="1">
      <c r="A24" s="2793" t="s">
        <v>812</v>
      </c>
      <c r="B24" s="2782" t="s">
        <v>2904</v>
      </c>
      <c r="C24" s="920">
        <f>SUMIF(A45:A88,E2,B45:B88)</f>
        <v>0</v>
      </c>
      <c r="D24" s="2783"/>
      <c r="E24" s="2812"/>
      <c r="F24" s="2812"/>
      <c r="G24" s="2812"/>
      <c r="H24" s="2812"/>
      <c r="I24" s="2812"/>
      <c r="J24" s="2813"/>
      <c r="K24" s="1371"/>
      <c r="N24" s="2814" t="s">
        <v>2905</v>
      </c>
      <c r="O24" s="1557"/>
      <c r="P24" s="1558">
        <f>SUMPRODUCT((地价!A3:A27=YEAR(G19)&amp;"-"&amp;ROUNDUP(MONTH(G19)/3,0))*(地价!AD2:AH2=N24)*(地价!AD3:AH27))</f>
        <v>1.4E-2</v>
      </c>
      <c r="R24" s="1370"/>
      <c r="S24" s="1370"/>
      <c r="T24" s="1365"/>
      <c r="U24" s="1365"/>
      <c r="V24" s="1365"/>
      <c r="W24" s="1364"/>
      <c r="X24" s="1364"/>
      <c r="Y24" s="1364"/>
      <c r="Z24" s="1371"/>
      <c r="AA24" s="1372"/>
      <c r="AB24" s="1372"/>
      <c r="AC24" s="1372"/>
      <c r="AD24" s="1372"/>
      <c r="AE24" s="1372"/>
      <c r="AF24" s="1372"/>
    </row>
    <row r="25" spans="1:37" ht="15.75" thickBot="1">
      <c r="A25" s="2793" t="s">
        <v>813</v>
      </c>
      <c r="B25" s="2815" t="s">
        <v>2906</v>
      </c>
      <c r="C25" s="926"/>
      <c r="D25" s="2745"/>
      <c r="E25" s="2745"/>
      <c r="F25" s="2816"/>
      <c r="G25" s="2745"/>
      <c r="H25" s="2745"/>
      <c r="I25" s="2745"/>
      <c r="J25" s="2746"/>
      <c r="K25" s="1364"/>
      <c r="N25" s="2817" t="s">
        <v>2907</v>
      </c>
      <c r="O25" s="1559"/>
      <c r="P25" s="1558">
        <f>SUMPRODUCT((地价!A3:A27=YEAR(G19)&amp;"-"&amp;ROUNDUP(MONTH(G19)/3,0))*(地价!AD2:AH2=N25)*(地价!AD3:AH27))</f>
        <v>2.0400000000000001E-2</v>
      </c>
      <c r="R25" s="1370"/>
      <c r="S25" s="1370"/>
      <c r="T25" s="1365"/>
      <c r="U25" s="1365"/>
      <c r="V25" s="1365"/>
      <c r="W25" s="1364"/>
      <c r="X25" s="1364"/>
      <c r="Y25" s="1364"/>
      <c r="Z25" s="1371"/>
      <c r="AA25" s="1372"/>
      <c r="AB25" s="1372"/>
      <c r="AC25" s="1372"/>
      <c r="AD25" s="1372"/>
    </row>
    <row r="26" spans="1:37" ht="15">
      <c r="A26" s="2818"/>
      <c r="B26" s="2805" t="s">
        <v>2908</v>
      </c>
      <c r="C26" s="206" t="e">
        <f>E29+SUM(E33:E39)</f>
        <v>#DIV/0!</v>
      </c>
      <c r="D26" s="2819"/>
      <c r="E26" s="2770"/>
      <c r="F26" s="2820"/>
      <c r="G26" s="2770"/>
      <c r="H26" s="2770"/>
      <c r="I26" s="2770"/>
      <c r="J26" s="2821"/>
      <c r="K26" s="1364"/>
      <c r="L26" s="2774" t="s">
        <v>2806</v>
      </c>
      <c r="M26" s="916" t="s">
        <v>2871</v>
      </c>
      <c r="N26" s="916" t="s">
        <v>2872</v>
      </c>
      <c r="O26" s="916" t="s">
        <v>2873</v>
      </c>
      <c r="P26" s="2775" t="s">
        <v>2874</v>
      </c>
      <c r="R26" s="1370"/>
      <c r="S26" s="1370"/>
      <c r="T26" s="1365"/>
      <c r="U26" s="1365"/>
      <c r="V26" s="1365"/>
      <c r="W26" s="1364"/>
      <c r="X26" s="1364"/>
      <c r="Y26" s="1364"/>
      <c r="Z26" s="1371"/>
      <c r="AA26" s="1372"/>
      <c r="AB26" s="1372"/>
      <c r="AC26" s="1372"/>
      <c r="AD26" s="1372"/>
    </row>
    <row r="27" spans="1:37" ht="15.75" thickBot="1">
      <c r="A27" s="2818"/>
      <c r="B27" s="2822" t="s">
        <v>2909</v>
      </c>
      <c r="C27" s="927" t="e">
        <f>E30+SUM(I33:I39)</f>
        <v>#DIV/0!</v>
      </c>
      <c r="D27" s="2823"/>
      <c r="E27" s="2824"/>
      <c r="F27" s="2825"/>
      <c r="G27" s="2824"/>
      <c r="H27" s="2824"/>
      <c r="I27" s="2824"/>
      <c r="J27" s="2826"/>
      <c r="K27" s="1364"/>
      <c r="L27" s="2778" t="s">
        <v>2878</v>
      </c>
      <c r="M27" s="918">
        <v>0.25</v>
      </c>
      <c r="N27" s="918">
        <v>0.2</v>
      </c>
      <c r="O27" s="918">
        <v>0.15</v>
      </c>
      <c r="P27" s="1363">
        <v>0.1</v>
      </c>
      <c r="Q27" s="1370"/>
      <c r="R27" s="1370"/>
      <c r="S27" s="1370"/>
      <c r="T27" s="1365"/>
      <c r="U27" s="1365"/>
      <c r="V27" s="1365"/>
      <c r="W27" s="1364"/>
      <c r="X27" s="1364"/>
      <c r="Y27" s="1364"/>
      <c r="Z27" s="1371"/>
      <c r="AA27" s="1372"/>
      <c r="AB27" s="1372"/>
      <c r="AC27" s="1372"/>
      <c r="AD27" s="1372"/>
    </row>
    <row r="28" spans="1:37" ht="15.75" thickBot="1">
      <c r="A28" s="2827"/>
      <c r="B28" s="2828" t="s">
        <v>2910</v>
      </c>
      <c r="C28" s="2829" t="s">
        <v>2911</v>
      </c>
      <c r="D28" s="2829" t="s">
        <v>2912</v>
      </c>
      <c r="E28" s="2830" t="s">
        <v>2913</v>
      </c>
      <c r="F28" s="2831"/>
      <c r="G28" s="2758"/>
      <c r="H28" s="2758"/>
      <c r="I28" s="2758"/>
      <c r="J28" s="2759"/>
      <c r="K28" s="1364"/>
      <c r="L28" s="2779" t="s">
        <v>2881</v>
      </c>
      <c r="M28" s="211">
        <f ca="1">ROUND($E$20*(1+M27),3)</f>
        <v>5.3999999999999999E-2</v>
      </c>
      <c r="N28" s="211">
        <f ca="1">ROUND($E$20*(1+N27),3)</f>
        <v>5.1999999999999998E-2</v>
      </c>
      <c r="O28" s="211">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32"/>
      <c r="B29" s="2833" t="s">
        <v>2914</v>
      </c>
      <c r="C29" s="206" t="e">
        <f>ROUND(C5*C18*C19*C20*C21*C24,0)</f>
        <v>#DIV/0!</v>
      </c>
      <c r="D29" s="2834"/>
      <c r="E29" s="938" t="e">
        <f>ROUND(C29*D29/10000,0)</f>
        <v>#DIV/0!</v>
      </c>
      <c r="F29" s="2835" t="s">
        <v>2915</v>
      </c>
      <c r="G29" s="2836"/>
      <c r="H29" s="2836"/>
      <c r="I29" s="2836"/>
      <c r="J29" s="2837"/>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7"/>
      <c r="AH29" s="2717"/>
      <c r="AI29" s="2717"/>
      <c r="AJ29" s="2717"/>
    </row>
    <row r="30" spans="1:37" ht="25.5" thickBot="1">
      <c r="A30" s="2838"/>
      <c r="B30" s="2839" t="s">
        <v>2916</v>
      </c>
      <c r="C30" s="229" t="e">
        <f>ROUND(IF(E2="工业",C29*M39,C29*M38),0)</f>
        <v>#DIV/0!</v>
      </c>
      <c r="D30" s="2840"/>
      <c r="E30" s="938" t="e">
        <f>ROUND(C30*D30/10000,0)</f>
        <v>#DIV/0!</v>
      </c>
      <c r="F30" s="2841" t="s">
        <v>2917</v>
      </c>
      <c r="G30" s="2842"/>
      <c r="H30" s="2842"/>
      <c r="I30" s="2842"/>
      <c r="J30" s="2843"/>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7"/>
      <c r="AH30" s="2717"/>
      <c r="AI30" s="2717"/>
      <c r="AJ30" s="2717"/>
    </row>
    <row r="31" spans="1:37" ht="14.25">
      <c r="A31" s="2844"/>
      <c r="B31" s="2845" t="s">
        <v>2918</v>
      </c>
      <c r="C31" s="2846" t="s">
        <v>2919</v>
      </c>
      <c r="D31" s="2758"/>
      <c r="E31" s="2846"/>
      <c r="F31" s="2846"/>
      <c r="G31" s="2756" t="s">
        <v>2920</v>
      </c>
      <c r="H31" s="2758"/>
      <c r="I31" s="2847"/>
      <c r="J31" s="2759"/>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7"/>
      <c r="AH31" s="2717"/>
      <c r="AI31" s="2717"/>
      <c r="AJ31" s="2717"/>
    </row>
    <row r="32" spans="1:37" ht="24">
      <c r="A32" s="2832"/>
      <c r="B32" s="2848"/>
      <c r="C32" s="501" t="s">
        <v>2911</v>
      </c>
      <c r="D32" s="498" t="s">
        <v>2912</v>
      </c>
      <c r="E32" s="498" t="s">
        <v>2913</v>
      </c>
      <c r="F32" s="388" t="s">
        <v>2921</v>
      </c>
      <c r="G32" s="2849" t="s">
        <v>2911</v>
      </c>
      <c r="H32" s="2849" t="s">
        <v>2912</v>
      </c>
      <c r="I32" s="2849" t="s">
        <v>2913</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7"/>
      <c r="AH32" s="2717"/>
      <c r="AI32" s="2717"/>
      <c r="AJ32" s="2717"/>
    </row>
    <row r="33" spans="1:37" ht="36" customHeight="1">
      <c r="A33" s="3374" t="s">
        <v>2922</v>
      </c>
      <c r="B33" s="2850" t="s">
        <v>2923</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75"/>
      <c r="B34" s="2762" t="s">
        <v>2924</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75"/>
      <c r="B35" s="2762" t="s">
        <v>2925</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4"/>
      <c r="L35" s="1364"/>
      <c r="M35" s="1364"/>
      <c r="N35" s="1364"/>
      <c r="O35" s="1364"/>
      <c r="P35" s="1364"/>
      <c r="Q35" s="1364"/>
      <c r="R35" s="1364"/>
      <c r="S35" s="1364"/>
      <c r="T35" s="1364"/>
      <c r="U35" s="1364"/>
      <c r="V35" s="1364"/>
      <c r="W35" s="1364"/>
      <c r="X35" s="1364"/>
      <c r="Y35" s="1364"/>
      <c r="Z35" s="1365"/>
    </row>
    <row r="36" spans="1:37" ht="13.5" thickBot="1">
      <c r="A36" s="3376"/>
      <c r="B36" s="2762" t="s">
        <v>2926</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4"/>
      <c r="L36" s="2716"/>
      <c r="M36" s="2716"/>
      <c r="N36" s="1364"/>
      <c r="O36" s="1364"/>
      <c r="P36" s="1364"/>
      <c r="Q36" s="1364"/>
      <c r="R36" s="1364"/>
      <c r="S36" s="1364"/>
      <c r="T36" s="1364"/>
      <c r="U36" s="1364"/>
      <c r="V36" s="1364"/>
      <c r="W36" s="1364"/>
      <c r="X36" s="1364"/>
      <c r="Y36" s="1364"/>
      <c r="Z36" s="1365"/>
    </row>
    <row r="37" spans="1:37">
      <c r="A37" s="2852"/>
      <c r="B37" s="2762" t="s">
        <v>2927</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4"/>
      <c r="L37" s="2853" t="s">
        <v>2928</v>
      </c>
      <c r="M37" s="2854"/>
      <c r="N37" s="1364"/>
      <c r="O37" s="1364"/>
      <c r="P37" s="1364"/>
      <c r="Q37" s="1364"/>
      <c r="R37" s="1364"/>
      <c r="S37" s="1364"/>
      <c r="T37" s="1364"/>
      <c r="U37" s="1364"/>
      <c r="V37" s="1364"/>
      <c r="W37" s="1364"/>
      <c r="X37" s="1364"/>
      <c r="Y37" s="1364"/>
      <c r="Z37" s="1365"/>
    </row>
    <row r="38" spans="1:37">
      <c r="A38" s="2852"/>
      <c r="B38" s="2762" t="s">
        <v>2929</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4"/>
      <c r="L38" s="1881" t="s">
        <v>2930</v>
      </c>
      <c r="M38" s="2855">
        <v>0.25</v>
      </c>
      <c r="N38" s="1364"/>
      <c r="O38" s="1364"/>
      <c r="P38" s="1364"/>
      <c r="Q38" s="1364"/>
      <c r="R38" s="1364"/>
      <c r="S38" s="1364"/>
      <c r="T38" s="1364"/>
      <c r="U38" s="1364"/>
      <c r="V38" s="1364"/>
      <c r="W38" s="1364"/>
      <c r="X38" s="1364"/>
      <c r="Y38" s="1364"/>
      <c r="Z38" s="1365"/>
    </row>
    <row r="39" spans="1:37" ht="13.5" thickBot="1">
      <c r="A39" s="2838"/>
      <c r="B39" s="2856" t="s">
        <v>2931</v>
      </c>
      <c r="C39" s="229" t="e">
        <f>ROUND(D5*C19*C41*C24*F39,0)</f>
        <v>#DIV/0!</v>
      </c>
      <c r="D39" s="2840"/>
      <c r="E39" s="229" t="e">
        <f t="shared" si="7"/>
        <v>#DIV/0!</v>
      </c>
      <c r="F39" s="928">
        <f>SUMIF(修正!A45:A56,G2,修正!H45:H56)</f>
        <v>0</v>
      </c>
      <c r="G39" s="229" t="e">
        <f>ROUND(IF(E2="工业",C39*$M$39,C39*$M$38),0)</f>
        <v>#DIV/0!</v>
      </c>
      <c r="H39" s="229">
        <f t="shared" si="8"/>
        <v>0</v>
      </c>
      <c r="I39" s="229" t="e">
        <f t="shared" si="9"/>
        <v>#DIV/0!</v>
      </c>
      <c r="J39" s="2857"/>
      <c r="K39" s="1364"/>
      <c r="L39" s="2858" t="s">
        <v>2874</v>
      </c>
      <c r="M39" s="2859">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7" t="s">
        <v>3040</v>
      </c>
      <c r="C41" s="388" t="e">
        <f>ROUND(POWER(1+E41,H41-G41)*(POWER(1+E41,G41)-1)/(POWER(1+E41,H41)-1),4)</f>
        <v>#DIV/0!</v>
      </c>
      <c r="D41" s="200" t="s">
        <v>2881</v>
      </c>
      <c r="E41" s="2926">
        <f>G20</f>
        <v>0</v>
      </c>
      <c r="F41" s="200" t="s">
        <v>2890</v>
      </c>
      <c r="G41" s="218"/>
      <c r="H41" s="200">
        <v>50</v>
      </c>
      <c r="Z41" s="1365"/>
      <c r="AA41" s="1365"/>
      <c r="AB41" s="1365"/>
      <c r="AC41" s="1365"/>
      <c r="AD41" s="1365"/>
      <c r="AE41" s="1365"/>
      <c r="AF41" s="1365"/>
      <c r="AG41" s="1365"/>
      <c r="AH41" s="1365"/>
      <c r="AI41" s="1365"/>
      <c r="AJ41" s="1365"/>
    </row>
    <row r="42" spans="1:37" s="1364" customFormat="1">
      <c r="A42" s="1365"/>
      <c r="B42" s="2860"/>
      <c r="Z42" s="1365"/>
      <c r="AA42" s="1365"/>
      <c r="AB42" s="1365"/>
      <c r="AC42" s="1365"/>
      <c r="AD42" s="1365"/>
      <c r="AE42" s="1365"/>
      <c r="AF42" s="1365"/>
      <c r="AG42" s="1365"/>
      <c r="AH42" s="1365"/>
      <c r="AI42" s="1365"/>
      <c r="AJ42" s="1365"/>
    </row>
    <row r="43" spans="1:37" s="1364" customFormat="1">
      <c r="A43" s="1365"/>
      <c r="B43" s="2860"/>
      <c r="Z43" s="1365"/>
      <c r="AA43" s="1365"/>
      <c r="AB43" s="1365"/>
      <c r="AC43" s="1365"/>
      <c r="AD43" s="1365"/>
      <c r="AE43" s="1365"/>
      <c r="AF43" s="1365"/>
      <c r="AG43" s="1365"/>
      <c r="AH43" s="1365"/>
      <c r="AI43" s="1365"/>
      <c r="AJ43" s="1365"/>
    </row>
    <row r="44" spans="1:37" s="1364" customFormat="1">
      <c r="A44" s="1365"/>
      <c r="B44" s="2860"/>
      <c r="Z44" s="1365"/>
      <c r="AA44" s="1365"/>
      <c r="AB44" s="1365"/>
      <c r="AC44" s="1365"/>
      <c r="AD44" s="1365"/>
      <c r="AE44" s="1365"/>
      <c r="AF44" s="1365"/>
      <c r="AG44" s="1365"/>
      <c r="AH44" s="1365"/>
      <c r="AI44" s="1365"/>
      <c r="AJ44" s="1365"/>
    </row>
    <row r="45" spans="1:37" s="1364" customFormat="1" ht="15.75" thickBot="1">
      <c r="A45" s="2861" t="s">
        <v>2932</v>
      </c>
      <c r="B45" s="2862"/>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3" t="s">
        <v>2933</v>
      </c>
      <c r="B46" s="2864">
        <f>1+E48</f>
        <v>1</v>
      </c>
      <c r="C46" s="2865"/>
      <c r="D46" s="810"/>
      <c r="E46" s="811"/>
      <c r="F46" s="2866"/>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67" t="s">
        <v>2934</v>
      </c>
      <c r="B47" s="1803" t="s">
        <v>2935</v>
      </c>
      <c r="C47" s="1803" t="s">
        <v>2936</v>
      </c>
      <c r="D47" s="1803" t="s">
        <v>2937</v>
      </c>
      <c r="E47" s="815" t="s">
        <v>2938</v>
      </c>
      <c r="F47" s="2868" t="s">
        <v>2939</v>
      </c>
      <c r="G47" s="1803" t="s">
        <v>754</v>
      </c>
      <c r="H47" s="2869" t="s">
        <v>2940</v>
      </c>
      <c r="I47" s="1803" t="s">
        <v>2941</v>
      </c>
      <c r="J47" s="603" t="s">
        <v>2589</v>
      </c>
      <c r="K47" s="603" t="s">
        <v>2590</v>
      </c>
      <c r="L47" s="603" t="s">
        <v>2591</v>
      </c>
      <c r="M47" s="603" t="s">
        <v>2592</v>
      </c>
      <c r="N47" s="603" t="s">
        <v>2593</v>
      </c>
      <c r="AA47" s="1365"/>
      <c r="AB47" s="1365"/>
      <c r="AC47" s="1365"/>
      <c r="AD47" s="1365"/>
      <c r="AE47" s="1365"/>
      <c r="AF47" s="1365"/>
      <c r="AG47" s="1365"/>
      <c r="AH47" s="1365"/>
      <c r="AI47" s="1365"/>
      <c r="AJ47" s="1365"/>
      <c r="AK47" s="1365"/>
    </row>
    <row r="48" spans="1:37" s="1364" customFormat="1" ht="24.75">
      <c r="A48" s="2867" t="s">
        <v>2942</v>
      </c>
      <c r="B48" s="2870">
        <f>估价对象房地状况!C4</f>
        <v>0</v>
      </c>
      <c r="C48" s="2767"/>
      <c r="D48" s="1280">
        <f t="shared" ref="D48:D56" si="10">SUMIF($J$47:$N$47,C48,J48:N48)</f>
        <v>0</v>
      </c>
      <c r="E48" s="817">
        <f>ROUND(SUM(D48:D56),4)</f>
        <v>0</v>
      </c>
      <c r="F48" s="2498" t="str">
        <f>IF(E2="商业",SUMIF(L1:L12,G2,N1:N12),"——")</f>
        <v>——</v>
      </c>
      <c r="G48" s="1278"/>
      <c r="H48" s="1282" t="str">
        <f t="shared" ref="H48:H56" si="11">IFERROR(ROUNDDOWN($F$48*I48/2,4),"——")</f>
        <v>——</v>
      </c>
      <c r="I48" s="816">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67" t="s">
        <v>2943</v>
      </c>
      <c r="B49" s="2871">
        <f>估价对象房地状况!C18</f>
        <v>0</v>
      </c>
      <c r="C49" s="2767"/>
      <c r="D49" s="1280">
        <f t="shared" si="10"/>
        <v>0</v>
      </c>
      <c r="E49" s="818"/>
      <c r="F49" s="2498"/>
      <c r="G49" s="1278"/>
      <c r="H49" s="1282" t="str">
        <f t="shared" si="11"/>
        <v>——</v>
      </c>
      <c r="I49" s="816">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7" t="s">
        <v>2944</v>
      </c>
      <c r="B50" s="2871">
        <f>估价对象房地状况!C19</f>
        <v>0</v>
      </c>
      <c r="C50" s="2767"/>
      <c r="D50" s="1280">
        <f t="shared" si="10"/>
        <v>0</v>
      </c>
      <c r="E50" s="818"/>
      <c r="F50" s="2498"/>
      <c r="G50" s="1278"/>
      <c r="H50" s="1282" t="str">
        <f t="shared" si="11"/>
        <v>——</v>
      </c>
      <c r="I50" s="816">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7" t="s">
        <v>2945</v>
      </c>
      <c r="B51" s="2872" t="s">
        <v>2946</v>
      </c>
      <c r="C51" s="2767"/>
      <c r="D51" s="1280">
        <f t="shared" si="10"/>
        <v>0</v>
      </c>
      <c r="E51" s="818"/>
      <c r="F51" s="2498"/>
      <c r="G51" s="1278"/>
      <c r="H51" s="1282" t="str">
        <f t="shared" si="11"/>
        <v>——</v>
      </c>
      <c r="I51" s="816">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7" t="s">
        <v>2947</v>
      </c>
      <c r="B52" s="2871">
        <f>估价对象房地状况!C24</f>
        <v>0</v>
      </c>
      <c r="C52" s="2767"/>
      <c r="D52" s="1280">
        <f t="shared" si="10"/>
        <v>0</v>
      </c>
      <c r="E52" s="818"/>
      <c r="F52" s="2498"/>
      <c r="G52" s="1278"/>
      <c r="H52" s="1282" t="str">
        <f t="shared" si="11"/>
        <v>——</v>
      </c>
      <c r="I52" s="816">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7" t="s">
        <v>2948</v>
      </c>
      <c r="B53" s="2873" t="s">
        <v>2949</v>
      </c>
      <c r="C53" s="2767"/>
      <c r="D53" s="1280">
        <f t="shared" si="10"/>
        <v>0</v>
      </c>
      <c r="E53" s="818"/>
      <c r="F53" s="2498"/>
      <c r="G53" s="1278"/>
      <c r="H53" s="1282" t="str">
        <f t="shared" si="11"/>
        <v>——</v>
      </c>
      <c r="I53" s="816">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74" t="s">
        <v>2950</v>
      </c>
      <c r="B54" s="1719">
        <f>估价对象房地状况!C21</f>
        <v>0</v>
      </c>
      <c r="C54" s="2767"/>
      <c r="D54" s="1280">
        <f t="shared" si="10"/>
        <v>0</v>
      </c>
      <c r="E54" s="818"/>
      <c r="F54" s="2498"/>
      <c r="G54" s="1278"/>
      <c r="H54" s="1282" t="str">
        <f t="shared" si="11"/>
        <v>——</v>
      </c>
      <c r="I54" s="816">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4" t="s">
        <v>2951</v>
      </c>
      <c r="B55" s="2871">
        <f>估价对象房地状况!C22</f>
        <v>0</v>
      </c>
      <c r="C55" s="2767"/>
      <c r="D55" s="1280">
        <f t="shared" si="10"/>
        <v>0</v>
      </c>
      <c r="E55" s="818"/>
      <c r="F55" s="2498"/>
      <c r="G55" s="1278"/>
      <c r="H55" s="1282" t="str">
        <f t="shared" si="11"/>
        <v>——</v>
      </c>
      <c r="I55" s="816">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24.75" thickBot="1">
      <c r="A56" s="2875" t="s">
        <v>2952</v>
      </c>
      <c r="B56" s="2876">
        <f>估价对象房地状况!C20</f>
        <v>0</v>
      </c>
      <c r="C56" s="2767"/>
      <c r="D56" s="1280">
        <f t="shared" si="10"/>
        <v>0</v>
      </c>
      <c r="E56" s="821"/>
      <c r="F56" s="2498"/>
      <c r="G56" s="1278"/>
      <c r="H56" s="1282" t="str">
        <f t="shared" si="11"/>
        <v>——</v>
      </c>
      <c r="I56" s="820">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3" t="s">
        <v>2953</v>
      </c>
      <c r="B57" s="2864">
        <f>1+E59</f>
        <v>1</v>
      </c>
      <c r="C57" s="810"/>
      <c r="D57" s="810"/>
      <c r="E57" s="811"/>
      <c r="F57" s="2866"/>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7" t="s">
        <v>2934</v>
      </c>
      <c r="B58" s="1803"/>
      <c r="C58" s="1803" t="s">
        <v>2936</v>
      </c>
      <c r="D58" s="1803" t="s">
        <v>2937</v>
      </c>
      <c r="E58" s="815" t="s">
        <v>2938</v>
      </c>
      <c r="F58" s="2868" t="s">
        <v>2954</v>
      </c>
      <c r="G58" s="1803" t="s">
        <v>754</v>
      </c>
      <c r="H58" s="2869" t="s">
        <v>2940</v>
      </c>
      <c r="I58" s="1803" t="s">
        <v>2941</v>
      </c>
      <c r="J58" s="603" t="s">
        <v>2589</v>
      </c>
      <c r="K58" s="603" t="s">
        <v>2590</v>
      </c>
      <c r="L58" s="603" t="s">
        <v>2591</v>
      </c>
      <c r="M58" s="603" t="s">
        <v>2592</v>
      </c>
      <c r="N58" s="603" t="s">
        <v>2593</v>
      </c>
      <c r="AA58" s="1365"/>
      <c r="AB58" s="1365"/>
      <c r="AC58" s="1365"/>
      <c r="AD58" s="1365"/>
      <c r="AE58" s="1365"/>
      <c r="AF58" s="1365"/>
      <c r="AG58" s="1365"/>
      <c r="AH58" s="1365"/>
      <c r="AI58" s="1365"/>
      <c r="AJ58" s="1365"/>
      <c r="AK58" s="1365"/>
    </row>
    <row r="59" spans="1:37" s="1364" customFormat="1" ht="24">
      <c r="A59" s="2867" t="s">
        <v>2955</v>
      </c>
      <c r="B59" s="2870">
        <f>估价对象房地状况!C17</f>
        <v>0</v>
      </c>
      <c r="C59" s="2767"/>
      <c r="D59" s="1280">
        <f t="shared" ref="D59:D67" si="15">SUMIF($J$58:$N$58,C59,J59:N59)</f>
        <v>0</v>
      </c>
      <c r="E59" s="817">
        <f>ROUND(SUM(D59:D67),4)</f>
        <v>0</v>
      </c>
      <c r="F59" s="2498" t="str">
        <f>IF(E2="办公",SUMIF(L1:L12,G2,N1:N12),"——")</f>
        <v>——</v>
      </c>
      <c r="G59" s="1278"/>
      <c r="H59" s="1282" t="str">
        <f t="shared" ref="H59:H67" si="16">IFERROR(ROUNDDOWN($F$59*I59/2,4),"——")</f>
        <v>——</v>
      </c>
      <c r="I59" s="816">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67" t="s">
        <v>2943</v>
      </c>
      <c r="B60" s="2871">
        <f>估价对象房地状况!C18</f>
        <v>0</v>
      </c>
      <c r="C60" s="2767"/>
      <c r="D60" s="1280">
        <f t="shared" si="15"/>
        <v>0</v>
      </c>
      <c r="E60" s="818"/>
      <c r="F60" s="2498"/>
      <c r="G60" s="1278"/>
      <c r="H60" s="1282" t="str">
        <f t="shared" si="16"/>
        <v>——</v>
      </c>
      <c r="I60" s="816">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7" t="s">
        <v>2944</v>
      </c>
      <c r="B61" s="2871">
        <f>估价对象房地状况!C19</f>
        <v>0</v>
      </c>
      <c r="C61" s="2767"/>
      <c r="D61" s="1280">
        <f t="shared" si="15"/>
        <v>0</v>
      </c>
      <c r="E61" s="818"/>
      <c r="F61" s="2498"/>
      <c r="G61" s="1278"/>
      <c r="H61" s="1282" t="str">
        <f t="shared" si="16"/>
        <v>——</v>
      </c>
      <c r="I61" s="816">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7" t="s">
        <v>2945</v>
      </c>
      <c r="B62" s="2872" t="s">
        <v>2946</v>
      </c>
      <c r="C62" s="2767"/>
      <c r="D62" s="1280">
        <f t="shared" si="15"/>
        <v>0</v>
      </c>
      <c r="E62" s="818"/>
      <c r="F62" s="2498"/>
      <c r="G62" s="1278"/>
      <c r="H62" s="1282" t="str">
        <f t="shared" si="16"/>
        <v>——</v>
      </c>
      <c r="I62" s="816">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7" t="s">
        <v>2947</v>
      </c>
      <c r="B63" s="2871">
        <f>估价对象房地状况!C24</f>
        <v>0</v>
      </c>
      <c r="C63" s="2767"/>
      <c r="D63" s="1280">
        <f t="shared" si="15"/>
        <v>0</v>
      </c>
      <c r="E63" s="818"/>
      <c r="F63" s="2498"/>
      <c r="G63" s="1278"/>
      <c r="H63" s="1282" t="str">
        <f t="shared" si="16"/>
        <v>——</v>
      </c>
      <c r="I63" s="816">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7" t="s">
        <v>2948</v>
      </c>
      <c r="B64" s="2873" t="s">
        <v>2949</v>
      </c>
      <c r="C64" s="2767"/>
      <c r="D64" s="1280">
        <f t="shared" si="15"/>
        <v>0</v>
      </c>
      <c r="E64" s="818"/>
      <c r="F64" s="2498"/>
      <c r="G64" s="1278"/>
      <c r="H64" s="1282" t="str">
        <f t="shared" si="16"/>
        <v>——</v>
      </c>
      <c r="I64" s="816">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67" t="s">
        <v>2950</v>
      </c>
      <c r="B65" s="1719">
        <f>估价对象房地状况!C21</f>
        <v>0</v>
      </c>
      <c r="C65" s="2767"/>
      <c r="D65" s="1280">
        <f t="shared" si="15"/>
        <v>0</v>
      </c>
      <c r="E65" s="818"/>
      <c r="F65" s="2498"/>
      <c r="G65" s="1278"/>
      <c r="H65" s="1282" t="str">
        <f t="shared" si="16"/>
        <v>——</v>
      </c>
      <c r="I65" s="816">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7" t="s">
        <v>2951</v>
      </c>
      <c r="B66" s="1719">
        <f>估价对象房地状况!C22</f>
        <v>0</v>
      </c>
      <c r="C66" s="2767"/>
      <c r="D66" s="1280">
        <f t="shared" si="15"/>
        <v>0</v>
      </c>
      <c r="E66" s="818"/>
      <c r="F66" s="2498"/>
      <c r="G66" s="1278"/>
      <c r="H66" s="1282" t="str">
        <f t="shared" si="16"/>
        <v>——</v>
      </c>
      <c r="I66" s="816">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24.75" thickBot="1">
      <c r="A67" s="2875" t="s">
        <v>2952</v>
      </c>
      <c r="B67" s="2877">
        <f>估价对象房地状况!C20</f>
        <v>0</v>
      </c>
      <c r="C67" s="2767"/>
      <c r="D67" s="1280">
        <f t="shared" si="15"/>
        <v>0</v>
      </c>
      <c r="E67" s="821"/>
      <c r="F67" s="2498"/>
      <c r="G67" s="1278"/>
      <c r="H67" s="1282" t="str">
        <f t="shared" si="16"/>
        <v>——</v>
      </c>
      <c r="I67" s="820">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3" t="s">
        <v>2956</v>
      </c>
      <c r="B68" s="2864">
        <f>1+E70</f>
        <v>1</v>
      </c>
      <c r="C68" s="810"/>
      <c r="D68" s="810"/>
      <c r="E68" s="811"/>
      <c r="F68" s="2866"/>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7" t="s">
        <v>2934</v>
      </c>
      <c r="B69" s="1803"/>
      <c r="C69" s="1803" t="s">
        <v>2936</v>
      </c>
      <c r="D69" s="1803" t="s">
        <v>2937</v>
      </c>
      <c r="E69" s="815" t="s">
        <v>2938</v>
      </c>
      <c r="F69" s="2868" t="s">
        <v>2954</v>
      </c>
      <c r="G69" s="1803" t="s">
        <v>754</v>
      </c>
      <c r="H69" s="2869" t="s">
        <v>2940</v>
      </c>
      <c r="I69" s="1803" t="s">
        <v>2941</v>
      </c>
      <c r="J69" s="603" t="s">
        <v>2589</v>
      </c>
      <c r="K69" s="603" t="s">
        <v>2590</v>
      </c>
      <c r="L69" s="603" t="s">
        <v>2591</v>
      </c>
      <c r="M69" s="603" t="s">
        <v>2592</v>
      </c>
      <c r="N69" s="603" t="s">
        <v>2593</v>
      </c>
      <c r="AA69" s="1365"/>
      <c r="AB69" s="1365"/>
      <c r="AC69" s="1365"/>
      <c r="AD69" s="1365"/>
      <c r="AE69" s="1365"/>
      <c r="AF69" s="1365"/>
      <c r="AG69" s="1365"/>
      <c r="AH69" s="1365"/>
      <c r="AI69" s="1365"/>
      <c r="AJ69" s="1365"/>
      <c r="AK69" s="1365"/>
    </row>
    <row r="70" spans="1:37" s="1364" customFormat="1" ht="24">
      <c r="A70" s="2867" t="s">
        <v>2957</v>
      </c>
      <c r="B70" s="2870">
        <f>估价对象房地状况!C15</f>
        <v>0</v>
      </c>
      <c r="C70" s="2767"/>
      <c r="D70" s="1280">
        <f t="shared" ref="D70:D78" si="20">SUMIF($J$69:$N$69,C70,J70:N70)</f>
        <v>0</v>
      </c>
      <c r="E70" s="817">
        <f>ROUND(SUM(D70:D78),4)</f>
        <v>0</v>
      </c>
      <c r="F70" s="2498" t="str">
        <f>IF(E2="住宅",SUMIF(L1:L12,G2,N1:N12),"——")</f>
        <v>——</v>
      </c>
      <c r="G70" s="1278"/>
      <c r="H70" s="1282" t="str">
        <f t="shared" ref="H70:H78" si="21">IFERROR(ROUNDDOWN($F$70*I70/2,4),"——")</f>
        <v>——</v>
      </c>
      <c r="I70" s="816">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67" t="s">
        <v>2943</v>
      </c>
      <c r="B71" s="2871">
        <f>估价对象房地状况!C18</f>
        <v>0</v>
      </c>
      <c r="C71" s="2767"/>
      <c r="D71" s="1280">
        <f t="shared" si="20"/>
        <v>0</v>
      </c>
      <c r="E71" s="822"/>
      <c r="F71" s="2498"/>
      <c r="G71" s="1278"/>
      <c r="H71" s="1282" t="str">
        <f t="shared" si="21"/>
        <v>——</v>
      </c>
      <c r="I71" s="816">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7" t="s">
        <v>2944</v>
      </c>
      <c r="B72" s="2871">
        <f>估价对象房地状况!C19</f>
        <v>0</v>
      </c>
      <c r="C72" s="2767"/>
      <c r="D72" s="1280">
        <f t="shared" si="20"/>
        <v>0</v>
      </c>
      <c r="E72" s="822"/>
      <c r="F72" s="2498"/>
      <c r="G72" s="1278"/>
      <c r="H72" s="1282" t="str">
        <f t="shared" si="21"/>
        <v>——</v>
      </c>
      <c r="I72" s="816">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7" t="s">
        <v>2958</v>
      </c>
      <c r="B73" s="2871">
        <f>估价对象房地状况!C24</f>
        <v>0</v>
      </c>
      <c r="C73" s="2767"/>
      <c r="D73" s="1280">
        <f t="shared" si="20"/>
        <v>0</v>
      </c>
      <c r="E73" s="822"/>
      <c r="F73" s="2498"/>
      <c r="G73" s="1278"/>
      <c r="H73" s="1282" t="str">
        <f t="shared" si="21"/>
        <v>——</v>
      </c>
      <c r="I73" s="816">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67" t="s">
        <v>2950</v>
      </c>
      <c r="B74" s="1719">
        <f>估价对象房地状况!C21</f>
        <v>0</v>
      </c>
      <c r="C74" s="2767"/>
      <c r="D74" s="1280">
        <f t="shared" si="20"/>
        <v>0</v>
      </c>
      <c r="E74" s="822"/>
      <c r="F74" s="2498"/>
      <c r="G74" s="1278"/>
      <c r="H74" s="1282" t="str">
        <f t="shared" si="21"/>
        <v>——</v>
      </c>
      <c r="I74" s="816">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7" t="s">
        <v>2951</v>
      </c>
      <c r="B75" s="1719">
        <f>估价对象房地状况!C22</f>
        <v>0</v>
      </c>
      <c r="C75" s="2767"/>
      <c r="D75" s="1280">
        <f t="shared" si="20"/>
        <v>0</v>
      </c>
      <c r="E75" s="822"/>
      <c r="F75" s="2498"/>
      <c r="G75" s="1278"/>
      <c r="H75" s="1282" t="str">
        <f t="shared" si="21"/>
        <v>——</v>
      </c>
      <c r="I75" s="816">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6" customFormat="1" ht="24">
      <c r="A76" s="2867" t="s">
        <v>2948</v>
      </c>
      <c r="B76" s="2873" t="s">
        <v>2949</v>
      </c>
      <c r="C76" s="2767"/>
      <c r="D76" s="1280">
        <f t="shared" si="20"/>
        <v>0</v>
      </c>
      <c r="E76" s="822"/>
      <c r="F76" s="2498"/>
      <c r="G76" s="1278"/>
      <c r="H76" s="1282" t="str">
        <f t="shared" si="21"/>
        <v>——</v>
      </c>
      <c r="I76" s="816">
        <v>0.05</v>
      </c>
      <c r="J76" s="1279">
        <f t="shared" si="22"/>
        <v>0</v>
      </c>
      <c r="K76" s="1279">
        <f t="shared" si="23"/>
        <v>0</v>
      </c>
      <c r="L76" s="1279">
        <v>0</v>
      </c>
      <c r="M76" s="1279">
        <f t="shared" si="24"/>
        <v>0</v>
      </c>
      <c r="N76" s="1279">
        <f t="shared" si="24"/>
        <v>0</v>
      </c>
      <c r="AA76" s="2878"/>
      <c r="AB76" s="1365"/>
      <c r="AC76" s="1365"/>
      <c r="AD76" s="1365"/>
      <c r="AE76" s="1365"/>
      <c r="AF76" s="1365"/>
      <c r="AG76" s="1365"/>
      <c r="AH76" s="2878"/>
      <c r="AI76" s="2878"/>
      <c r="AJ76" s="2878"/>
      <c r="AK76" s="2878"/>
    </row>
    <row r="77" spans="1:37" ht="24">
      <c r="A77" s="2867" t="s">
        <v>2952</v>
      </c>
      <c r="B77" s="2870">
        <f>估价对象房地状况!C20</f>
        <v>0</v>
      </c>
      <c r="C77" s="2767"/>
      <c r="D77" s="1280">
        <f t="shared" si="20"/>
        <v>0</v>
      </c>
      <c r="E77" s="822"/>
      <c r="F77" s="2498"/>
      <c r="G77" s="1278"/>
      <c r="H77" s="1282" t="str">
        <f t="shared" si="21"/>
        <v>——</v>
      </c>
      <c r="I77" s="816">
        <v>0.15</v>
      </c>
      <c r="J77" s="1279">
        <f t="shared" si="22"/>
        <v>0</v>
      </c>
      <c r="K77" s="1279">
        <f t="shared" si="23"/>
        <v>0</v>
      </c>
      <c r="L77" s="1279">
        <v>0</v>
      </c>
      <c r="M77" s="1279">
        <f t="shared" si="24"/>
        <v>0</v>
      </c>
      <c r="N77" s="1279">
        <f t="shared" si="24"/>
        <v>0</v>
      </c>
      <c r="Z77" s="2717"/>
      <c r="AA77" s="2785"/>
      <c r="AG77" s="1366"/>
      <c r="AK77" s="2785"/>
    </row>
    <row r="78" spans="1:37" ht="24.75" thickBot="1">
      <c r="A78" s="2875" t="s">
        <v>2959</v>
      </c>
      <c r="B78" s="2879"/>
      <c r="C78" s="2767"/>
      <c r="D78" s="1280">
        <f t="shared" si="20"/>
        <v>0</v>
      </c>
      <c r="E78" s="823"/>
      <c r="F78" s="2498"/>
      <c r="G78" s="1278"/>
      <c r="H78" s="1282" t="str">
        <f t="shared" si="21"/>
        <v>——</v>
      </c>
      <c r="I78" s="820">
        <v>0.04</v>
      </c>
      <c r="J78" s="1279">
        <f t="shared" si="22"/>
        <v>0</v>
      </c>
      <c r="K78" s="1279">
        <f t="shared" si="23"/>
        <v>0</v>
      </c>
      <c r="L78" s="1279">
        <v>0</v>
      </c>
      <c r="M78" s="1279">
        <f t="shared" si="24"/>
        <v>0</v>
      </c>
      <c r="N78" s="1279">
        <f t="shared" si="24"/>
        <v>0</v>
      </c>
      <c r="Z78" s="2717"/>
      <c r="AA78" s="2785"/>
      <c r="AG78" s="1366"/>
      <c r="AK78" s="2785"/>
    </row>
    <row r="79" spans="1:37" ht="15">
      <c r="A79" s="2863" t="s">
        <v>2960</v>
      </c>
      <c r="B79" s="2864">
        <f>1+E81</f>
        <v>1</v>
      </c>
      <c r="C79" s="810"/>
      <c r="D79" s="810"/>
      <c r="E79" s="811"/>
      <c r="F79" s="2866"/>
      <c r="G79" s="6"/>
      <c r="H79" s="6"/>
      <c r="I79" s="6"/>
      <c r="J79" s="7"/>
      <c r="K79" s="7"/>
      <c r="L79" s="7"/>
      <c r="M79" s="7"/>
      <c r="N79" s="7"/>
      <c r="Z79" s="2717"/>
      <c r="AA79" s="2785"/>
      <c r="AG79" s="1366"/>
      <c r="AK79" s="2785"/>
    </row>
    <row r="80" spans="1:37" ht="24.75">
      <c r="A80" s="2867" t="s">
        <v>2934</v>
      </c>
      <c r="B80" s="1803"/>
      <c r="C80" s="1803" t="s">
        <v>2936</v>
      </c>
      <c r="D80" s="1803" t="s">
        <v>2937</v>
      </c>
      <c r="E80" s="815" t="s">
        <v>2938</v>
      </c>
      <c r="F80" s="2868" t="s">
        <v>2954</v>
      </c>
      <c r="G80" s="1803" t="s">
        <v>754</v>
      </c>
      <c r="H80" s="2869" t="s">
        <v>2940</v>
      </c>
      <c r="I80" s="1803" t="s">
        <v>2941</v>
      </c>
      <c r="J80" s="603" t="s">
        <v>2589</v>
      </c>
      <c r="K80" s="603" t="s">
        <v>2590</v>
      </c>
      <c r="L80" s="603" t="s">
        <v>2591</v>
      </c>
      <c r="M80" s="603" t="s">
        <v>2592</v>
      </c>
      <c r="N80" s="603" t="s">
        <v>2593</v>
      </c>
      <c r="Z80" s="2717"/>
      <c r="AA80" s="2785"/>
      <c r="AG80" s="1366"/>
      <c r="AK80" s="2785"/>
    </row>
    <row r="81" spans="1:37" ht="24">
      <c r="A81" s="2867" t="s">
        <v>2961</v>
      </c>
      <c r="B81" s="2871">
        <f>估价对象房地状况!G15</f>
        <v>0</v>
      </c>
      <c r="C81" s="2767"/>
      <c r="D81" s="1280">
        <f t="shared" ref="D81:D88" si="25">SUMIF($J$80:$N$80,C81,J81:N81)</f>
        <v>0</v>
      </c>
      <c r="E81" s="817">
        <f>ROUND(SUM(D81:D88),4)</f>
        <v>0</v>
      </c>
      <c r="F81" s="2498" t="str">
        <f>IF(E2="工业",SUMIF(L1:L12,G2,N1:N12),"——")</f>
        <v>——</v>
      </c>
      <c r="G81" s="1278"/>
      <c r="H81" s="1282" t="str">
        <f t="shared" ref="H81:H88" si="26">IFERROR(ROUNDDOWN($F$81*I81/2,4),"——")</f>
        <v>——</v>
      </c>
      <c r="I81" s="816">
        <v>0.26</v>
      </c>
      <c r="J81" s="1279">
        <f t="shared" ref="J81:J88" si="27">K81+$G81</f>
        <v>0</v>
      </c>
      <c r="K81" s="1279">
        <f t="shared" ref="K81:K88" si="28">$L81+$G81</f>
        <v>0</v>
      </c>
      <c r="L81" s="1279">
        <v>0</v>
      </c>
      <c r="M81" s="1279">
        <f t="shared" ref="M81:N88" si="29">L81-$G81</f>
        <v>0</v>
      </c>
      <c r="N81" s="1279">
        <f t="shared" si="29"/>
        <v>0</v>
      </c>
      <c r="Z81" s="2717"/>
      <c r="AA81" s="2785"/>
      <c r="AG81" s="1366"/>
      <c r="AK81" s="2785"/>
    </row>
    <row r="82" spans="1:37" ht="14.25">
      <c r="A82" s="2867" t="s">
        <v>2943</v>
      </c>
      <c r="B82" s="2871">
        <f>估价对象房地状况!G16</f>
        <v>0</v>
      </c>
      <c r="C82" s="2767"/>
      <c r="D82" s="1280">
        <f t="shared" si="25"/>
        <v>0</v>
      </c>
      <c r="E82" s="822"/>
      <c r="F82" s="2498"/>
      <c r="G82" s="1278"/>
      <c r="H82" s="1282" t="str">
        <f t="shared" si="26"/>
        <v>——</v>
      </c>
      <c r="I82" s="816">
        <v>0.33</v>
      </c>
      <c r="J82" s="1279">
        <f t="shared" si="27"/>
        <v>0</v>
      </c>
      <c r="K82" s="1279">
        <f t="shared" si="28"/>
        <v>0</v>
      </c>
      <c r="L82" s="1279">
        <v>0</v>
      </c>
      <c r="M82" s="1279">
        <f t="shared" si="29"/>
        <v>0</v>
      </c>
      <c r="N82" s="1279">
        <f t="shared" si="29"/>
        <v>0</v>
      </c>
      <c r="Z82" s="2717"/>
      <c r="AA82" s="2785"/>
      <c r="AG82" s="1366"/>
      <c r="AK82" s="2785"/>
    </row>
    <row r="83" spans="1:37" ht="24">
      <c r="A83" s="2867" t="s">
        <v>2944</v>
      </c>
      <c r="B83" s="2871">
        <f>估价对象房地状况!G17</f>
        <v>0</v>
      </c>
      <c r="C83" s="2767"/>
      <c r="D83" s="1280">
        <f t="shared" si="25"/>
        <v>0</v>
      </c>
      <c r="E83" s="822"/>
      <c r="F83" s="2498"/>
      <c r="G83" s="1278"/>
      <c r="H83" s="1282" t="str">
        <f t="shared" si="26"/>
        <v>——</v>
      </c>
      <c r="I83" s="816">
        <v>0.05</v>
      </c>
      <c r="J83" s="1279">
        <f t="shared" si="27"/>
        <v>0</v>
      </c>
      <c r="K83" s="1279">
        <f t="shared" si="28"/>
        <v>0</v>
      </c>
      <c r="L83" s="1279">
        <v>0</v>
      </c>
      <c r="M83" s="1279">
        <f t="shared" si="29"/>
        <v>0</v>
      </c>
      <c r="N83" s="1279">
        <f t="shared" si="29"/>
        <v>0</v>
      </c>
      <c r="Z83" s="2717"/>
      <c r="AA83" s="2785"/>
      <c r="AG83" s="1366"/>
      <c r="AK83" s="2785"/>
    </row>
    <row r="84" spans="1:37" ht="14.25">
      <c r="A84" s="2867" t="s">
        <v>2958</v>
      </c>
      <c r="B84" s="2871">
        <f>估价对象房地状况!G22</f>
        <v>0</v>
      </c>
      <c r="C84" s="2767"/>
      <c r="D84" s="1280">
        <f t="shared" si="25"/>
        <v>0</v>
      </c>
      <c r="E84" s="822"/>
      <c r="F84" s="2498"/>
      <c r="G84" s="1278"/>
      <c r="H84" s="1282" t="str">
        <f t="shared" si="26"/>
        <v>——</v>
      </c>
      <c r="I84" s="816">
        <v>0.04</v>
      </c>
      <c r="J84" s="1279">
        <f t="shared" si="27"/>
        <v>0</v>
      </c>
      <c r="K84" s="1279">
        <f t="shared" si="28"/>
        <v>0</v>
      </c>
      <c r="L84" s="1279">
        <v>0</v>
      </c>
      <c r="M84" s="1279">
        <f t="shared" si="29"/>
        <v>0</v>
      </c>
      <c r="N84" s="1279">
        <f t="shared" si="29"/>
        <v>0</v>
      </c>
      <c r="Z84" s="2717"/>
      <c r="AA84" s="2785"/>
      <c r="AG84" s="1366"/>
      <c r="AK84" s="2785"/>
    </row>
    <row r="85" spans="1:37" ht="24">
      <c r="A85" s="2867" t="s">
        <v>2950</v>
      </c>
      <c r="B85" s="1719">
        <f>估价对象房地状况!G19</f>
        <v>0</v>
      </c>
      <c r="C85" s="2767"/>
      <c r="D85" s="1280">
        <f t="shared" si="25"/>
        <v>0</v>
      </c>
      <c r="E85" s="822"/>
      <c r="F85" s="2498"/>
      <c r="G85" s="1278"/>
      <c r="H85" s="1282" t="str">
        <f t="shared" si="26"/>
        <v>——</v>
      </c>
      <c r="I85" s="816">
        <v>0.06</v>
      </c>
      <c r="J85" s="1279">
        <f t="shared" si="27"/>
        <v>0</v>
      </c>
      <c r="K85" s="1279">
        <f t="shared" si="28"/>
        <v>0</v>
      </c>
      <c r="L85" s="1279">
        <v>0</v>
      </c>
      <c r="M85" s="1279">
        <f t="shared" si="29"/>
        <v>0</v>
      </c>
      <c r="N85" s="1279">
        <f t="shared" si="29"/>
        <v>0</v>
      </c>
      <c r="Z85" s="2717"/>
      <c r="AA85" s="2785"/>
      <c r="AG85" s="1366"/>
      <c r="AK85" s="2785"/>
    </row>
    <row r="86" spans="1:37" ht="24">
      <c r="A86" s="2867" t="s">
        <v>2951</v>
      </c>
      <c r="B86" s="1719">
        <f>估价对象房地状况!G20</f>
        <v>0</v>
      </c>
      <c r="C86" s="2767"/>
      <c r="D86" s="1280">
        <f t="shared" si="25"/>
        <v>0</v>
      </c>
      <c r="E86" s="822"/>
      <c r="F86" s="2498"/>
      <c r="G86" s="1278"/>
      <c r="H86" s="1282" t="str">
        <f t="shared" si="26"/>
        <v>——</v>
      </c>
      <c r="I86" s="816">
        <v>0.15</v>
      </c>
      <c r="J86" s="1279">
        <f t="shared" si="27"/>
        <v>0</v>
      </c>
      <c r="K86" s="1279">
        <f t="shared" si="28"/>
        <v>0</v>
      </c>
      <c r="L86" s="1279">
        <v>0</v>
      </c>
      <c r="M86" s="1279">
        <f t="shared" si="29"/>
        <v>0</v>
      </c>
      <c r="N86" s="1279">
        <f t="shared" si="29"/>
        <v>0</v>
      </c>
      <c r="Z86" s="2717"/>
      <c r="AA86" s="2785"/>
      <c r="AG86" s="1366"/>
      <c r="AK86" s="2785"/>
    </row>
    <row r="87" spans="1:37" ht="24">
      <c r="A87" s="2867" t="s">
        <v>2948</v>
      </c>
      <c r="B87" s="2873" t="s">
        <v>2962</v>
      </c>
      <c r="C87" s="2767"/>
      <c r="D87" s="1280">
        <f t="shared" si="25"/>
        <v>0</v>
      </c>
      <c r="E87" s="822"/>
      <c r="F87" s="2498"/>
      <c r="G87" s="1278"/>
      <c r="H87" s="1282" t="str">
        <f t="shared" si="26"/>
        <v>——</v>
      </c>
      <c r="I87" s="816">
        <v>0.05</v>
      </c>
      <c r="J87" s="1279">
        <f t="shared" si="27"/>
        <v>0</v>
      </c>
      <c r="K87" s="1279">
        <f t="shared" si="28"/>
        <v>0</v>
      </c>
      <c r="L87" s="1279">
        <v>0</v>
      </c>
      <c r="M87" s="1279">
        <f t="shared" si="29"/>
        <v>0</v>
      </c>
      <c r="N87" s="1279">
        <f t="shared" si="29"/>
        <v>0</v>
      </c>
      <c r="Z87" s="2717"/>
      <c r="AA87" s="2785"/>
      <c r="AG87" s="1366"/>
      <c r="AK87" s="2785"/>
    </row>
    <row r="88" spans="1:37" ht="15" thickBot="1">
      <c r="A88" s="2875" t="s">
        <v>2963</v>
      </c>
      <c r="B88" s="2880">
        <f>估价对象房地状况!G18</f>
        <v>0</v>
      </c>
      <c r="C88" s="2767"/>
      <c r="D88" s="1280">
        <f t="shared" si="25"/>
        <v>0</v>
      </c>
      <c r="E88" s="823"/>
      <c r="F88" s="2498"/>
      <c r="G88" s="1278"/>
      <c r="H88" s="1282" t="str">
        <f t="shared" si="26"/>
        <v>——</v>
      </c>
      <c r="I88" s="820">
        <v>0.06</v>
      </c>
      <c r="J88" s="1279">
        <f t="shared" si="27"/>
        <v>0</v>
      </c>
      <c r="K88" s="1279">
        <f t="shared" si="28"/>
        <v>0</v>
      </c>
      <c r="L88" s="1279">
        <v>0</v>
      </c>
      <c r="M88" s="1279">
        <f t="shared" si="29"/>
        <v>0</v>
      </c>
      <c r="N88" s="1279">
        <f t="shared" si="29"/>
        <v>0</v>
      </c>
      <c r="Z88" s="2717"/>
      <c r="AA88" s="2785"/>
      <c r="AG88" s="1366"/>
      <c r="AK88" s="2785"/>
    </row>
    <row r="90" spans="1:37">
      <c r="A90" s="3368" t="s">
        <v>2964</v>
      </c>
      <c r="B90" s="3368"/>
      <c r="C90" s="3368"/>
      <c r="D90" s="3368"/>
      <c r="E90" s="3368"/>
      <c r="F90" s="3368"/>
      <c r="G90" s="3368"/>
      <c r="H90" s="3368"/>
      <c r="I90" s="3368"/>
      <c r="J90" s="3368"/>
      <c r="K90" s="2881"/>
      <c r="L90" s="2881"/>
      <c r="M90" s="2881"/>
      <c r="N90" s="2881"/>
    </row>
    <row r="91" spans="1:37">
      <c r="A91" s="3370" t="s">
        <v>2965</v>
      </c>
      <c r="B91" s="3370" t="s">
        <v>2966</v>
      </c>
      <c r="C91" s="2835" t="s">
        <v>2967</v>
      </c>
      <c r="D91" s="2836"/>
      <c r="E91" s="2836"/>
      <c r="F91" s="2836"/>
      <c r="G91" s="2836"/>
      <c r="H91" s="2836"/>
      <c r="I91" s="2836"/>
      <c r="J91" s="2882"/>
      <c r="K91" s="2883"/>
      <c r="L91" s="2883"/>
      <c r="M91" s="2883"/>
      <c r="N91" s="2883"/>
    </row>
    <row r="92" spans="1:37">
      <c r="A92" s="3370"/>
      <c r="B92" s="3370"/>
      <c r="C92" s="938" t="s">
        <v>2833</v>
      </c>
      <c r="D92" s="938" t="s">
        <v>2834</v>
      </c>
      <c r="E92" s="938" t="s">
        <v>2835</v>
      </c>
      <c r="F92" s="938" t="s">
        <v>2836</v>
      </c>
      <c r="G92" s="938" t="s">
        <v>2837</v>
      </c>
      <c r="H92" s="938" t="s">
        <v>2838</v>
      </c>
      <c r="I92" s="938" t="s">
        <v>2839</v>
      </c>
      <c r="J92" s="938" t="s">
        <v>2840</v>
      </c>
      <c r="K92" s="938" t="s">
        <v>2841</v>
      </c>
      <c r="L92" s="938" t="s">
        <v>2842</v>
      </c>
      <c r="M92" s="938" t="s">
        <v>2843</v>
      </c>
      <c r="N92" s="938" t="s">
        <v>2844</v>
      </c>
    </row>
    <row r="93" spans="1:37">
      <c r="A93" s="3371" t="s">
        <v>2968</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7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7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7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7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7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72"/>
      <c r="B99" s="2884" t="s">
        <v>2849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7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71" t="s">
        <v>2969</v>
      </c>
      <c r="B101" s="2888" t="s">
        <v>2970</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372"/>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372"/>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372"/>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372"/>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372"/>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372"/>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372"/>
      <c r="B108" s="3227" t="s">
        <v>2971</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73"/>
      <c r="B109" s="3228"/>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369" t="s">
        <v>2972</v>
      </c>
      <c r="B110" s="3369"/>
      <c r="C110" s="3369"/>
      <c r="D110" s="3369"/>
      <c r="E110" s="3369"/>
      <c r="F110" s="3369"/>
      <c r="G110" s="3369"/>
      <c r="H110" s="3369"/>
      <c r="I110" s="3369"/>
      <c r="J110" s="3369"/>
      <c r="K110" s="2890"/>
      <c r="L110" s="2890"/>
      <c r="M110" s="2890"/>
      <c r="N110" s="2890"/>
    </row>
    <row r="112" spans="1:14" ht="13.5" thickBot="1"/>
    <row r="113" spans="1:13" ht="25.5" thickBot="1">
      <c r="A113" s="899" t="s">
        <v>2973</v>
      </c>
      <c r="B113" s="1281" t="e">
        <f>G3</f>
        <v>#DIV/0!</v>
      </c>
      <c r="C113" s="900" t="s">
        <v>2974</v>
      </c>
      <c r="D113" s="901" t="e">
        <f>SUMPRODUCT((A115:A118=F113)*(B114:M114=H113)*B115:M118)</f>
        <v>#DIV/0!</v>
      </c>
      <c r="E113" s="2721" t="s">
        <v>2806</v>
      </c>
      <c r="F113" s="2892">
        <f>E2</f>
        <v>0</v>
      </c>
      <c r="G113" s="2721" t="s">
        <v>2807</v>
      </c>
      <c r="H113" s="2892">
        <f>G2</f>
        <v>0</v>
      </c>
      <c r="I113" s="2721"/>
      <c r="J113" s="2893"/>
      <c r="K113" s="2893"/>
      <c r="L113" s="2893"/>
      <c r="M113" s="2893"/>
    </row>
    <row r="114" spans="1:13">
      <c r="A114" s="904"/>
      <c r="B114" s="2894" t="s">
        <v>2975</v>
      </c>
      <c r="C114" s="2894" t="s">
        <v>2976</v>
      </c>
      <c r="D114" s="2894" t="s">
        <v>2977</v>
      </c>
      <c r="E114" s="2895" t="s">
        <v>2978</v>
      </c>
      <c r="F114" s="2895" t="s">
        <v>2979</v>
      </c>
      <c r="G114" s="2895" t="s">
        <v>2980</v>
      </c>
      <c r="H114" s="2896" t="s">
        <v>2981</v>
      </c>
      <c r="I114" s="2896" t="s">
        <v>2982</v>
      </c>
      <c r="J114" s="2897" t="s">
        <v>2983</v>
      </c>
      <c r="K114" s="2897" t="s">
        <v>2984</v>
      </c>
      <c r="L114" s="2897" t="s">
        <v>2985</v>
      </c>
      <c r="M114" s="2898" t="s">
        <v>2986</v>
      </c>
    </row>
    <row r="115" spans="1:13">
      <c r="A115" s="905" t="s">
        <v>2871</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2872</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2873</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1" t="s">
        <v>2874</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3042</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79" t="s">
        <v>183</v>
      </c>
      <c r="B18" s="878" t="s">
        <v>560</v>
      </c>
      <c r="C18" s="879" t="s">
        <v>561</v>
      </c>
      <c r="D18" s="880"/>
      <c r="E18" s="878">
        <v>1</v>
      </c>
      <c r="F18" s="881" t="s">
        <v>562</v>
      </c>
      <c r="G18" s="882"/>
      <c r="H18" s="874"/>
      <c r="I18" s="874"/>
    </row>
    <row r="19" spans="1:9" s="883" customFormat="1" ht="19.5" customHeight="1">
      <c r="A19" s="3379"/>
      <c r="B19" s="3379" t="s">
        <v>563</v>
      </c>
      <c r="C19" s="879" t="s">
        <v>564</v>
      </c>
      <c r="D19" s="880"/>
      <c r="E19" s="878">
        <v>0.9</v>
      </c>
      <c r="F19" s="881" t="s">
        <v>565</v>
      </c>
      <c r="G19" s="882"/>
      <c r="H19" s="874"/>
      <c r="I19" s="874"/>
    </row>
    <row r="20" spans="1:9" s="883" customFormat="1" ht="19.5" customHeight="1">
      <c r="A20" s="3379"/>
      <c r="B20" s="3379"/>
      <c r="C20" s="879" t="s">
        <v>566</v>
      </c>
      <c r="D20" s="880"/>
      <c r="E20" s="878">
        <v>1.1000000000000001</v>
      </c>
      <c r="F20" s="881" t="s">
        <v>567</v>
      </c>
      <c r="G20" s="882"/>
      <c r="H20" s="874"/>
      <c r="I20" s="874"/>
    </row>
    <row r="21" spans="1:9" s="883" customFormat="1" ht="19.5" customHeight="1">
      <c r="A21" s="3379"/>
      <c r="B21" s="3379"/>
      <c r="C21" s="879" t="s">
        <v>568</v>
      </c>
      <c r="D21" s="880"/>
      <c r="E21" s="878">
        <v>0.8</v>
      </c>
      <c r="F21" s="881" t="s">
        <v>569</v>
      </c>
      <c r="G21" s="882"/>
      <c r="H21" s="874"/>
      <c r="I21" s="874"/>
    </row>
    <row r="22" spans="1:9" s="883" customFormat="1" ht="19.5" customHeight="1">
      <c r="A22" s="3379"/>
      <c r="B22" s="3379"/>
      <c r="C22" s="879" t="s">
        <v>570</v>
      </c>
      <c r="D22" s="880"/>
      <c r="E22" s="878">
        <v>0.5</v>
      </c>
      <c r="F22" s="881"/>
      <c r="G22" s="882"/>
      <c r="H22" s="874"/>
      <c r="I22" s="874"/>
    </row>
    <row r="23" spans="1:9" s="883" customFormat="1" ht="19.5" customHeight="1">
      <c r="A23" s="3379" t="s">
        <v>184</v>
      </c>
      <c r="B23" s="878" t="s">
        <v>560</v>
      </c>
      <c r="C23" s="879" t="s">
        <v>571</v>
      </c>
      <c r="D23" s="880"/>
      <c r="E23" s="878">
        <v>1</v>
      </c>
      <c r="F23" s="881" t="s">
        <v>572</v>
      </c>
      <c r="G23" s="882"/>
      <c r="H23" s="874"/>
      <c r="I23" s="874"/>
    </row>
    <row r="24" spans="1:9" s="883" customFormat="1" ht="19.5" customHeight="1">
      <c r="A24" s="3379"/>
      <c r="B24" s="3379" t="s">
        <v>563</v>
      </c>
      <c r="C24" s="879" t="s">
        <v>573</v>
      </c>
      <c r="D24" s="880"/>
      <c r="E24" s="878">
        <v>0.5</v>
      </c>
      <c r="F24" s="881"/>
      <c r="G24" s="882"/>
      <c r="H24" s="874"/>
      <c r="I24" s="874"/>
    </row>
    <row r="25" spans="1:9" s="883" customFormat="1" ht="19.5" customHeight="1">
      <c r="A25" s="3379"/>
      <c r="B25" s="3379"/>
      <c r="C25" s="879" t="s">
        <v>574</v>
      </c>
      <c r="D25" s="880"/>
      <c r="E25" s="878">
        <v>1.1000000000000001</v>
      </c>
      <c r="F25" s="881"/>
      <c r="G25" s="882"/>
      <c r="H25" s="874"/>
      <c r="I25" s="874"/>
    </row>
    <row r="26" spans="1:9" s="883" customFormat="1" ht="19.5" customHeight="1">
      <c r="A26" s="3379"/>
      <c r="B26" s="3379"/>
      <c r="C26" s="879" t="s">
        <v>575</v>
      </c>
      <c r="D26" s="880"/>
      <c r="E26" s="878">
        <v>1.1000000000000001</v>
      </c>
      <c r="F26" s="881"/>
      <c r="G26" s="882"/>
      <c r="H26" s="874"/>
      <c r="I26" s="874"/>
    </row>
    <row r="27" spans="1:9" s="883" customFormat="1" ht="19.5" customHeight="1">
      <c r="A27" s="3379"/>
      <c r="B27" s="3379"/>
      <c r="C27" s="879" t="s">
        <v>576</v>
      </c>
      <c r="D27" s="880"/>
      <c r="E27" s="878">
        <v>0.9</v>
      </c>
      <c r="F27" s="881" t="s">
        <v>577</v>
      </c>
      <c r="G27" s="882"/>
      <c r="H27" s="874"/>
      <c r="I27" s="874"/>
    </row>
    <row r="28" spans="1:9" s="883" customFormat="1" ht="19.5" customHeight="1">
      <c r="A28" s="3379"/>
      <c r="B28" s="3379"/>
      <c r="C28" s="879" t="s">
        <v>578</v>
      </c>
      <c r="D28" s="880"/>
      <c r="E28" s="878">
        <v>0.9</v>
      </c>
      <c r="F28" s="881" t="s">
        <v>579</v>
      </c>
      <c r="G28" s="882"/>
      <c r="H28" s="874"/>
      <c r="I28" s="874"/>
    </row>
    <row r="29" spans="1:9" s="883" customFormat="1" ht="19.5" customHeight="1">
      <c r="A29" s="3379"/>
      <c r="B29" s="3379"/>
      <c r="C29" s="879" t="s">
        <v>580</v>
      </c>
      <c r="D29" s="880"/>
      <c r="E29" s="878">
        <v>0.9</v>
      </c>
      <c r="F29" s="881" t="s">
        <v>581</v>
      </c>
      <c r="G29" s="882"/>
      <c r="H29" s="874"/>
      <c r="I29" s="874"/>
    </row>
    <row r="30" spans="1:9" s="883" customFormat="1" ht="19.5" customHeight="1">
      <c r="A30" s="3379"/>
      <c r="B30" s="3379"/>
      <c r="C30" s="879" t="s">
        <v>582</v>
      </c>
      <c r="D30" s="880"/>
      <c r="E30" s="878">
        <v>0.9</v>
      </c>
      <c r="F30" s="881" t="s">
        <v>583</v>
      </c>
      <c r="G30" s="882"/>
      <c r="H30" s="874"/>
      <c r="I30" s="874"/>
    </row>
    <row r="31" spans="1:9" s="883" customFormat="1" ht="19.5" customHeight="1">
      <c r="A31" s="3379"/>
      <c r="B31" s="3379"/>
      <c r="C31" s="879" t="s">
        <v>584</v>
      </c>
      <c r="D31" s="880"/>
      <c r="E31" s="878">
        <v>0.8</v>
      </c>
      <c r="F31" s="881" t="s">
        <v>585</v>
      </c>
      <c r="G31" s="882"/>
      <c r="H31" s="874"/>
      <c r="I31" s="874"/>
    </row>
    <row r="32" spans="1:9" s="883" customFormat="1" ht="19.5" customHeight="1">
      <c r="A32" s="3379"/>
      <c r="B32" s="3379"/>
      <c r="C32" s="879" t="s">
        <v>586</v>
      </c>
      <c r="D32" s="880"/>
      <c r="E32" s="878">
        <v>0.8</v>
      </c>
      <c r="F32" s="881" t="s">
        <v>587</v>
      </c>
      <c r="G32" s="882"/>
      <c r="H32" s="874"/>
      <c r="I32" s="874"/>
    </row>
    <row r="33" spans="1:9" s="883" customFormat="1" ht="19.5" customHeight="1">
      <c r="A33" s="3379" t="s">
        <v>185</v>
      </c>
      <c r="B33" s="878" t="s">
        <v>560</v>
      </c>
      <c r="C33" s="879" t="s">
        <v>588</v>
      </c>
      <c r="D33" s="880"/>
      <c r="E33" s="878">
        <v>1</v>
      </c>
      <c r="F33" s="881" t="s">
        <v>589</v>
      </c>
      <c r="G33" s="882"/>
      <c r="H33" s="874"/>
      <c r="I33" s="874"/>
    </row>
    <row r="34" spans="1:9" s="883" customFormat="1" ht="19.5" customHeight="1">
      <c r="A34" s="3379"/>
      <c r="B34" s="878" t="s">
        <v>563</v>
      </c>
      <c r="C34" s="879" t="s">
        <v>590</v>
      </c>
      <c r="D34" s="880"/>
      <c r="E34" s="878">
        <v>1.5</v>
      </c>
      <c r="F34" s="881" t="s">
        <v>591</v>
      </c>
      <c r="G34" s="882"/>
      <c r="H34" s="874"/>
      <c r="I34" s="874"/>
    </row>
    <row r="35" spans="1:9" s="883" customFormat="1" ht="19.5" customHeight="1">
      <c r="A35" s="3379" t="s">
        <v>186</v>
      </c>
      <c r="B35" s="878" t="s">
        <v>560</v>
      </c>
      <c r="C35" s="879" t="s">
        <v>592</v>
      </c>
      <c r="D35" s="880"/>
      <c r="E35" s="878">
        <v>1</v>
      </c>
      <c r="F35" s="881" t="s">
        <v>593</v>
      </c>
      <c r="G35" s="882"/>
      <c r="H35" s="874"/>
      <c r="I35" s="874"/>
    </row>
    <row r="36" spans="1:9" s="883" customFormat="1" ht="19.5" customHeight="1">
      <c r="A36" s="3379"/>
      <c r="B36" s="3379" t="s">
        <v>563</v>
      </c>
      <c r="C36" s="879" t="s">
        <v>594</v>
      </c>
      <c r="D36" s="880"/>
      <c r="E36" s="878">
        <v>1</v>
      </c>
      <c r="F36" s="881" t="s">
        <v>595</v>
      </c>
      <c r="G36" s="882"/>
      <c r="H36" s="874"/>
      <c r="I36" s="874"/>
    </row>
    <row r="37" spans="1:9" s="883" customFormat="1" ht="19.5" customHeight="1">
      <c r="A37" s="3379"/>
      <c r="B37" s="3379"/>
      <c r="C37" s="879" t="s">
        <v>596</v>
      </c>
      <c r="D37" s="880"/>
      <c r="E37" s="878">
        <v>1.5</v>
      </c>
      <c r="F37" s="881" t="s">
        <v>597</v>
      </c>
      <c r="G37" s="882"/>
      <c r="H37" s="874"/>
      <c r="I37" s="874"/>
    </row>
    <row r="38" spans="1:9" s="883" customFormat="1" ht="19.5" customHeight="1">
      <c r="A38" s="3379"/>
      <c r="B38" s="3379"/>
      <c r="C38" s="879" t="s">
        <v>598</v>
      </c>
      <c r="D38" s="880"/>
      <c r="E38" s="878">
        <v>1</v>
      </c>
      <c r="F38" s="881" t="s">
        <v>599</v>
      </c>
      <c r="G38" s="882"/>
      <c r="H38" s="874"/>
      <c r="I38" s="874"/>
    </row>
    <row r="39" spans="1:9" s="883" customFormat="1" ht="19.5" customHeight="1">
      <c r="A39" s="3379"/>
      <c r="B39" s="3379"/>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79" t="s">
        <v>614</v>
      </c>
      <c r="C61" s="814" t="s">
        <v>615</v>
      </c>
      <c r="D61" s="814" t="s">
        <v>616</v>
      </c>
      <c r="E61" s="891">
        <v>0.5</v>
      </c>
      <c r="F61" s="878">
        <v>80</v>
      </c>
    </row>
    <row r="62" spans="1:8" s="874" customFormat="1" ht="24">
      <c r="A62" s="878">
        <v>2</v>
      </c>
      <c r="B62" s="3379"/>
      <c r="C62" s="814" t="s">
        <v>617</v>
      </c>
      <c r="D62" s="814" t="s">
        <v>618</v>
      </c>
      <c r="E62" s="891">
        <v>0.5</v>
      </c>
      <c r="F62" s="878">
        <v>80</v>
      </c>
    </row>
    <row r="63" spans="1:8" s="874" customFormat="1" ht="36">
      <c r="A63" s="878">
        <v>3</v>
      </c>
      <c r="B63" s="3379"/>
      <c r="C63" s="814" t="s">
        <v>619</v>
      </c>
      <c r="D63" s="814" t="s">
        <v>620</v>
      </c>
      <c r="E63" s="891">
        <v>0.5</v>
      </c>
      <c r="F63" s="878">
        <v>80</v>
      </c>
    </row>
    <row r="64" spans="1:8" s="874" customFormat="1" ht="36">
      <c r="A64" s="878">
        <v>4</v>
      </c>
      <c r="B64" s="3379"/>
      <c r="C64" s="814" t="s">
        <v>621</v>
      </c>
      <c r="D64" s="814" t="s">
        <v>622</v>
      </c>
      <c r="E64" s="891">
        <v>0.4</v>
      </c>
      <c r="F64" s="878">
        <v>60</v>
      </c>
    </row>
    <row r="65" spans="1:6" s="874" customFormat="1" ht="36">
      <c r="A65" s="878">
        <v>5</v>
      </c>
      <c r="B65" s="3379"/>
      <c r="C65" s="814" t="s">
        <v>623</v>
      </c>
      <c r="D65" s="814" t="s">
        <v>624</v>
      </c>
      <c r="E65" s="891">
        <v>0.2</v>
      </c>
      <c r="F65" s="878">
        <v>30</v>
      </c>
    </row>
    <row r="66" spans="1:6" s="874" customFormat="1" ht="36">
      <c r="A66" s="878">
        <v>6</v>
      </c>
      <c r="B66" s="3379"/>
      <c r="C66" s="814" t="s">
        <v>625</v>
      </c>
      <c r="D66" s="814" t="s">
        <v>626</v>
      </c>
      <c r="E66" s="891">
        <v>0.3</v>
      </c>
      <c r="F66" s="878">
        <v>50</v>
      </c>
    </row>
    <row r="67" spans="1:6" s="874" customFormat="1" ht="36">
      <c r="A67" s="878">
        <v>7</v>
      </c>
      <c r="B67" s="3379"/>
      <c r="C67" s="814" t="s">
        <v>627</v>
      </c>
      <c r="D67" s="814" t="s">
        <v>628</v>
      </c>
      <c r="E67" s="891">
        <v>0.2</v>
      </c>
      <c r="F67" s="878">
        <v>30</v>
      </c>
    </row>
    <row r="68" spans="1:6" s="874" customFormat="1" ht="36">
      <c r="A68" s="878">
        <v>8</v>
      </c>
      <c r="B68" s="3379"/>
      <c r="C68" s="814" t="s">
        <v>629</v>
      </c>
      <c r="D68" s="814" t="s">
        <v>630</v>
      </c>
      <c r="E68" s="891">
        <v>0.2</v>
      </c>
      <c r="F68" s="878">
        <v>30</v>
      </c>
    </row>
    <row r="69" spans="1:6" s="874" customFormat="1" ht="36">
      <c r="A69" s="878">
        <v>9</v>
      </c>
      <c r="B69" s="3379"/>
      <c r="C69" s="814" t="s">
        <v>631</v>
      </c>
      <c r="D69" s="814" t="s">
        <v>632</v>
      </c>
      <c r="E69" s="891">
        <v>0.2</v>
      </c>
      <c r="F69" s="878">
        <v>30</v>
      </c>
    </row>
    <row r="70" spans="1:6" s="874" customFormat="1" ht="48">
      <c r="A70" s="878">
        <v>10</v>
      </c>
      <c r="B70" s="3379"/>
      <c r="C70" s="814" t="s">
        <v>633</v>
      </c>
      <c r="D70" s="814" t="s">
        <v>634</v>
      </c>
      <c r="E70" s="891">
        <v>0.2</v>
      </c>
      <c r="F70" s="878">
        <v>30</v>
      </c>
    </row>
    <row r="71" spans="1:6" s="874" customFormat="1" ht="48">
      <c r="A71" s="878">
        <v>11</v>
      </c>
      <c r="B71" s="3379"/>
      <c r="C71" s="814" t="s">
        <v>635</v>
      </c>
      <c r="D71" s="814" t="s">
        <v>636</v>
      </c>
      <c r="E71" s="891">
        <v>0.2</v>
      </c>
      <c r="F71" s="878">
        <v>30</v>
      </c>
    </row>
    <row r="72" spans="1:6" s="874" customFormat="1" ht="36">
      <c r="A72" s="878">
        <v>12</v>
      </c>
      <c r="B72" s="3379"/>
      <c r="C72" s="814" t="s">
        <v>637</v>
      </c>
      <c r="D72" s="814" t="s">
        <v>638</v>
      </c>
      <c r="E72" s="891">
        <v>0.5</v>
      </c>
      <c r="F72" s="878">
        <v>80</v>
      </c>
    </row>
    <row r="73" spans="1:6" s="874" customFormat="1" ht="24">
      <c r="A73" s="878">
        <v>13</v>
      </c>
      <c r="B73" s="3379"/>
      <c r="C73" s="814" t="s">
        <v>639</v>
      </c>
      <c r="D73" s="814" t="s">
        <v>640</v>
      </c>
      <c r="E73" s="891">
        <v>0.4</v>
      </c>
      <c r="F73" s="878">
        <v>60</v>
      </c>
    </row>
    <row r="74" spans="1:6" s="874" customFormat="1" ht="24">
      <c r="A74" s="878">
        <v>14</v>
      </c>
      <c r="B74" s="3379"/>
      <c r="C74" s="814" t="s">
        <v>641</v>
      </c>
      <c r="D74" s="814" t="s">
        <v>642</v>
      </c>
      <c r="E74" s="891">
        <v>0.2</v>
      </c>
      <c r="F74" s="878">
        <v>30</v>
      </c>
    </row>
    <row r="75" spans="1:6" s="874" customFormat="1" ht="24">
      <c r="A75" s="878">
        <v>15</v>
      </c>
      <c r="B75" s="3379"/>
      <c r="C75" s="814" t="s">
        <v>643</v>
      </c>
      <c r="D75" s="814" t="s">
        <v>644</v>
      </c>
      <c r="E75" s="891">
        <v>0.2</v>
      </c>
      <c r="F75" s="878">
        <v>30</v>
      </c>
    </row>
    <row r="76" spans="1:6" s="874" customFormat="1" ht="24">
      <c r="A76" s="878">
        <v>16</v>
      </c>
      <c r="B76" s="3379" t="s">
        <v>645</v>
      </c>
      <c r="C76" s="814" t="s">
        <v>646</v>
      </c>
      <c r="D76" s="814" t="s">
        <v>647</v>
      </c>
      <c r="E76" s="891">
        <v>0.5</v>
      </c>
      <c r="F76" s="878">
        <v>80</v>
      </c>
    </row>
    <row r="77" spans="1:6" s="874" customFormat="1" ht="24">
      <c r="A77" s="878">
        <v>17</v>
      </c>
      <c r="B77" s="3379"/>
      <c r="C77" s="814" t="s">
        <v>648</v>
      </c>
      <c r="D77" s="814" t="s">
        <v>649</v>
      </c>
      <c r="E77" s="891">
        <v>0.5</v>
      </c>
      <c r="F77" s="878">
        <v>80</v>
      </c>
    </row>
    <row r="78" spans="1:6" s="874" customFormat="1" ht="24">
      <c r="A78" s="878">
        <v>18</v>
      </c>
      <c r="B78" s="3379"/>
      <c r="C78" s="814" t="s">
        <v>650</v>
      </c>
      <c r="D78" s="814" t="s">
        <v>651</v>
      </c>
      <c r="E78" s="891">
        <v>0.2</v>
      </c>
      <c r="F78" s="878">
        <v>30</v>
      </c>
    </row>
    <row r="79" spans="1:6" s="874" customFormat="1" ht="24">
      <c r="A79" s="878">
        <v>19</v>
      </c>
      <c r="B79" s="3379"/>
      <c r="C79" s="814" t="s">
        <v>652</v>
      </c>
      <c r="D79" s="814" t="s">
        <v>653</v>
      </c>
      <c r="E79" s="891">
        <v>0.5</v>
      </c>
      <c r="F79" s="878">
        <v>80</v>
      </c>
    </row>
    <row r="80" spans="1:6" s="874" customFormat="1" ht="36">
      <c r="A80" s="878">
        <v>20</v>
      </c>
      <c r="B80" s="3379"/>
      <c r="C80" s="814" t="s">
        <v>654</v>
      </c>
      <c r="D80" s="814" t="s">
        <v>655</v>
      </c>
      <c r="E80" s="891">
        <v>0.2</v>
      </c>
      <c r="F80" s="878">
        <v>30</v>
      </c>
    </row>
    <row r="81" spans="1:6" s="874" customFormat="1" ht="36">
      <c r="A81" s="878">
        <v>21</v>
      </c>
      <c r="B81" s="3379"/>
      <c r="C81" s="814" t="s">
        <v>656</v>
      </c>
      <c r="D81" s="814" t="s">
        <v>657</v>
      </c>
      <c r="E81" s="891">
        <v>0.2</v>
      </c>
      <c r="F81" s="878">
        <v>30</v>
      </c>
    </row>
    <row r="82" spans="1:6" s="874" customFormat="1" ht="48">
      <c r="A82" s="878">
        <v>22</v>
      </c>
      <c r="B82" s="3379"/>
      <c r="C82" s="814" t="s">
        <v>658</v>
      </c>
      <c r="D82" s="814" t="s">
        <v>659</v>
      </c>
      <c r="E82" s="891">
        <v>0.2</v>
      </c>
      <c r="F82" s="878">
        <v>30</v>
      </c>
    </row>
    <row r="83" spans="1:6" s="874" customFormat="1" ht="48">
      <c r="A83" s="878">
        <v>23</v>
      </c>
      <c r="B83" s="3379"/>
      <c r="C83" s="814" t="s">
        <v>660</v>
      </c>
      <c r="D83" s="814" t="s">
        <v>661</v>
      </c>
      <c r="E83" s="891">
        <v>0.2</v>
      </c>
      <c r="F83" s="878">
        <v>30</v>
      </c>
    </row>
    <row r="84" spans="1:6" s="874" customFormat="1" ht="36">
      <c r="A84" s="878">
        <v>24</v>
      </c>
      <c r="B84" s="3379"/>
      <c r="C84" s="814" t="s">
        <v>662</v>
      </c>
      <c r="D84" s="814" t="s">
        <v>663</v>
      </c>
      <c r="E84" s="891">
        <v>0.2</v>
      </c>
      <c r="F84" s="878">
        <v>30</v>
      </c>
    </row>
    <row r="85" spans="1:6" s="874" customFormat="1" ht="36">
      <c r="A85" s="878">
        <v>25</v>
      </c>
      <c r="B85" s="3379"/>
      <c r="C85" s="814" t="s">
        <v>664</v>
      </c>
      <c r="D85" s="814" t="s">
        <v>665</v>
      </c>
      <c r="E85" s="891">
        <v>0.5</v>
      </c>
      <c r="F85" s="878">
        <v>80</v>
      </c>
    </row>
    <row r="86" spans="1:6" s="874" customFormat="1" ht="36">
      <c r="A86" s="878">
        <v>26</v>
      </c>
      <c r="B86" s="3379"/>
      <c r="C86" s="814" t="s">
        <v>666</v>
      </c>
      <c r="D86" s="814" t="s">
        <v>667</v>
      </c>
      <c r="E86" s="891">
        <v>0.2</v>
      </c>
      <c r="F86" s="878">
        <v>30</v>
      </c>
    </row>
    <row r="87" spans="1:6" s="874" customFormat="1" ht="36">
      <c r="A87" s="878">
        <v>27</v>
      </c>
      <c r="B87" s="3379"/>
      <c r="C87" s="814" t="s">
        <v>668</v>
      </c>
      <c r="D87" s="814" t="s">
        <v>669</v>
      </c>
      <c r="E87" s="891">
        <v>0.2</v>
      </c>
      <c r="F87" s="878">
        <v>30</v>
      </c>
    </row>
    <row r="88" spans="1:6" s="874" customFormat="1" ht="36">
      <c r="A88" s="878">
        <v>28</v>
      </c>
      <c r="B88" s="3379"/>
      <c r="C88" s="814" t="s">
        <v>670</v>
      </c>
      <c r="D88" s="814" t="s">
        <v>671</v>
      </c>
      <c r="E88" s="891">
        <v>0.2</v>
      </c>
      <c r="F88" s="878">
        <v>30</v>
      </c>
    </row>
    <row r="89" spans="1:6" s="874" customFormat="1" ht="24">
      <c r="A89" s="878">
        <v>29</v>
      </c>
      <c r="B89" s="3379"/>
      <c r="C89" s="814" t="s">
        <v>672</v>
      </c>
      <c r="D89" s="814" t="s">
        <v>673</v>
      </c>
      <c r="E89" s="891">
        <v>0.2</v>
      </c>
      <c r="F89" s="878">
        <v>30</v>
      </c>
    </row>
    <row r="90" spans="1:6" s="874" customFormat="1" ht="24">
      <c r="A90" s="878">
        <v>30</v>
      </c>
      <c r="B90" s="3379"/>
      <c r="C90" s="814" t="s">
        <v>674</v>
      </c>
      <c r="D90" s="814" t="s">
        <v>675</v>
      </c>
      <c r="E90" s="891">
        <v>0.2</v>
      </c>
      <c r="F90" s="878">
        <v>30</v>
      </c>
    </row>
    <row r="91" spans="1:6" s="874" customFormat="1" ht="36">
      <c r="A91" s="878">
        <v>31</v>
      </c>
      <c r="B91" s="3379"/>
      <c r="C91" s="814" t="s">
        <v>676</v>
      </c>
      <c r="D91" s="814" t="s">
        <v>677</v>
      </c>
      <c r="E91" s="891">
        <v>0.2</v>
      </c>
      <c r="F91" s="878">
        <v>30</v>
      </c>
    </row>
    <row r="92" spans="1:6" s="874" customFormat="1" ht="24">
      <c r="A92" s="878">
        <v>32</v>
      </c>
      <c r="B92" s="3379" t="s">
        <v>678</v>
      </c>
      <c r="C92" s="878" t="s">
        <v>679</v>
      </c>
      <c r="D92" s="814" t="s">
        <v>680</v>
      </c>
      <c r="E92" s="891">
        <v>0.2</v>
      </c>
      <c r="F92" s="878">
        <v>30</v>
      </c>
    </row>
    <row r="93" spans="1:6" s="874" customFormat="1" ht="36">
      <c r="A93" s="878">
        <v>33</v>
      </c>
      <c r="B93" s="3379"/>
      <c r="C93" s="878" t="s">
        <v>681</v>
      </c>
      <c r="D93" s="814" t="s">
        <v>682</v>
      </c>
      <c r="E93" s="891">
        <v>0.2</v>
      </c>
      <c r="F93" s="878">
        <v>30</v>
      </c>
    </row>
    <row r="94" spans="1:6" s="874" customFormat="1" ht="48">
      <c r="A94" s="878">
        <v>34</v>
      </c>
      <c r="B94" s="3379"/>
      <c r="C94" s="878" t="s">
        <v>683</v>
      </c>
      <c r="D94" s="814" t="s">
        <v>684</v>
      </c>
      <c r="E94" s="891">
        <v>0.2</v>
      </c>
      <c r="F94" s="878">
        <v>30</v>
      </c>
    </row>
    <row r="95" spans="1:6" s="874" customFormat="1" ht="36">
      <c r="A95" s="878">
        <v>35</v>
      </c>
      <c r="B95" s="3379"/>
      <c r="C95" s="878" t="s">
        <v>685</v>
      </c>
      <c r="D95" s="814" t="s">
        <v>686</v>
      </c>
      <c r="E95" s="891">
        <v>0.2</v>
      </c>
      <c r="F95" s="878">
        <v>30</v>
      </c>
    </row>
    <row r="96" spans="1:6" s="874" customFormat="1" ht="48">
      <c r="A96" s="878">
        <v>36</v>
      </c>
      <c r="B96" s="3379"/>
      <c r="C96" s="814" t="s">
        <v>687</v>
      </c>
      <c r="D96" s="814" t="s">
        <v>688</v>
      </c>
      <c r="E96" s="891">
        <v>0.2</v>
      </c>
      <c r="F96" s="878">
        <v>30</v>
      </c>
    </row>
    <row r="97" spans="1:6" s="874" customFormat="1" ht="36">
      <c r="A97" s="878">
        <v>37</v>
      </c>
      <c r="B97" s="3379"/>
      <c r="C97" s="878" t="s">
        <v>689</v>
      </c>
      <c r="D97" s="814" t="s">
        <v>690</v>
      </c>
      <c r="E97" s="891">
        <v>0.2</v>
      </c>
      <c r="F97" s="878">
        <v>30</v>
      </c>
    </row>
    <row r="98" spans="1:6" s="874" customFormat="1" ht="36">
      <c r="A98" s="878">
        <v>38</v>
      </c>
      <c r="B98" s="3379"/>
      <c r="C98" s="878" t="s">
        <v>691</v>
      </c>
      <c r="D98" s="814" t="s">
        <v>692</v>
      </c>
      <c r="E98" s="891">
        <v>0.2</v>
      </c>
      <c r="F98" s="878">
        <v>30</v>
      </c>
    </row>
    <row r="99" spans="1:6" s="874" customFormat="1" ht="36">
      <c r="A99" s="878">
        <v>39</v>
      </c>
      <c r="B99" s="3379" t="s">
        <v>693</v>
      </c>
      <c r="C99" s="878" t="s">
        <v>694</v>
      </c>
      <c r="D99" s="814" t="s">
        <v>695</v>
      </c>
      <c r="E99" s="891">
        <v>0.3</v>
      </c>
      <c r="F99" s="878">
        <v>50</v>
      </c>
    </row>
    <row r="100" spans="1:6" s="874" customFormat="1" ht="24">
      <c r="A100" s="878">
        <v>40</v>
      </c>
      <c r="B100" s="3379"/>
      <c r="C100" s="878" t="s">
        <v>696</v>
      </c>
      <c r="D100" s="814" t="s">
        <v>697</v>
      </c>
      <c r="E100" s="891">
        <v>0.2</v>
      </c>
      <c r="F100" s="878">
        <v>30</v>
      </c>
    </row>
    <row r="101" spans="1:6" s="874" customFormat="1" ht="36">
      <c r="A101" s="878">
        <v>41</v>
      </c>
      <c r="B101" s="3379"/>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79" t="s">
        <v>708</v>
      </c>
      <c r="C105" s="878" t="s">
        <v>709</v>
      </c>
      <c r="D105" s="814" t="s">
        <v>710</v>
      </c>
      <c r="E105" s="891">
        <v>0.2</v>
      </c>
      <c r="F105" s="878">
        <v>30</v>
      </c>
    </row>
    <row r="106" spans="1:6" s="874" customFormat="1" ht="36">
      <c r="A106" s="878">
        <v>46</v>
      </c>
      <c r="B106" s="3379"/>
      <c r="C106" s="878" t="s">
        <v>711</v>
      </c>
      <c r="D106" s="814" t="s">
        <v>712</v>
      </c>
      <c r="E106" s="891">
        <v>0.2</v>
      </c>
      <c r="F106" s="878">
        <v>30</v>
      </c>
    </row>
    <row r="107" spans="1:6" s="874" customFormat="1" ht="36">
      <c r="A107" s="878">
        <v>47</v>
      </c>
      <c r="B107" s="3379" t="s">
        <v>713</v>
      </c>
      <c r="C107" s="878" t="s">
        <v>714</v>
      </c>
      <c r="D107" s="814" t="s">
        <v>715</v>
      </c>
      <c r="E107" s="891">
        <v>0.3</v>
      </c>
      <c r="F107" s="878">
        <v>50</v>
      </c>
    </row>
    <row r="108" spans="1:6" s="874" customFormat="1" ht="36">
      <c r="A108" s="878">
        <v>48</v>
      </c>
      <c r="B108" s="3379"/>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79" t="s">
        <v>724</v>
      </c>
      <c r="C111" s="878" t="s">
        <v>725</v>
      </c>
      <c r="D111" s="814" t="s">
        <v>726</v>
      </c>
      <c r="E111" s="891">
        <v>0.2</v>
      </c>
      <c r="F111" s="878">
        <v>30</v>
      </c>
    </row>
    <row r="112" spans="1:6" s="874" customFormat="1" ht="24">
      <c r="A112" s="878">
        <v>52</v>
      </c>
      <c r="B112" s="3379"/>
      <c r="C112" s="878" t="s">
        <v>727</v>
      </c>
      <c r="D112" s="814" t="s">
        <v>728</v>
      </c>
      <c r="E112" s="891">
        <v>0.2</v>
      </c>
      <c r="F112" s="878">
        <v>30</v>
      </c>
    </row>
    <row r="113" spans="1:6" s="874" customFormat="1" ht="24">
      <c r="A113" s="878">
        <v>53</v>
      </c>
      <c r="B113" s="3379"/>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79" t="s">
        <v>737</v>
      </c>
      <c r="C116" s="878" t="s">
        <v>738</v>
      </c>
      <c r="D116" s="814" t="s">
        <v>739</v>
      </c>
      <c r="E116" s="891">
        <v>0.2</v>
      </c>
      <c r="F116" s="878">
        <v>30</v>
      </c>
    </row>
    <row r="117" spans="1:6" ht="36">
      <c r="A117" s="878">
        <v>57</v>
      </c>
      <c r="B117" s="3379"/>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8" t="s">
        <v>2995</v>
      </c>
    </row>
    <row r="2" spans="1:5" ht="15.75">
      <c r="A2" s="2899" t="s">
        <v>2987</v>
      </c>
      <c r="B2" s="2900" t="e">
        <f ca="1">SUMIF(B6:B13,"&lt;&gt;#ref!",B6:B13)</f>
        <v>#DIV/0!</v>
      </c>
      <c r="C2" s="2899" t="s">
        <v>2988</v>
      </c>
      <c r="D2" s="2899" t="s">
        <v>2989</v>
      </c>
      <c r="E2" s="2900">
        <f ca="1">SUMIF(E6:E13,"&lt;&gt;#ref!",E6:E13)</f>
        <v>0</v>
      </c>
    </row>
    <row r="3" spans="1:5" ht="15.75">
      <c r="A3" s="2899" t="s">
        <v>2990</v>
      </c>
      <c r="B3" s="2900" t="e">
        <f ca="1">ROUND(B2*10000/E2,0)</f>
        <v>#DIV/0!</v>
      </c>
      <c r="C3" s="2899" t="s">
        <v>2996</v>
      </c>
      <c r="D3" s="2901"/>
      <c r="E3" s="2901"/>
    </row>
    <row r="4" spans="1:5" ht="15.75">
      <c r="A4" s="2902"/>
      <c r="B4" s="2901"/>
      <c r="C4" s="2901"/>
      <c r="D4" s="2901"/>
      <c r="E4" s="2901"/>
    </row>
    <row r="5" spans="1:5" ht="28.5">
      <c r="A5" s="2903" t="s">
        <v>2991</v>
      </c>
      <c r="B5" s="2899" t="s">
        <v>2992</v>
      </c>
      <c r="C5" s="2900"/>
      <c r="D5" s="2901"/>
      <c r="E5" s="2899" t="s">
        <v>2993</v>
      </c>
    </row>
    <row r="6" spans="1:5" ht="15.75">
      <c r="A6" s="2904" t="s">
        <v>2994</v>
      </c>
      <c r="B6" s="2900" t="e">
        <f ca="1">SUMIF(INDIRECT("'"&amp;A6&amp;"'"&amp;"!A:A"),"总价",INDIRECT("'"&amp;A6&amp;"'"&amp;"!B:B"))</f>
        <v>#DIV/0!</v>
      </c>
      <c r="C6" s="2899" t="s">
        <v>2988</v>
      </c>
      <c r="D6" s="2901"/>
      <c r="E6" s="2572">
        <f ca="1">SUMIF(INDIRECT("'"&amp;A6&amp;"'"&amp;"!C:C"),"建筑面积",INDIRECT("'"&amp;A6&amp;"'"&amp;"!D:D"))</f>
        <v>0</v>
      </c>
    </row>
    <row r="7" spans="1:5" ht="15.75">
      <c r="A7" s="2904"/>
      <c r="B7" s="2900" t="e">
        <f ca="1">SUMIF(INDIRECT("'"&amp;A7&amp;"'"&amp;"!A:A"),"总价",INDIRECT("'"&amp;A7&amp;"'"&amp;"!B:B"))</f>
        <v>#REF!</v>
      </c>
      <c r="C7" s="2899" t="s">
        <v>2988</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2988</v>
      </c>
      <c r="D8" s="2901"/>
      <c r="E8" s="2572" t="e">
        <f t="shared" ca="1" si="0"/>
        <v>#REF!</v>
      </c>
    </row>
    <row r="9" spans="1:5" ht="15.75">
      <c r="A9" s="2904"/>
      <c r="B9" s="2900" t="e">
        <f t="shared" ca="1" si="1"/>
        <v>#REF!</v>
      </c>
      <c r="C9" s="2899" t="s">
        <v>2988</v>
      </c>
      <c r="D9" s="2901"/>
      <c r="E9" s="2572" t="e">
        <f t="shared" ca="1" si="0"/>
        <v>#REF!</v>
      </c>
    </row>
    <row r="10" spans="1:5" ht="15.75">
      <c r="A10" s="2904"/>
      <c r="B10" s="2900" t="e">
        <f t="shared" ca="1" si="1"/>
        <v>#REF!</v>
      </c>
      <c r="C10" s="2899" t="s">
        <v>2988</v>
      </c>
      <c r="D10" s="2901"/>
      <c r="E10" s="2572" t="e">
        <f t="shared" ca="1" si="0"/>
        <v>#REF!</v>
      </c>
    </row>
    <row r="11" spans="1:5" ht="15.75">
      <c r="A11" s="2904"/>
      <c r="B11" s="2900" t="e">
        <f t="shared" ca="1" si="1"/>
        <v>#REF!</v>
      </c>
      <c r="C11" s="2899" t="s">
        <v>2988</v>
      </c>
      <c r="D11" s="2901"/>
      <c r="E11" s="2572" t="e">
        <f t="shared" ca="1" si="0"/>
        <v>#REF!</v>
      </c>
    </row>
    <row r="12" spans="1:5" ht="15.75">
      <c r="A12" s="2904"/>
      <c r="B12" s="2900" t="e">
        <f t="shared" ca="1" si="1"/>
        <v>#REF!</v>
      </c>
      <c r="C12" s="2899" t="s">
        <v>2988</v>
      </c>
      <c r="D12" s="2901"/>
      <c r="E12" s="2572" t="e">
        <f t="shared" ca="1" si="0"/>
        <v>#REF!</v>
      </c>
    </row>
    <row r="13" spans="1:5" ht="15.75">
      <c r="A13" s="2904"/>
      <c r="B13" s="2900" t="e">
        <f t="shared" ca="1" si="1"/>
        <v>#REF!</v>
      </c>
      <c r="C13" s="2899" t="s">
        <v>2988</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85" t="s">
        <v>1146</v>
      </c>
      <c r="C1" s="3385"/>
      <c r="D1" s="3385"/>
      <c r="E1" s="3385"/>
      <c r="F1" s="3385"/>
      <c r="G1" s="3384" t="s">
        <v>1147</v>
      </c>
      <c r="H1" s="3384"/>
      <c r="I1" s="3384"/>
      <c r="J1" s="3384"/>
      <c r="K1" s="3384"/>
      <c r="L1" s="3384"/>
      <c r="N1" s="3384" t="s">
        <v>1148</v>
      </c>
      <c r="O1" s="3384"/>
      <c r="P1" s="3384"/>
      <c r="Q1" s="3384"/>
      <c r="R1" s="1440"/>
      <c r="S1" s="3384" t="s">
        <v>1149</v>
      </c>
      <c r="T1" s="3384"/>
      <c r="U1" s="3384"/>
      <c r="V1" s="3384"/>
      <c r="X1" s="3383" t="s">
        <v>1150</v>
      </c>
      <c r="Y1" s="3384"/>
      <c r="Z1" s="3384"/>
      <c r="AA1" s="3384"/>
      <c r="AB1" s="3384"/>
      <c r="AD1" s="3383" t="s">
        <v>1151</v>
      </c>
      <c r="AE1" s="3384"/>
      <c r="AF1" s="3384"/>
      <c r="AG1" s="3384"/>
      <c r="AH1" s="3384"/>
    </row>
    <row r="2" spans="1:34" s="1441" customFormat="1" ht="14.25" thickBot="1">
      <c r="B2" s="1442" t="s">
        <v>1152</v>
      </c>
      <c r="C2" s="1442" t="s">
        <v>1153</v>
      </c>
      <c r="D2" s="1443" t="s">
        <v>1154</v>
      </c>
      <c r="E2" s="1443" t="s">
        <v>1155</v>
      </c>
      <c r="F2" s="1442" t="s">
        <v>1156</v>
      </c>
      <c r="G2" s="1444"/>
      <c r="H2" s="1445"/>
      <c r="I2" s="1442" t="s">
        <v>1152</v>
      </c>
      <c r="J2" s="1443" t="s">
        <v>1380</v>
      </c>
      <c r="K2" s="1443" t="s">
        <v>751</v>
      </c>
      <c r="L2" s="1442" t="s">
        <v>1156</v>
      </c>
      <c r="N2" s="1442" t="s">
        <v>1152</v>
      </c>
      <c r="O2" s="1443" t="s">
        <v>1380</v>
      </c>
      <c r="P2" s="1443" t="s">
        <v>751</v>
      </c>
      <c r="Q2" s="1442" t="s">
        <v>1156</v>
      </c>
      <c r="R2" s="1446"/>
      <c r="S2" s="1442" t="s">
        <v>1152</v>
      </c>
      <c r="T2" s="1443" t="s">
        <v>1380</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5" customFormat="1" ht="14.25">
      <c r="A3" s="2924" t="s">
        <v>3028</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47" customFormat="1" ht="14.25">
      <c r="B4" s="1448"/>
      <c r="C4" s="1448"/>
      <c r="D4" s="1449"/>
      <c r="E4" s="1449"/>
      <c r="F4" s="1448"/>
      <c r="G4" s="1450"/>
      <c r="H4" s="1451"/>
      <c r="I4" s="2910"/>
      <c r="J4" s="2910"/>
      <c r="K4" s="2910"/>
      <c r="L4" s="2910"/>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5" thickBot="1">
      <c r="A5" s="1723" t="s">
        <v>3045</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4">
        <v>2019</v>
      </c>
      <c r="H5" s="1724">
        <v>3</v>
      </c>
      <c r="I5" s="2911">
        <v>0</v>
      </c>
      <c r="J5" s="2911">
        <v>0</v>
      </c>
      <c r="K5" s="2911">
        <v>0</v>
      </c>
      <c r="L5" s="2911">
        <v>0</v>
      </c>
      <c r="N5" s="1461">
        <f>I5/100</f>
        <v>0</v>
      </c>
      <c r="O5" s="1461">
        <f t="shared" ref="O5" si="7">J5/100</f>
        <v>0</v>
      </c>
      <c r="P5" s="1461">
        <f t="shared" ref="P5" si="8">K5/100</f>
        <v>0</v>
      </c>
      <c r="Q5" s="1461">
        <f t="shared" ref="Q5" si="9">L5/100</f>
        <v>0</v>
      </c>
      <c r="R5" s="1726"/>
      <c r="S5" s="1727"/>
      <c r="T5" s="1726"/>
      <c r="U5" s="1726"/>
      <c r="V5" s="1726"/>
      <c r="W5" s="2914" t="s">
        <v>3029</v>
      </c>
      <c r="X5" s="1720">
        <f>ROUND(IF(项目基本情况!B8="出让",SUMPRODUCT(PRODUCT(1+N5:N$27)),SUMPRODUCT(PRODUCT(1+N5:N$26))),4)</f>
        <v>1.5422</v>
      </c>
      <c r="Y5" s="1720">
        <f>ROUND(IF(项目基本情况!B8="出让",SUMPRODUCT(PRODUCT(1+O5:O$27)),SUMPRODUCT(PRODUCT(1+O5:O$26))),4)</f>
        <v>1.3557999999999999</v>
      </c>
      <c r="Z5" s="1720">
        <f t="shared" ref="Z5" si="10">Y5</f>
        <v>1.3557999999999999</v>
      </c>
      <c r="AA5" s="1720">
        <f>ROUND(IF(项目基本情况!B8="出让",SUMPRODUCT(PRODUCT(1+P5:P$27)),SUMPRODUCT(PRODUCT(1+P5:P$26))),4)</f>
        <v>1.6036999999999999</v>
      </c>
      <c r="AB5" s="1720">
        <f>ROUND(IF(项目基本情况!B8="出让",SUMPRODUCT(PRODUCT(1+Q5:Q$27)),SUMPRODUCT(PRODUCT(1+Q5:Q$26))),4)</f>
        <v>1.3573</v>
      </c>
      <c r="AD5" s="1462">
        <f>ROUND(AVERAGE(I5:I$27)/100,4)</f>
        <v>2.0400000000000001E-2</v>
      </c>
      <c r="AE5" s="1462">
        <f>ROUND(AVERAGE(J5:J$27)/100,4)</f>
        <v>1.44E-2</v>
      </c>
      <c r="AF5" s="1462">
        <f t="shared" ref="AF5" si="11">AE5</f>
        <v>1.44E-2</v>
      </c>
      <c r="AG5" s="1462">
        <f>ROUND(AVERAGE(K5:K$27)/100,4)</f>
        <v>2.23E-2</v>
      </c>
      <c r="AH5" s="1462">
        <f>ROUND(AVERAGE(L5:L$27)/100,4)</f>
        <v>1.4E-2</v>
      </c>
    </row>
    <row r="6" spans="1:34" s="1460" customFormat="1">
      <c r="A6" s="1455" t="s">
        <v>3044</v>
      </c>
      <c r="B6" s="1471">
        <f t="shared" ref="B6" si="12">B7*(1+N6)</f>
        <v>474.30670301923408</v>
      </c>
      <c r="C6" s="1471">
        <f t="shared" ref="C6" si="13">C7*(1+O6)</f>
        <v>349.50705005996491</v>
      </c>
      <c r="D6" s="1471">
        <f t="shared" ref="D6" si="14">C6</f>
        <v>349.50705005996491</v>
      </c>
      <c r="E6" s="1471">
        <f t="shared" ref="E6" si="15">E7*(1+P6)</f>
        <v>678.22831959706957</v>
      </c>
      <c r="F6" s="1471">
        <f t="shared" ref="F6" si="16">F7*(1+Q6)</f>
        <v>312.0556832169558</v>
      </c>
      <c r="G6" s="2944">
        <v>2019</v>
      </c>
      <c r="H6" s="1456">
        <v>2</v>
      </c>
      <c r="I6" s="2948">
        <v>1.53</v>
      </c>
      <c r="J6" s="2948">
        <v>1.01</v>
      </c>
      <c r="K6" s="2948">
        <v>1.62</v>
      </c>
      <c r="L6" s="2949">
        <v>1.25</v>
      </c>
      <c r="M6" s="1465"/>
      <c r="N6" s="1466">
        <f>I6/100</f>
        <v>1.5300000000000001E-2</v>
      </c>
      <c r="O6" s="1467">
        <f t="shared" ref="O6" si="17">J6/100</f>
        <v>1.01E-2</v>
      </c>
      <c r="P6" s="1467">
        <f t="shared" ref="P6" si="18">K6/100</f>
        <v>1.6200000000000003E-2</v>
      </c>
      <c r="Q6" s="1467">
        <f t="shared" ref="Q6" si="19">L6/100</f>
        <v>1.2500000000000001E-2</v>
      </c>
      <c r="R6" s="1468"/>
      <c r="S6" s="1466"/>
      <c r="T6" s="1467"/>
      <c r="U6" s="1467"/>
      <c r="V6" s="1467"/>
      <c r="W6" s="1784"/>
      <c r="X6" s="1782">
        <f>ROUND(IF(项目基本情况!B8="出让",SUMPRODUCT(PRODUCT(1+N6:N$27)),SUMPRODUCT(PRODUCT(1+N6:N$26))),4)</f>
        <v>1.5422</v>
      </c>
      <c r="Y6" s="1782">
        <f>ROUND(IF(项目基本情况!B8="出让",SUMPRODUCT(PRODUCT(1+O6:O$27)),SUMPRODUCT(PRODUCT(1+O6:O$26))),4)</f>
        <v>1.3557999999999999</v>
      </c>
      <c r="Z6" s="1782">
        <f t="shared" ref="Z6" si="20">Y6</f>
        <v>1.3557999999999999</v>
      </c>
      <c r="AA6" s="1782">
        <f>ROUND(IF(项目基本情况!B8="出让",SUMPRODUCT(PRODUCT(1+P6:P$27)),SUMPRODUCT(PRODUCT(1+P6:P$26))),4)</f>
        <v>1.6036999999999999</v>
      </c>
      <c r="AB6" s="1782">
        <f>ROUND(IF(项目基本情况!B8="出让",SUMPRODUCT(PRODUCT(1+Q6:Q$27)),SUMPRODUCT(PRODUCT(1+Q6:Q$26))),4)</f>
        <v>1.3573</v>
      </c>
      <c r="AC6" s="1784"/>
      <c r="AD6" s="1783">
        <f>ROUND(AVERAGE(I6:I$27)/100,4)</f>
        <v>2.1299999999999999E-2</v>
      </c>
      <c r="AE6" s="1783">
        <f>ROUND(AVERAGE(J6:J$27)/100,4)</f>
        <v>1.4999999999999999E-2</v>
      </c>
      <c r="AF6" s="1783">
        <f t="shared" ref="AF6" si="21">AE6</f>
        <v>1.4999999999999999E-2</v>
      </c>
      <c r="AG6" s="1783">
        <f>ROUND(AVERAGE(K6:K$27)/100,4)</f>
        <v>2.3300000000000001E-2</v>
      </c>
      <c r="AH6" s="1783">
        <f>ROUND(AVERAGE(L6:L$27)/100,4)</f>
        <v>1.46E-2</v>
      </c>
    </row>
    <row r="7" spans="1:34" s="1460" customFormat="1" ht="13.5" thickBot="1">
      <c r="A7" s="1455" t="s">
        <v>3041</v>
      </c>
      <c r="B7" s="1471">
        <f t="shared" ref="B7" si="22">B8*(1+N7)</f>
        <v>467.15916775261894</v>
      </c>
      <c r="C7" s="1471">
        <f t="shared" ref="C7" si="23">C8*(1+O7)</f>
        <v>346.01232557169084</v>
      </c>
      <c r="D7" s="1471">
        <f t="shared" ref="D7" si="24">C7</f>
        <v>346.01232557169084</v>
      </c>
      <c r="E7" s="1471">
        <f t="shared" ref="E7" si="25">E8*(1+P7)</f>
        <v>667.41617752122568</v>
      </c>
      <c r="F7" s="1471">
        <f t="shared" ref="F7" si="26">F8*(1+Q7)</f>
        <v>308.20314391798104</v>
      </c>
      <c r="G7" s="2928">
        <v>2019</v>
      </c>
      <c r="H7" s="1458">
        <v>1</v>
      </c>
      <c r="I7" s="1458">
        <v>0.6</v>
      </c>
      <c r="J7" s="1458">
        <v>0.37</v>
      </c>
      <c r="K7" s="1458">
        <v>0.63</v>
      </c>
      <c r="L7" s="1472">
        <v>1.1299999999999999</v>
      </c>
      <c r="M7" s="1465"/>
      <c r="N7" s="1466">
        <f>I7/100</f>
        <v>6.0000000000000001E-3</v>
      </c>
      <c r="O7" s="1467">
        <f t="shared" ref="O7" si="27">J7/100</f>
        <v>3.7000000000000002E-3</v>
      </c>
      <c r="P7" s="1467">
        <f t="shared" ref="P7" si="28">K7/100</f>
        <v>6.3E-3</v>
      </c>
      <c r="Q7" s="1467">
        <f t="shared" ref="Q7" si="29">L7/100</f>
        <v>1.1299999999999999E-2</v>
      </c>
      <c r="R7" s="1468"/>
      <c r="S7" s="1466">
        <f>B7/B8-1</f>
        <v>6.0000000000000053E-3</v>
      </c>
      <c r="T7" s="1467">
        <f t="shared" ref="T7" si="30">C7/C8-1</f>
        <v>3.7000000000000366E-3</v>
      </c>
      <c r="U7" s="1467">
        <f t="shared" ref="U7" si="31">D7/D8-1</f>
        <v>3.7000000000000366E-3</v>
      </c>
      <c r="V7" s="1467">
        <f t="shared" ref="V7" si="32">E7/E8-1</f>
        <v>6.2999999999999723E-3</v>
      </c>
      <c r="W7" s="1784"/>
      <c r="X7" s="1782">
        <f>ROUND(IF(项目基本情况!B8="出让",SUMPRODUCT(PRODUCT(1+N7:N$27)),SUMPRODUCT(PRODUCT(1+N7:N$26))),4)</f>
        <v>1.5189999999999999</v>
      </c>
      <c r="Y7" s="1782">
        <f>ROUND(IF(项目基本情况!B8="出让",SUMPRODUCT(PRODUCT(1+O7:O$27)),SUMPRODUCT(PRODUCT(1+O7:O$26))),4)</f>
        <v>1.3423</v>
      </c>
      <c r="Z7" s="1782">
        <f t="shared" ref="Z7" si="33">Y7</f>
        <v>1.3423</v>
      </c>
      <c r="AA7" s="1782">
        <f>ROUND(IF(项目基本情况!B8="出让",SUMPRODUCT(PRODUCT(1+P7:P$27)),SUMPRODUCT(PRODUCT(1+P7:P$26))),4)</f>
        <v>1.5782</v>
      </c>
      <c r="AB7" s="1782">
        <f>ROUND(IF(项目基本情况!B8="出让",SUMPRODUCT(PRODUCT(1+Q7:Q$27)),SUMPRODUCT(PRODUCT(1+Q7:Q$26))),4)</f>
        <v>1.3405</v>
      </c>
      <c r="AC7" s="1784"/>
      <c r="AD7" s="1783">
        <f>ROUND(AVERAGE(I7:I$27)/100,4)</f>
        <v>2.1600000000000001E-2</v>
      </c>
      <c r="AE7" s="1783">
        <f>ROUND(AVERAGE(J7:J$27)/100,4)</f>
        <v>1.5299999999999999E-2</v>
      </c>
      <c r="AF7" s="1783">
        <f t="shared" ref="AF7" si="34">AE7</f>
        <v>1.5299999999999999E-2</v>
      </c>
      <c r="AG7" s="1783">
        <f>ROUND(AVERAGE(K7:K$27)/100,4)</f>
        <v>2.3699999999999999E-2</v>
      </c>
      <c r="AH7" s="1783">
        <f>ROUND(AVERAGE(L7:L$27)/100,4)</f>
        <v>1.47E-2</v>
      </c>
    </row>
    <row r="8" spans="1:34" s="1460" customFormat="1">
      <c r="A8" s="1455" t="s">
        <v>3046</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381">
        <v>2018</v>
      </c>
      <c r="H8" s="1456">
        <v>4</v>
      </c>
      <c r="I8" s="1456">
        <v>0.96</v>
      </c>
      <c r="J8" s="1456">
        <v>1.03</v>
      </c>
      <c r="K8" s="1456">
        <v>0.92</v>
      </c>
      <c r="L8" s="1457">
        <v>1.29</v>
      </c>
      <c r="M8" s="1465"/>
      <c r="N8" s="1466">
        <f>I8/100</f>
        <v>9.5999999999999992E-3</v>
      </c>
      <c r="O8" s="1467">
        <f t="shared" ref="O8" si="40">J8/100</f>
        <v>1.03E-2</v>
      </c>
      <c r="P8" s="1467">
        <f t="shared" ref="P8" si="41">K8/100</f>
        <v>9.1999999999999998E-3</v>
      </c>
      <c r="Q8" s="1467">
        <f t="shared" ref="Q8" si="42">L8/100</f>
        <v>1.29E-2</v>
      </c>
      <c r="R8" s="1468"/>
      <c r="S8" s="1466"/>
      <c r="T8" s="1467"/>
      <c r="U8" s="1467"/>
      <c r="V8" s="1467"/>
      <c r="W8" s="1784"/>
      <c r="X8" s="1782">
        <f>ROUND(SUMPRODUCT(PRODUCT(1+N8:N$26)),4)</f>
        <v>1.5099</v>
      </c>
      <c r="Y8" s="1782">
        <f>ROUND(SUMPRODUCT(PRODUCT(1+O8:O$26)),4)</f>
        <v>1.3372999999999999</v>
      </c>
      <c r="Z8" s="1782">
        <f t="shared" ref="Z8" si="43">Y8</f>
        <v>1.3372999999999999</v>
      </c>
      <c r="AA8" s="1782">
        <f>ROUND(SUMPRODUCT(PRODUCT(1+P8:P$26)),4)</f>
        <v>1.5683</v>
      </c>
      <c r="AB8" s="1782">
        <f>ROUND(SUMPRODUCT(PRODUCT(1+Q8:Q$26)),4)</f>
        <v>1.3255999999999999</v>
      </c>
      <c r="AC8" s="1784"/>
      <c r="AD8" s="1783">
        <f>ROUND(AVERAGE(I8:I$27)/100,4)</f>
        <v>2.24E-2</v>
      </c>
      <c r="AE8" s="1783">
        <f>ROUND(AVERAGE(J8:J$27)/100,4)</f>
        <v>1.5800000000000002E-2</v>
      </c>
      <c r="AF8" s="1783">
        <f t="shared" ref="AF8" si="44">AE8</f>
        <v>1.5800000000000002E-2</v>
      </c>
      <c r="AG8" s="1783">
        <f>ROUND(AVERAGE(K8:K$27)/100,4)</f>
        <v>2.4500000000000001E-2</v>
      </c>
      <c r="AH8" s="1783">
        <f>ROUND(AVERAGE(L8:L$27)/100,4)</f>
        <v>1.49E-2</v>
      </c>
    </row>
    <row r="9" spans="1:34" s="1460" customFormat="1" ht="14.45" customHeight="1">
      <c r="A9" s="1455" t="s">
        <v>3035</v>
      </c>
      <c r="B9" s="1471">
        <f t="shared" ref="B9" si="45">B10*(1+N9)</f>
        <v>459.95733971036987</v>
      </c>
      <c r="C9" s="1471">
        <f t="shared" ref="C9" si="46">C10*(1+O9)</f>
        <v>341.22221064422405</v>
      </c>
      <c r="D9" s="1471">
        <f t="shared" ref="D9" si="47">C9</f>
        <v>341.22221064422405</v>
      </c>
      <c r="E9" s="1471">
        <f t="shared" ref="E9" si="48">E10*(1+P9)</f>
        <v>657.19161663724799</v>
      </c>
      <c r="F9" s="1471">
        <f t="shared" ref="F9" si="49">F10*(1+Q9)</f>
        <v>300.87803644464805</v>
      </c>
      <c r="G9" s="3381"/>
      <c r="H9" s="1458">
        <v>3</v>
      </c>
      <c r="I9" s="1458">
        <v>1.51</v>
      </c>
      <c r="J9" s="1458">
        <v>1.41</v>
      </c>
      <c r="K9" s="1458">
        <v>1.52</v>
      </c>
      <c r="L9" s="1472">
        <v>1.74</v>
      </c>
      <c r="M9" s="1465"/>
      <c r="N9" s="1466">
        <f>I9/100</f>
        <v>1.5100000000000001E-2</v>
      </c>
      <c r="O9" s="1467">
        <f t="shared" ref="O9" si="50">J9/100</f>
        <v>1.41E-2</v>
      </c>
      <c r="P9" s="1467">
        <f t="shared" ref="P9" si="51">K9/100</f>
        <v>1.52E-2</v>
      </c>
      <c r="Q9" s="1467">
        <f t="shared" ref="Q9" si="52">L9/100</f>
        <v>1.7399999999999999E-2</v>
      </c>
      <c r="R9" s="1468"/>
      <c r="S9" s="1466"/>
      <c r="T9" s="1467"/>
      <c r="U9" s="1467"/>
      <c r="V9" s="1467"/>
      <c r="W9" s="1784"/>
      <c r="X9" s="1782">
        <f>ROUND(SUMPRODUCT(PRODUCT(1+N9:N$26)),4)</f>
        <v>1.4956</v>
      </c>
      <c r="Y9" s="1782">
        <f>ROUND(SUMPRODUCT(PRODUCT(1+O9:O$26)),4)</f>
        <v>1.3237000000000001</v>
      </c>
      <c r="Z9" s="1782">
        <f t="shared" ref="Z9" si="53">Y9</f>
        <v>1.3237000000000001</v>
      </c>
      <c r="AA9" s="1782">
        <f>ROUND(SUMPRODUCT(PRODUCT(1+P9:P$26)),4)</f>
        <v>1.554</v>
      </c>
      <c r="AB9" s="1782">
        <f>ROUND(SUMPRODUCT(PRODUCT(1+Q9:Q$26)),4)</f>
        <v>1.3087</v>
      </c>
      <c r="AC9" s="1784"/>
      <c r="AD9" s="1783">
        <f>ROUND(AVERAGE(I9:I$27)/100,4)</f>
        <v>2.3099999999999999E-2</v>
      </c>
      <c r="AE9" s="1783">
        <f>ROUND(AVERAGE(J9:J$27)/100,4)</f>
        <v>1.61E-2</v>
      </c>
      <c r="AF9" s="1783">
        <f t="shared" ref="AF9" si="54">AE9</f>
        <v>1.61E-2</v>
      </c>
      <c r="AG9" s="1783">
        <f>ROUND(AVERAGE(K9:K$27)/100,4)</f>
        <v>2.53E-2</v>
      </c>
      <c r="AH9" s="1783">
        <f>ROUND(AVERAGE(L9:L$27)/100,4)</f>
        <v>1.4999999999999999E-2</v>
      </c>
    </row>
    <row r="10" spans="1:34" s="1460" customFormat="1" ht="14.45" customHeight="1">
      <c r="A10" s="1455" t="s">
        <v>3034</v>
      </c>
      <c r="B10" s="1471">
        <f t="shared" ref="B10" si="55">B11*(1+N10)</f>
        <v>453.11529869999993</v>
      </c>
      <c r="C10" s="1471">
        <f t="shared" ref="C10" si="56">C11*(1+O10)</f>
        <v>336.47787264000004</v>
      </c>
      <c r="D10" s="1471">
        <f t="shared" ref="D10" si="57">C10</f>
        <v>336.47787264000004</v>
      </c>
      <c r="E10" s="1471">
        <f t="shared" ref="E10" si="58">E11*(1+P10)</f>
        <v>647.35186823999993</v>
      </c>
      <c r="F10" s="1471">
        <f t="shared" ref="F10" si="59">F11*(1+Q10)</f>
        <v>295.73229452000004</v>
      </c>
      <c r="G10" s="3381"/>
      <c r="H10" s="1459">
        <v>2</v>
      </c>
      <c r="I10" s="1459">
        <v>1.49</v>
      </c>
      <c r="J10" s="1459">
        <v>0.96</v>
      </c>
      <c r="K10" s="1459">
        <v>1.58</v>
      </c>
      <c r="L10" s="1473">
        <v>2.44</v>
      </c>
      <c r="M10" s="1465"/>
      <c r="N10" s="1466">
        <f t="shared" ref="N10" si="60">I10/100</f>
        <v>1.49E-2</v>
      </c>
      <c r="O10" s="1467">
        <f t="shared" ref="O10" si="61">J10/100</f>
        <v>9.5999999999999992E-3</v>
      </c>
      <c r="P10" s="1467">
        <f t="shared" ref="P10" si="62">K10/100</f>
        <v>1.5800000000000002E-2</v>
      </c>
      <c r="Q10" s="1467">
        <f t="shared" ref="Q10" si="63">L10/100</f>
        <v>2.4399999999999998E-2</v>
      </c>
      <c r="R10" s="1468"/>
      <c r="S10" s="1466"/>
      <c r="T10" s="1467"/>
      <c r="U10" s="1467"/>
      <c r="V10" s="1467"/>
      <c r="W10" s="1784"/>
      <c r="X10" s="1782">
        <f>ROUND(SUMPRODUCT(PRODUCT(1+N10:N$26)),4)</f>
        <v>1.4733000000000001</v>
      </c>
      <c r="Y10" s="1782">
        <f>ROUND(SUMPRODUCT(PRODUCT(1+O10:O$26)),4)</f>
        <v>1.3052999999999999</v>
      </c>
      <c r="Z10" s="1782">
        <f t="shared" ref="Z10" si="64">Y10</f>
        <v>1.3052999999999999</v>
      </c>
      <c r="AA10" s="1782">
        <f>ROUND(SUMPRODUCT(PRODUCT(1+P10:P$26)),4)</f>
        <v>1.5306999999999999</v>
      </c>
      <c r="AB10" s="1782">
        <f>ROUND(SUMPRODUCT(PRODUCT(1+Q10:Q$26)),4)</f>
        <v>1.2863</v>
      </c>
      <c r="AC10" s="1784"/>
      <c r="AD10" s="1783">
        <f>ROUND(AVERAGE(I10:I$27)/100,4)</f>
        <v>2.35E-2</v>
      </c>
      <c r="AE10" s="1783">
        <f>ROUND(AVERAGE(J10:J$27)/100,4)</f>
        <v>1.6199999999999999E-2</v>
      </c>
      <c r="AF10" s="1783">
        <f t="shared" ref="AF10" si="65">AE10</f>
        <v>1.6199999999999999E-2</v>
      </c>
      <c r="AG10" s="1783">
        <f>ROUND(AVERAGE(K10:K$27)/100,4)</f>
        <v>2.5899999999999999E-2</v>
      </c>
      <c r="AH10" s="1783">
        <f>ROUND(AVERAGE(L10:L$27)/100,4)</f>
        <v>1.49E-2</v>
      </c>
    </row>
    <row r="11" spans="1:34" s="1460" customFormat="1" ht="15" customHeight="1" thickBot="1">
      <c r="A11" s="1455" t="s">
        <v>3027</v>
      </c>
      <c r="B11" s="1471">
        <f t="shared" ref="B11" si="66">B12*(1+N11)</f>
        <v>446.46299999999997</v>
      </c>
      <c r="C11" s="1471">
        <f t="shared" ref="C11" si="67">C12*(1+O11)</f>
        <v>333.27840000000003</v>
      </c>
      <c r="D11" s="1471">
        <f t="shared" ref="D11" si="68">C11</f>
        <v>333.27840000000003</v>
      </c>
      <c r="E11" s="1471">
        <f t="shared" ref="E11" si="69">E12*(1+P11)</f>
        <v>637.28279999999995</v>
      </c>
      <c r="F11" s="1471">
        <f t="shared" ref="F11" si="70">F12*(1+Q11)</f>
        <v>288.68830000000003</v>
      </c>
      <c r="G11" s="3390"/>
      <c r="H11" s="1458">
        <v>1</v>
      </c>
      <c r="I11" s="1458">
        <v>1.7</v>
      </c>
      <c r="J11" s="1458">
        <v>1.92</v>
      </c>
      <c r="K11" s="1458">
        <v>1.64</v>
      </c>
      <c r="L11" s="1472">
        <v>2.0099999999999998</v>
      </c>
      <c r="M11" s="1465"/>
      <c r="N11" s="1466">
        <f t="shared" ref="N11:N16" si="71">I11/100</f>
        <v>1.7000000000000001E-2</v>
      </c>
      <c r="O11" s="1467">
        <f t="shared" ref="O11" si="72">J11/100</f>
        <v>1.9199999999999998E-2</v>
      </c>
      <c r="P11" s="1467">
        <f t="shared" ref="P11" si="73">K11/100</f>
        <v>1.6399999999999998E-2</v>
      </c>
      <c r="Q11" s="1467">
        <f t="shared" ref="Q11" si="74">L11/100</f>
        <v>2.0099999999999996E-2</v>
      </c>
      <c r="R11" s="1468"/>
      <c r="S11" s="1466">
        <f>B11/B12-1</f>
        <v>1.6999999999999904E-2</v>
      </c>
      <c r="T11" s="1467">
        <f t="shared" ref="T11" si="75">C11/C12-1</f>
        <v>1.9200000000000106E-2</v>
      </c>
      <c r="U11" s="1467">
        <f t="shared" ref="U11" si="76">D11/D12-1</f>
        <v>1.9200000000000106E-2</v>
      </c>
      <c r="V11" s="1467">
        <f t="shared" ref="V11" si="77">E11/E12-1</f>
        <v>1.639999999999997E-2</v>
      </c>
      <c r="W11" s="1784"/>
      <c r="X11" s="1782">
        <f>ROUND(SUMPRODUCT(PRODUCT(1+N11:N$26)),4)</f>
        <v>1.4517</v>
      </c>
      <c r="Y11" s="1782">
        <f>ROUND(SUMPRODUCT(PRODUCT(1+O11:O$26)),4)</f>
        <v>1.2928999999999999</v>
      </c>
      <c r="Z11" s="1782">
        <f t="shared" ref="Z11" si="78">Y11</f>
        <v>1.2928999999999999</v>
      </c>
      <c r="AA11" s="1782">
        <f>ROUND(SUMPRODUCT(PRODUCT(1+P11:P$26)),4)</f>
        <v>1.5068999999999999</v>
      </c>
      <c r="AB11" s="1782">
        <f>ROUND(SUMPRODUCT(PRODUCT(1+Q11:Q$26)),4)</f>
        <v>1.2557</v>
      </c>
      <c r="AC11" s="1784"/>
      <c r="AD11" s="1783">
        <f>ROUND(AVERAGE(I11:I$27)/100,4)</f>
        <v>2.4E-2</v>
      </c>
      <c r="AE11" s="1783">
        <f>ROUND(AVERAGE(J11:J$27)/100,4)</f>
        <v>1.66E-2</v>
      </c>
      <c r="AF11" s="1783">
        <f t="shared" ref="AF11" si="79">AE11</f>
        <v>1.66E-2</v>
      </c>
      <c r="AG11" s="1783">
        <f>ROUND(AVERAGE(K11:K$27)/100,4)</f>
        <v>2.6499999999999999E-2</v>
      </c>
      <c r="AH11" s="1783">
        <f>ROUND(AVERAGE(L11:L$27)/100,4)</f>
        <v>1.43E-2</v>
      </c>
    </row>
    <row r="12" spans="1:34">
      <c r="A12" s="1455" t="s">
        <v>3024</v>
      </c>
      <c r="B12" s="1463">
        <v>439</v>
      </c>
      <c r="C12" s="1463">
        <v>327</v>
      </c>
      <c r="D12" s="1463">
        <f>C12</f>
        <v>327</v>
      </c>
      <c r="E12" s="1463">
        <v>627</v>
      </c>
      <c r="F12" s="1464">
        <v>283</v>
      </c>
      <c r="G12" s="3386">
        <v>2017</v>
      </c>
      <c r="H12" s="1456">
        <v>4</v>
      </c>
      <c r="I12" s="1456">
        <v>1.71</v>
      </c>
      <c r="J12" s="1456">
        <v>1.78</v>
      </c>
      <c r="K12" s="1456">
        <v>1.71</v>
      </c>
      <c r="L12" s="1457">
        <v>1.43</v>
      </c>
      <c r="N12" s="1466">
        <f t="shared" si="71"/>
        <v>1.7100000000000001E-2</v>
      </c>
      <c r="O12" s="1467">
        <f t="shared" ref="O12" si="80">J12/100</f>
        <v>1.78E-2</v>
      </c>
      <c r="P12" s="1467">
        <f t="shared" ref="P12" si="81">K12/100</f>
        <v>1.7100000000000001E-2</v>
      </c>
      <c r="Q12" s="1467">
        <f t="shared" ref="Q12" si="82">L12/100</f>
        <v>1.43E-2</v>
      </c>
      <c r="R12" s="1468"/>
      <c r="S12" s="1469"/>
      <c r="T12" s="1470"/>
      <c r="U12" s="1470"/>
      <c r="V12" s="1470"/>
      <c r="X12" s="1453">
        <f>ROUND(SUMPRODUCT(PRODUCT(1+N12:N$26)),4)</f>
        <v>1.4274</v>
      </c>
      <c r="Y12" s="1453">
        <f>ROUND(SUMPRODUCT(PRODUCT(1+O12:O$26)),4)</f>
        <v>1.2685</v>
      </c>
      <c r="Z12" s="1453">
        <f t="shared" si="0"/>
        <v>1.2685</v>
      </c>
      <c r="AA12" s="1453">
        <f>ROUND(SUMPRODUCT(PRODUCT(1+P12:P$26)),4)</f>
        <v>1.4825999999999999</v>
      </c>
      <c r="AB12" s="1453">
        <f>ROUND(SUMPRODUCT(PRODUCT(1+Q12:Q$26)),4)</f>
        <v>1.2309000000000001</v>
      </c>
      <c r="AD12" s="1454">
        <f>ROUND(AVERAGE(I12:I$27)/100,4)</f>
        <v>2.4500000000000001E-2</v>
      </c>
      <c r="AE12" s="1454">
        <f>ROUND(AVERAGE(J12:J$27)/100,4)</f>
        <v>1.6500000000000001E-2</v>
      </c>
      <c r="AF12" s="1454">
        <f t="shared" si="1"/>
        <v>1.6500000000000001E-2</v>
      </c>
      <c r="AG12" s="1454">
        <f>ROUND(AVERAGE(K12:K$27)/100,4)</f>
        <v>2.7099999999999999E-2</v>
      </c>
      <c r="AH12" s="1454">
        <f>ROUND(AVERAGE(L12:L$27)/100,4)</f>
        <v>1.3899999999999999E-2</v>
      </c>
    </row>
    <row r="13" spans="1:34" s="1460" customFormat="1" ht="14.45" customHeight="1">
      <c r="A13" s="1455" t="s">
        <v>3025</v>
      </c>
      <c r="B13" s="1471">
        <f t="shared" ref="B13:B14" si="83">B14*(1+N13)</f>
        <v>431.80730811680002</v>
      </c>
      <c r="C13" s="1471">
        <f t="shared" ref="C13:C14" si="84">C14*(1+O13)</f>
        <v>320.57880516480003</v>
      </c>
      <c r="D13" s="1471">
        <f t="shared" ref="D13:D14" si="85">C13</f>
        <v>320.57880516480003</v>
      </c>
      <c r="E13" s="1471">
        <f t="shared" ref="E13:E14" si="86">E14*(1+P13)</f>
        <v>615.96110553196797</v>
      </c>
      <c r="F13" s="1471">
        <f t="shared" ref="F13:F14" si="87">F14*(1+Q13)</f>
        <v>279.46777300108801</v>
      </c>
      <c r="G13" s="3381"/>
      <c r="H13" s="1458">
        <v>3</v>
      </c>
      <c r="I13" s="1458">
        <v>2.98</v>
      </c>
      <c r="J13" s="1458">
        <v>2.11</v>
      </c>
      <c r="K13" s="1458">
        <v>3.24</v>
      </c>
      <c r="L13" s="1472">
        <v>1.72</v>
      </c>
      <c r="M13" s="1465"/>
      <c r="N13" s="1466">
        <f t="shared" si="71"/>
        <v>2.98E-2</v>
      </c>
      <c r="O13" s="1467">
        <f t="shared" ref="O13" si="88">J13/100</f>
        <v>2.1099999999999997E-2</v>
      </c>
      <c r="P13" s="1467">
        <f t="shared" ref="P13" si="89">K13/100</f>
        <v>3.2400000000000005E-2</v>
      </c>
      <c r="Q13" s="1467">
        <f t="shared" ref="Q13" si="90">L13/100</f>
        <v>1.72E-2</v>
      </c>
      <c r="R13" s="1468"/>
      <c r="S13" s="1466"/>
      <c r="T13" s="1467"/>
      <c r="U13" s="1467"/>
      <c r="V13" s="1467"/>
      <c r="W13" s="1784"/>
      <c r="X13" s="1782">
        <f>ROUND(SUMPRODUCT(PRODUCT(1+N13:N$26)),4)</f>
        <v>1.4034</v>
      </c>
      <c r="Y13" s="1782">
        <f>ROUND(SUMPRODUCT(PRODUCT(1+O13:O$26)),4)</f>
        <v>1.2463</v>
      </c>
      <c r="Z13" s="1782">
        <f t="shared" si="0"/>
        <v>1.2463</v>
      </c>
      <c r="AA13" s="1782">
        <f>ROUND(SUMPRODUCT(PRODUCT(1+P13:P$26)),4)</f>
        <v>1.4577</v>
      </c>
      <c r="AB13" s="1782">
        <f>ROUND(SUMPRODUCT(PRODUCT(1+Q13:Q$26)),4)</f>
        <v>1.2136</v>
      </c>
      <c r="AC13" s="1784"/>
      <c r="AD13" s="1783">
        <f>ROUND(AVERAGE(I13:I$27)/100,4)</f>
        <v>2.4899999999999999E-2</v>
      </c>
      <c r="AE13" s="1783">
        <f>ROUND(AVERAGE(J13:J$27)/100,4)</f>
        <v>1.6400000000000001E-2</v>
      </c>
      <c r="AF13" s="1783">
        <f t="shared" si="1"/>
        <v>1.6400000000000001E-2</v>
      </c>
      <c r="AG13" s="1783">
        <f>ROUND(AVERAGE(K13:K$27)/100,4)</f>
        <v>2.7799999999999998E-2</v>
      </c>
      <c r="AH13" s="1783">
        <f>ROUND(AVERAGE(L13:L$27)/100,4)</f>
        <v>1.3899999999999999E-2</v>
      </c>
    </row>
    <row r="14" spans="1:34" s="1725" customFormat="1" ht="14.45" customHeight="1">
      <c r="A14" s="1455" t="s">
        <v>1381</v>
      </c>
      <c r="B14" s="1471">
        <f t="shared" si="83"/>
        <v>419.31181600000002</v>
      </c>
      <c r="C14" s="1471">
        <f t="shared" si="84"/>
        <v>313.95436800000004</v>
      </c>
      <c r="D14" s="1471">
        <f t="shared" si="85"/>
        <v>313.95436800000004</v>
      </c>
      <c r="E14" s="1471">
        <f t="shared" si="86"/>
        <v>596.63028431999999</v>
      </c>
      <c r="F14" s="1471">
        <f t="shared" si="87"/>
        <v>274.74220703999998</v>
      </c>
      <c r="G14" s="3381"/>
      <c r="H14" s="1459">
        <v>2</v>
      </c>
      <c r="I14" s="1459">
        <v>3.4</v>
      </c>
      <c r="J14" s="1459">
        <v>2</v>
      </c>
      <c r="K14" s="1459">
        <v>3.82</v>
      </c>
      <c r="L14" s="1473">
        <v>1.68</v>
      </c>
      <c r="M14" s="1465"/>
      <c r="N14" s="1466">
        <f t="shared" si="71"/>
        <v>3.4000000000000002E-2</v>
      </c>
      <c r="O14" s="1467">
        <f t="shared" ref="O14" si="91">J14/100</f>
        <v>0.02</v>
      </c>
      <c r="P14" s="1467">
        <f t="shared" ref="P14" si="92">K14/100</f>
        <v>3.8199999999999998E-2</v>
      </c>
      <c r="Q14" s="1467">
        <f t="shared" ref="Q14" si="93">L14/100</f>
        <v>1.6799999999999999E-2</v>
      </c>
      <c r="R14" s="1468"/>
      <c r="S14" s="1469"/>
      <c r="T14" s="1470"/>
      <c r="U14" s="1470"/>
      <c r="V14" s="1470"/>
      <c r="W14" s="1447"/>
      <c r="X14" s="1782">
        <f>ROUND(SUMPRODUCT(PRODUCT(1+N14:N$26)),4)</f>
        <v>1.3628</v>
      </c>
      <c r="Y14" s="1782">
        <f>ROUND(SUMPRODUCT(PRODUCT(1+O14:O$26)),4)</f>
        <v>1.2205999999999999</v>
      </c>
      <c r="Z14" s="1782">
        <f t="shared" si="0"/>
        <v>1.2205999999999999</v>
      </c>
      <c r="AA14" s="1782">
        <f>ROUND(SUMPRODUCT(PRODUCT(1+P14:P$26)),4)</f>
        <v>1.4118999999999999</v>
      </c>
      <c r="AB14" s="1782">
        <f>ROUND(SUMPRODUCT(PRODUCT(1+Q14:Q$26)),4)</f>
        <v>1.1930000000000001</v>
      </c>
      <c r="AC14" s="1447"/>
      <c r="AD14" s="1783">
        <f>ROUND(AVERAGE(I14:I$27)/100,4)</f>
        <v>2.46E-2</v>
      </c>
      <c r="AE14" s="1783">
        <f>ROUND(AVERAGE(J14:J$27)/100,4)</f>
        <v>1.6E-2</v>
      </c>
      <c r="AF14" s="1783">
        <f t="shared" si="1"/>
        <v>1.6E-2</v>
      </c>
      <c r="AG14" s="1783">
        <f>ROUND(AVERAGE(K14:K$27)/100,4)</f>
        <v>2.75E-2</v>
      </c>
      <c r="AH14" s="1783">
        <f>ROUND(AVERAGE(L14:L$27)/100,4)</f>
        <v>1.37E-2</v>
      </c>
    </row>
    <row r="15" spans="1:34" s="1460" customFormat="1" ht="15" customHeight="1" thickBot="1">
      <c r="A15" s="1455" t="s">
        <v>1157</v>
      </c>
      <c r="B15" s="1471">
        <f>B16*(1+N15)</f>
        <v>405.524</v>
      </c>
      <c r="C15" s="1471">
        <f>C16*(1+O15)</f>
        <v>307.79840000000002</v>
      </c>
      <c r="D15" s="1471">
        <f>C15</f>
        <v>307.79840000000002</v>
      </c>
      <c r="E15" s="1471">
        <f>E16*(1+P15)</f>
        <v>574.67759999999998</v>
      </c>
      <c r="F15" s="1471">
        <f>F16*(1+Q15)</f>
        <v>270.20280000000002</v>
      </c>
      <c r="G15" s="3390"/>
      <c r="H15" s="1458">
        <v>1</v>
      </c>
      <c r="I15" s="1458">
        <v>3.45</v>
      </c>
      <c r="J15" s="1458">
        <v>1.92</v>
      </c>
      <c r="K15" s="1458">
        <v>3.92</v>
      </c>
      <c r="L15" s="1472">
        <v>1.58</v>
      </c>
      <c r="M15" s="1465"/>
      <c r="N15" s="1466">
        <f t="shared" si="71"/>
        <v>3.4500000000000003E-2</v>
      </c>
      <c r="O15" s="1467">
        <f t="shared" ref="O15:Q30" si="94">J15/100</f>
        <v>1.9199999999999998E-2</v>
      </c>
      <c r="P15" s="1467">
        <f t="shared" si="94"/>
        <v>3.9199999999999999E-2</v>
      </c>
      <c r="Q15" s="1467">
        <f t="shared" si="94"/>
        <v>1.5800000000000002E-2</v>
      </c>
      <c r="R15" s="1468"/>
      <c r="S15" s="1466">
        <f>B15/B16-1</f>
        <v>3.4499999999999975E-2</v>
      </c>
      <c r="T15" s="1467">
        <f t="shared" ref="T15:V15" si="95">C15/C16-1</f>
        <v>1.9200000000000106E-2</v>
      </c>
      <c r="U15" s="1467">
        <f t="shared" si="95"/>
        <v>1.9200000000000106E-2</v>
      </c>
      <c r="V15" s="1467">
        <f t="shared" si="95"/>
        <v>3.9199999999999902E-2</v>
      </c>
      <c r="W15" s="1784"/>
      <c r="X15" s="1782">
        <f>ROUND(SUMPRODUCT(PRODUCT(1+N15:N$26)),4)</f>
        <v>1.3180000000000001</v>
      </c>
      <c r="Y15" s="1782">
        <f>ROUND(SUMPRODUCT(PRODUCT(1+O15:O$26)),4)</f>
        <v>1.1966000000000001</v>
      </c>
      <c r="Z15" s="1782">
        <f t="shared" si="0"/>
        <v>1.1966000000000001</v>
      </c>
      <c r="AA15" s="1782">
        <f>ROUND(SUMPRODUCT(PRODUCT(1+P15:P$26)),4)</f>
        <v>1.36</v>
      </c>
      <c r="AB15" s="1782">
        <f>ROUND(SUMPRODUCT(PRODUCT(1+Q15:Q$26)),4)</f>
        <v>1.1733</v>
      </c>
      <c r="AC15" s="1784"/>
      <c r="AD15" s="1783">
        <f>ROUND(AVERAGE(I15:I$27)/100,4)</f>
        <v>2.3900000000000001E-2</v>
      </c>
      <c r="AE15" s="1783">
        <f>ROUND(AVERAGE(J15:J$27)/100,4)</f>
        <v>1.5699999999999999E-2</v>
      </c>
      <c r="AF15" s="1783">
        <f t="shared" si="1"/>
        <v>1.5699999999999999E-2</v>
      </c>
      <c r="AG15" s="1783">
        <f>ROUND(AVERAGE(K15:K$27)/100,4)</f>
        <v>2.6599999999999999E-2</v>
      </c>
      <c r="AH15" s="1783">
        <f>ROUND(AVERAGE(L15:L$27)/100,4)</f>
        <v>1.34E-2</v>
      </c>
    </row>
    <row r="16" spans="1:34">
      <c r="A16" s="1455" t="s">
        <v>154</v>
      </c>
      <c r="B16" s="1463">
        <v>392</v>
      </c>
      <c r="C16" s="1463">
        <v>302</v>
      </c>
      <c r="D16" s="1463">
        <f>C16</f>
        <v>302</v>
      </c>
      <c r="E16" s="1463">
        <v>553</v>
      </c>
      <c r="F16" s="1464">
        <v>266</v>
      </c>
      <c r="G16" s="3386">
        <v>2016</v>
      </c>
      <c r="H16" s="1456">
        <v>4</v>
      </c>
      <c r="I16" s="1456">
        <v>4.5599999999999996</v>
      </c>
      <c r="J16" s="1456">
        <v>2.15</v>
      </c>
      <c r="K16" s="1456">
        <v>5.32</v>
      </c>
      <c r="L16" s="1457">
        <v>1.57</v>
      </c>
      <c r="N16" s="1466">
        <f t="shared" si="71"/>
        <v>4.5599999999999995E-2</v>
      </c>
      <c r="O16" s="1467">
        <f t="shared" si="94"/>
        <v>2.1499999999999998E-2</v>
      </c>
      <c r="P16" s="1467">
        <f t="shared" si="94"/>
        <v>5.3200000000000004E-2</v>
      </c>
      <c r="Q16" s="1467">
        <f t="shared" si="94"/>
        <v>1.5700000000000002E-2</v>
      </c>
      <c r="R16" s="1468"/>
      <c r="S16" s="1469"/>
      <c r="T16" s="1470"/>
      <c r="U16" s="1470"/>
      <c r="V16" s="1470"/>
      <c r="X16" s="1453">
        <f>ROUND(SUMPRODUCT(PRODUCT(1+N16:N$26)),4)</f>
        <v>1.274</v>
      </c>
      <c r="Y16" s="1453">
        <f>ROUND(SUMPRODUCT(PRODUCT(1+O16:O$26)),4)</f>
        <v>1.1740999999999999</v>
      </c>
      <c r="Z16" s="1453">
        <f t="shared" si="0"/>
        <v>1.1740999999999999</v>
      </c>
      <c r="AA16" s="1453">
        <f>ROUND(SUMPRODUCT(PRODUCT(1+P16:P$26)),4)</f>
        <v>1.3087</v>
      </c>
      <c r="AB16" s="1453">
        <f>ROUND(SUMPRODUCT(PRODUCT(1+Q16:Q$26)),4)</f>
        <v>1.1551</v>
      </c>
      <c r="AD16" s="1454">
        <f>ROUND(AVERAGE(I16:I$27)/100,4)</f>
        <v>2.3E-2</v>
      </c>
      <c r="AE16" s="1454">
        <f>ROUND(AVERAGE(J16:J$27)/100,4)</f>
        <v>1.55E-2</v>
      </c>
      <c r="AF16" s="1454">
        <f t="shared" si="1"/>
        <v>1.55E-2</v>
      </c>
      <c r="AG16" s="1454">
        <f>ROUND(AVERAGE(K16:K$27)/100,4)</f>
        <v>2.5600000000000001E-2</v>
      </c>
      <c r="AH16" s="1454">
        <f>ROUND(AVERAGE(L16:L$27)/100,4)</f>
        <v>1.32E-2</v>
      </c>
    </row>
    <row r="17" spans="1:34">
      <c r="A17" s="1455" t="s">
        <v>153</v>
      </c>
      <c r="B17" s="1471">
        <f t="shared" ref="B17:C19" si="96">B16/(1+N16)</f>
        <v>374.90436113236416</v>
      </c>
      <c r="C17" s="1471">
        <f t="shared" si="96"/>
        <v>295.64366128242779</v>
      </c>
      <c r="D17" s="1471">
        <f t="shared" ref="D17:D76" si="97">C17</f>
        <v>295.64366128242779</v>
      </c>
      <c r="E17" s="1471">
        <f t="shared" ref="E17:F19" si="98">E16/(1+P16)</f>
        <v>525.06646410938095</v>
      </c>
      <c r="F17" s="1471">
        <f t="shared" si="98"/>
        <v>261.88835286009646</v>
      </c>
      <c r="G17" s="3381"/>
      <c r="H17" s="1458">
        <v>3</v>
      </c>
      <c r="I17" s="1458">
        <v>4.12</v>
      </c>
      <c r="J17" s="1458">
        <v>2</v>
      </c>
      <c r="K17" s="1458">
        <v>4.79</v>
      </c>
      <c r="L17" s="1472">
        <v>1.97</v>
      </c>
      <c r="N17" s="1466">
        <f t="shared" ref="N17:Q51" si="99">I17/100</f>
        <v>4.1200000000000001E-2</v>
      </c>
      <c r="O17" s="1467">
        <f t="shared" si="94"/>
        <v>0.02</v>
      </c>
      <c r="P17" s="1467">
        <f t="shared" si="94"/>
        <v>4.7899999999999998E-2</v>
      </c>
      <c r="Q17" s="1467">
        <f t="shared" si="94"/>
        <v>1.9699999999999999E-2</v>
      </c>
      <c r="R17" s="1468"/>
      <c r="S17" s="1466"/>
      <c r="T17" s="1467"/>
      <c r="U17" s="1467"/>
      <c r="V17" s="1467"/>
      <c r="X17" s="1453">
        <f>ROUND(SUMPRODUCT(PRODUCT(1+N17:N$26)),4)</f>
        <v>1.2184999999999999</v>
      </c>
      <c r="Y17" s="1453">
        <f>ROUND(SUMPRODUCT(PRODUCT(1+O17:O$26)),4)</f>
        <v>1.1494</v>
      </c>
      <c r="Z17" s="1453">
        <f t="shared" si="0"/>
        <v>1.1494</v>
      </c>
      <c r="AA17" s="1453">
        <f>ROUND(SUMPRODUCT(PRODUCT(1+P17:P$26)),4)</f>
        <v>1.2425999999999999</v>
      </c>
      <c r="AB17" s="1453">
        <f>ROUND(SUMPRODUCT(PRODUCT(1+Q17:Q$26)),4)</f>
        <v>1.1372</v>
      </c>
      <c r="AD17" s="1454">
        <f>ROUND(AVERAGE(I17:I$27)/100,4)</f>
        <v>2.0899999999999998E-2</v>
      </c>
      <c r="AE17" s="1454">
        <f>ROUND(AVERAGE(J17:J$27)/100,4)</f>
        <v>1.49E-2</v>
      </c>
      <c r="AF17" s="1454">
        <f t="shared" si="1"/>
        <v>1.49E-2</v>
      </c>
      <c r="AG17" s="1454">
        <f>ROUND(AVERAGE(K17:K$27)/100,4)</f>
        <v>2.3099999999999999E-2</v>
      </c>
      <c r="AH17" s="1454">
        <f>ROUND(AVERAGE(L17:L$27)/100,4)</f>
        <v>1.2999999999999999E-2</v>
      </c>
    </row>
    <row r="18" spans="1:34">
      <c r="A18" s="1455" t="s">
        <v>143</v>
      </c>
      <c r="B18" s="1471">
        <f t="shared" si="96"/>
        <v>360.06949782209392</v>
      </c>
      <c r="C18" s="1471">
        <f t="shared" si="96"/>
        <v>289.84672674747821</v>
      </c>
      <c r="D18" s="1471">
        <f t="shared" si="97"/>
        <v>289.84672674747821</v>
      </c>
      <c r="E18" s="1471">
        <f t="shared" si="98"/>
        <v>501.06543001181495</v>
      </c>
      <c r="F18" s="1471">
        <f t="shared" si="98"/>
        <v>256.82882500744967</v>
      </c>
      <c r="G18" s="3381"/>
      <c r="H18" s="1459">
        <v>2</v>
      </c>
      <c r="I18" s="1459">
        <v>3.85</v>
      </c>
      <c r="J18" s="1459">
        <v>1.95</v>
      </c>
      <c r="K18" s="1459">
        <v>4.4800000000000004</v>
      </c>
      <c r="L18" s="1473">
        <v>1.41</v>
      </c>
      <c r="N18" s="1466">
        <f t="shared" si="99"/>
        <v>3.85E-2</v>
      </c>
      <c r="O18" s="1467">
        <f t="shared" si="94"/>
        <v>1.95E-2</v>
      </c>
      <c r="P18" s="1467">
        <f t="shared" si="94"/>
        <v>4.4800000000000006E-2</v>
      </c>
      <c r="Q18" s="1467">
        <f t="shared" si="94"/>
        <v>1.41E-2</v>
      </c>
      <c r="R18" s="1468"/>
      <c r="S18" s="1466"/>
      <c r="T18" s="1467"/>
      <c r="U18" s="1467"/>
      <c r="V18" s="1467"/>
      <c r="X18" s="1453">
        <f>ROUND(SUMPRODUCT(PRODUCT(1+N18:N$26)),4)</f>
        <v>1.1702999999999999</v>
      </c>
      <c r="Y18" s="1453">
        <f>ROUND(SUMPRODUCT(PRODUCT(1+O18:O$26)),4)</f>
        <v>1.1269</v>
      </c>
      <c r="Z18" s="1453">
        <f t="shared" si="0"/>
        <v>1.1269</v>
      </c>
      <c r="AA18" s="1453">
        <f>ROUND(SUMPRODUCT(PRODUCT(1+P18:P$26)),4)</f>
        <v>1.1858</v>
      </c>
      <c r="AB18" s="1453">
        <f>ROUND(SUMPRODUCT(PRODUCT(1+Q18:Q$26)),4)</f>
        <v>1.1152</v>
      </c>
      <c r="AD18" s="1454">
        <f>ROUND(AVERAGE(I18:I$27)/100,4)</f>
        <v>1.89E-2</v>
      </c>
      <c r="AE18" s="1454">
        <f>ROUND(AVERAGE(J18:J$27)/100,4)</f>
        <v>1.44E-2</v>
      </c>
      <c r="AF18" s="1454">
        <f t="shared" si="1"/>
        <v>1.44E-2</v>
      </c>
      <c r="AG18" s="1454">
        <f>ROUND(AVERAGE(K18:K$27)/100,4)</f>
        <v>2.06E-2</v>
      </c>
      <c r="AH18" s="1454">
        <f>ROUND(AVERAGE(L18:L$27)/100,4)</f>
        <v>1.23E-2</v>
      </c>
    </row>
    <row r="19" spans="1:34" ht="13.5" thickBot="1">
      <c r="A19" s="1455" t="s">
        <v>152</v>
      </c>
      <c r="B19" s="1471">
        <f t="shared" si="96"/>
        <v>346.720748986128</v>
      </c>
      <c r="C19" s="1471">
        <f t="shared" si="96"/>
        <v>284.30282172386285</v>
      </c>
      <c r="D19" s="1471">
        <f t="shared" si="97"/>
        <v>284.30282172386285</v>
      </c>
      <c r="E19" s="1471">
        <f t="shared" si="98"/>
        <v>479.58023546306947</v>
      </c>
      <c r="F19" s="1471">
        <f t="shared" si="98"/>
        <v>253.25788877571213</v>
      </c>
      <c r="G19" s="3382"/>
      <c r="H19" s="1458">
        <v>1</v>
      </c>
      <c r="I19" s="1458">
        <v>4.09</v>
      </c>
      <c r="J19" s="1458">
        <v>2.93</v>
      </c>
      <c r="K19" s="1458">
        <v>4.54</v>
      </c>
      <c r="L19" s="1472">
        <v>1.48</v>
      </c>
      <c r="N19" s="1466">
        <f t="shared" si="99"/>
        <v>4.0899999999999999E-2</v>
      </c>
      <c r="O19" s="1467">
        <f t="shared" si="94"/>
        <v>2.9300000000000003E-2</v>
      </c>
      <c r="P19" s="1467">
        <f t="shared" si="94"/>
        <v>4.5400000000000003E-2</v>
      </c>
      <c r="Q19" s="1467">
        <f t="shared" si="94"/>
        <v>1.4800000000000001E-2</v>
      </c>
      <c r="R19" s="1468"/>
      <c r="S19" s="1474">
        <f>B19/B20-1</f>
        <v>4.1203450408792808E-2</v>
      </c>
      <c r="T19" s="1475">
        <f>C19/C20-1</f>
        <v>2.6363977342465095E-2</v>
      </c>
      <c r="U19" s="1475">
        <f>E19/E20-1</f>
        <v>4.4837114298626357E-2</v>
      </c>
      <c r="V19" s="1475">
        <f>F19/F20-1</f>
        <v>1.7099954922538574E-2</v>
      </c>
      <c r="X19" s="1453">
        <f>ROUND(SUMPRODUCT(PRODUCT(1+N19:N$26)),4)</f>
        <v>1.1269</v>
      </c>
      <c r="Y19" s="1453">
        <f>ROUND(SUMPRODUCT(PRODUCT(1+O19:O$26)),4)</f>
        <v>1.1052999999999999</v>
      </c>
      <c r="Z19" s="1453">
        <f t="shared" si="0"/>
        <v>1.1052999999999999</v>
      </c>
      <c r="AA19" s="1453">
        <f>ROUND(SUMPRODUCT(PRODUCT(1+P19:P$26)),4)</f>
        <v>1.1349</v>
      </c>
      <c r="AB19" s="1453">
        <f>ROUND(SUMPRODUCT(PRODUCT(1+Q19:Q$26)),4)</f>
        <v>1.0996999999999999</v>
      </c>
      <c r="AD19" s="1454">
        <f>ROUND(AVERAGE(I19:I$27)/100,4)</f>
        <v>1.67E-2</v>
      </c>
      <c r="AE19" s="1454">
        <f>ROUND(AVERAGE(J19:J$27)/100,4)</f>
        <v>1.38E-2</v>
      </c>
      <c r="AF19" s="1454">
        <f t="shared" si="1"/>
        <v>1.38E-2</v>
      </c>
      <c r="AG19" s="1454">
        <f>ROUND(AVERAGE(K19:K$27)/100,4)</f>
        <v>1.7899999999999999E-2</v>
      </c>
      <c r="AH19" s="1454">
        <f>ROUND(AVERAGE(L19:L$27)/100,4)</f>
        <v>1.21E-2</v>
      </c>
    </row>
    <row r="20" spans="1:34" ht="13.5" thickBot="1">
      <c r="A20" s="1455" t="s">
        <v>151</v>
      </c>
      <c r="B20" s="1463">
        <v>333</v>
      </c>
      <c r="C20" s="1463">
        <v>277</v>
      </c>
      <c r="D20" s="1463">
        <f t="shared" si="97"/>
        <v>277</v>
      </c>
      <c r="E20" s="1463">
        <v>459</v>
      </c>
      <c r="F20" s="1464">
        <v>249</v>
      </c>
      <c r="G20" s="3380">
        <v>2015</v>
      </c>
      <c r="H20" s="1476">
        <v>4</v>
      </c>
      <c r="I20" s="1476">
        <v>1.63</v>
      </c>
      <c r="J20" s="1476">
        <v>1.1100000000000001</v>
      </c>
      <c r="K20" s="1476">
        <v>1.77</v>
      </c>
      <c r="L20" s="1477">
        <v>1.89</v>
      </c>
      <c r="N20" s="1478">
        <f t="shared" si="99"/>
        <v>1.6299999999999999E-2</v>
      </c>
      <c r="O20" s="1479">
        <f t="shared" si="94"/>
        <v>1.11E-2</v>
      </c>
      <c r="P20" s="1479">
        <f t="shared" si="94"/>
        <v>1.77E-2</v>
      </c>
      <c r="Q20" s="1479">
        <f t="shared" si="94"/>
        <v>1.89E-2</v>
      </c>
      <c r="R20" s="1468"/>
      <c r="X20" s="1453">
        <f>ROUND(SUMPRODUCT(PRODUCT(1+N20:N$26)),4)</f>
        <v>1.0826</v>
      </c>
      <c r="Y20" s="1453">
        <f>ROUND(SUMPRODUCT(PRODUCT(1+O20:O$26)),4)</f>
        <v>1.0738000000000001</v>
      </c>
      <c r="Z20" s="1453">
        <f t="shared" si="0"/>
        <v>1.0738000000000001</v>
      </c>
      <c r="AA20" s="1453">
        <f>ROUND(SUMPRODUCT(PRODUCT(1+P20:P$26)),4)</f>
        <v>1.0855999999999999</v>
      </c>
      <c r="AB20" s="1453">
        <f>ROUND(SUMPRODUCT(PRODUCT(1+Q20:Q$26)),4)</f>
        <v>1.0837000000000001</v>
      </c>
      <c r="AD20" s="1454">
        <f>ROUND(AVERAGE(I20:I$27)/100,4)</f>
        <v>1.37E-2</v>
      </c>
      <c r="AE20" s="1454">
        <f>ROUND(AVERAGE(J20:J$27)/100,4)</f>
        <v>1.1900000000000001E-2</v>
      </c>
      <c r="AF20" s="1454">
        <f t="shared" si="1"/>
        <v>1.1900000000000001E-2</v>
      </c>
      <c r="AG20" s="1454">
        <f>ROUND(AVERAGE(K20:K$27)/100,4)</f>
        <v>1.4500000000000001E-2</v>
      </c>
      <c r="AH20" s="1454">
        <f>ROUND(AVERAGE(L20:L$27)/100,4)</f>
        <v>1.18E-2</v>
      </c>
    </row>
    <row r="21" spans="1:34">
      <c r="A21" s="1455" t="s">
        <v>150</v>
      </c>
      <c r="B21" s="1471">
        <f t="shared" ref="B21:C23" si="100">B20/(1+N20)</f>
        <v>327.65915576109415</v>
      </c>
      <c r="C21" s="1471">
        <f t="shared" si="100"/>
        <v>273.95905449510434</v>
      </c>
      <c r="D21" s="1471">
        <f t="shared" si="97"/>
        <v>273.95905449510434</v>
      </c>
      <c r="E21" s="1471">
        <f t="shared" ref="E21:F23" si="101">E20/(1+P20)</f>
        <v>451.01699911565294</v>
      </c>
      <c r="F21" s="1471">
        <f t="shared" si="101"/>
        <v>244.38119540681129</v>
      </c>
      <c r="G21" s="3381"/>
      <c r="H21" s="1481">
        <v>3</v>
      </c>
      <c r="I21" s="1481">
        <v>1.65</v>
      </c>
      <c r="J21" s="1481">
        <v>0.92</v>
      </c>
      <c r="K21" s="1481">
        <v>1.88</v>
      </c>
      <c r="L21" s="1482">
        <v>1.26</v>
      </c>
      <c r="N21" s="1466">
        <f t="shared" si="99"/>
        <v>1.6500000000000001E-2</v>
      </c>
      <c r="O21" s="1483">
        <f t="shared" si="94"/>
        <v>9.1999999999999998E-3</v>
      </c>
      <c r="P21" s="1483">
        <f t="shared" si="94"/>
        <v>1.8799999999999997E-2</v>
      </c>
      <c r="Q21" s="1483">
        <f t="shared" si="94"/>
        <v>1.26E-2</v>
      </c>
      <c r="R21" s="1468"/>
      <c r="S21" s="1466"/>
      <c r="T21" s="1467"/>
      <c r="U21" s="1467"/>
      <c r="V21" s="1467"/>
      <c r="X21" s="1453">
        <f>ROUND(SUMPRODUCT(PRODUCT(1+N21:N$26)),4)</f>
        <v>1.0651999999999999</v>
      </c>
      <c r="Y21" s="1453">
        <f>ROUND(SUMPRODUCT(PRODUCT(1+O21:O$26)),4)</f>
        <v>1.0621</v>
      </c>
      <c r="Z21" s="1453">
        <f t="shared" si="0"/>
        <v>1.0621</v>
      </c>
      <c r="AA21" s="1453">
        <f>ROUND(SUMPRODUCT(PRODUCT(1+P21:P$26)),4)</f>
        <v>1.0668</v>
      </c>
      <c r="AB21" s="1453">
        <f>ROUND(SUMPRODUCT(PRODUCT(1+Q21:Q$26)),4)</f>
        <v>1.0636000000000001</v>
      </c>
      <c r="AD21" s="1454">
        <f>ROUND(AVERAGE(I21:I$27)/100,4)</f>
        <v>1.3299999999999999E-2</v>
      </c>
      <c r="AE21" s="1454">
        <f>ROUND(AVERAGE(J21:J$27)/100,4)</f>
        <v>1.2E-2</v>
      </c>
      <c r="AF21" s="1454">
        <f t="shared" si="1"/>
        <v>1.2E-2</v>
      </c>
      <c r="AG21" s="1454">
        <f>ROUND(AVERAGE(K21:K$27)/100,4)</f>
        <v>1.4E-2</v>
      </c>
      <c r="AH21" s="1454">
        <f>ROUND(AVERAGE(L21:L$27)/100,4)</f>
        <v>1.0800000000000001E-2</v>
      </c>
    </row>
    <row r="22" spans="1:34">
      <c r="A22" s="1455" t="s">
        <v>149</v>
      </c>
      <c r="B22" s="1471">
        <f t="shared" si="100"/>
        <v>322.34053690220776</v>
      </c>
      <c r="C22" s="1471">
        <f t="shared" si="100"/>
        <v>271.46160770422546</v>
      </c>
      <c r="D22" s="1471">
        <f t="shared" si="97"/>
        <v>271.46160770422546</v>
      </c>
      <c r="E22" s="1471">
        <f t="shared" si="101"/>
        <v>442.69434542172456</v>
      </c>
      <c r="F22" s="1471">
        <f t="shared" si="101"/>
        <v>241.34030753190925</v>
      </c>
      <c r="G22" s="3381"/>
      <c r="H22" s="1459">
        <v>2</v>
      </c>
      <c r="I22" s="1459">
        <v>0.77</v>
      </c>
      <c r="J22" s="1459">
        <v>0.69</v>
      </c>
      <c r="K22" s="1459">
        <v>0.8</v>
      </c>
      <c r="L22" s="1473">
        <v>0.88</v>
      </c>
      <c r="N22" s="1466">
        <f t="shared" si="99"/>
        <v>7.7000000000000002E-3</v>
      </c>
      <c r="O22" s="1483">
        <f t="shared" si="94"/>
        <v>6.8999999999999999E-3</v>
      </c>
      <c r="P22" s="1483">
        <f t="shared" si="94"/>
        <v>8.0000000000000002E-3</v>
      </c>
      <c r="Q22" s="1483">
        <f t="shared" si="94"/>
        <v>8.8000000000000005E-3</v>
      </c>
      <c r="R22" s="1468"/>
      <c r="S22" s="1466"/>
      <c r="T22" s="1467"/>
      <c r="U22" s="1467"/>
      <c r="V22" s="1467"/>
      <c r="X22" s="1453">
        <f>ROUND(SUMPRODUCT(PRODUCT(1+N22:N$26)),4)</f>
        <v>1.048</v>
      </c>
      <c r="Y22" s="1453">
        <f>ROUND(SUMPRODUCT(PRODUCT(1+O22:O$26)),4)</f>
        <v>1.0524</v>
      </c>
      <c r="Z22" s="1453">
        <f t="shared" si="0"/>
        <v>1.0524</v>
      </c>
      <c r="AA22" s="1453">
        <f>ROUND(SUMPRODUCT(PRODUCT(1+P22:P$26)),4)</f>
        <v>1.0470999999999999</v>
      </c>
      <c r="AB22" s="1453">
        <f>ROUND(SUMPRODUCT(PRODUCT(1+Q22:Q$26)),4)</f>
        <v>1.0504</v>
      </c>
      <c r="AD22" s="1454">
        <f>ROUND(AVERAGE(I22:I$27)/100,4)</f>
        <v>1.2800000000000001E-2</v>
      </c>
      <c r="AE22" s="1454">
        <f>ROUND(AVERAGE(J22:J$27)/100,4)</f>
        <v>1.2500000000000001E-2</v>
      </c>
      <c r="AF22" s="1454">
        <f t="shared" si="1"/>
        <v>1.2500000000000001E-2</v>
      </c>
      <c r="AG22" s="1454">
        <f>ROUND(AVERAGE(K22:K$27)/100,4)</f>
        <v>1.32E-2</v>
      </c>
      <c r="AH22" s="1454">
        <f>ROUND(AVERAGE(L22:L$27)/100,4)</f>
        <v>1.0500000000000001E-2</v>
      </c>
    </row>
    <row r="23" spans="1:34">
      <c r="A23" s="1455" t="s">
        <v>148</v>
      </c>
      <c r="B23" s="1471">
        <f t="shared" si="100"/>
        <v>319.87748030386797</v>
      </c>
      <c r="C23" s="1471">
        <f t="shared" si="100"/>
        <v>269.60135833173649</v>
      </c>
      <c r="D23" s="1471">
        <f t="shared" si="97"/>
        <v>269.60135833173649</v>
      </c>
      <c r="E23" s="1471">
        <f t="shared" si="101"/>
        <v>439.18089823583784</v>
      </c>
      <c r="F23" s="1471">
        <f t="shared" si="101"/>
        <v>239.23503918706311</v>
      </c>
      <c r="G23" s="3382"/>
      <c r="H23" s="1458">
        <v>1</v>
      </c>
      <c r="I23" s="1458">
        <v>0.51</v>
      </c>
      <c r="J23" s="1458">
        <v>0.54</v>
      </c>
      <c r="K23" s="1458">
        <v>0.48</v>
      </c>
      <c r="L23" s="1472">
        <v>0.93</v>
      </c>
      <c r="N23" s="1474">
        <f t="shared" si="99"/>
        <v>5.1000000000000004E-3</v>
      </c>
      <c r="O23" s="1475">
        <f t="shared" si="94"/>
        <v>5.4000000000000003E-3</v>
      </c>
      <c r="P23" s="1475">
        <f t="shared" si="94"/>
        <v>4.7999999999999996E-3</v>
      </c>
      <c r="Q23" s="1475">
        <f t="shared" si="94"/>
        <v>9.300000000000001E-3</v>
      </c>
      <c r="R23" s="1468"/>
      <c r="S23" s="1474">
        <f>B23/B24-1</f>
        <v>5.9040261127922822E-3</v>
      </c>
      <c r="T23" s="1475">
        <f>C23/C24-1</f>
        <v>5.9752176557332781E-3</v>
      </c>
      <c r="U23" s="1475">
        <f>E23/E24-1</f>
        <v>4.9906138119859556E-3</v>
      </c>
      <c r="V23" s="1475">
        <f>F23/F24-1</f>
        <v>9.4305450930933787E-3</v>
      </c>
      <c r="X23" s="1453">
        <f>ROUND(SUMPRODUCT(PRODUCT(1+N23:N$26)),4)</f>
        <v>1.0399</v>
      </c>
      <c r="Y23" s="1453">
        <f>ROUND(SUMPRODUCT(PRODUCT(1+O23:O$26)),4)</f>
        <v>1.0451999999999999</v>
      </c>
      <c r="Z23" s="1453">
        <f t="shared" si="0"/>
        <v>1.0451999999999999</v>
      </c>
      <c r="AA23" s="1453">
        <f>ROUND(SUMPRODUCT(PRODUCT(1+P23:P$26)),4)</f>
        <v>1.0387999999999999</v>
      </c>
      <c r="AB23" s="1453">
        <f>ROUND(SUMPRODUCT(PRODUCT(1+Q23:Q$26)),4)</f>
        <v>1.0411999999999999</v>
      </c>
      <c r="AD23" s="1454">
        <f>ROUND(AVERAGE(I23:I$27)/100,4)</f>
        <v>1.38E-2</v>
      </c>
      <c r="AE23" s="1454">
        <f>ROUND(AVERAGE(J23:J$27)/100,4)</f>
        <v>1.3599999999999999E-2</v>
      </c>
      <c r="AF23" s="1454">
        <f t="shared" si="1"/>
        <v>1.3599999999999999E-2</v>
      </c>
      <c r="AG23" s="1454">
        <f>ROUND(AVERAGE(K23:K$27)/100,4)</f>
        <v>1.4200000000000001E-2</v>
      </c>
      <c r="AH23" s="1454">
        <f>ROUND(AVERAGE(L23:L$27)/100,4)</f>
        <v>1.0800000000000001E-2</v>
      </c>
    </row>
    <row r="24" spans="1:34" ht="13.5" thickBot="1">
      <c r="A24" s="1455" t="s">
        <v>147</v>
      </c>
      <c r="B24" s="1484">
        <v>318</v>
      </c>
      <c r="C24" s="1484">
        <v>268</v>
      </c>
      <c r="D24" s="1484">
        <f t="shared" si="97"/>
        <v>268</v>
      </c>
      <c r="E24" s="1484">
        <v>437</v>
      </c>
      <c r="F24" s="1485">
        <v>237</v>
      </c>
      <c r="G24" s="3380">
        <v>2014</v>
      </c>
      <c r="H24" s="1476">
        <v>4</v>
      </c>
      <c r="I24" s="1476">
        <v>0.21</v>
      </c>
      <c r="J24" s="1476">
        <v>0.41</v>
      </c>
      <c r="K24" s="1476">
        <v>0.12</v>
      </c>
      <c r="L24" s="1477">
        <v>0.89</v>
      </c>
      <c r="N24" s="1466">
        <f t="shared" si="99"/>
        <v>2.0999999999999999E-3</v>
      </c>
      <c r="O24" s="1467">
        <f t="shared" si="94"/>
        <v>4.0999999999999995E-3</v>
      </c>
      <c r="P24" s="1467">
        <f t="shared" si="94"/>
        <v>1.1999999999999999E-3</v>
      </c>
      <c r="Q24" s="1467">
        <f t="shared" si="94"/>
        <v>8.8999999999999999E-3</v>
      </c>
      <c r="R24" s="1468"/>
      <c r="S24" s="1469"/>
      <c r="T24" s="1470"/>
      <c r="U24" s="1470"/>
      <c r="V24" s="1470"/>
      <c r="X24" s="1453">
        <f>ROUND(SUMPRODUCT(PRODUCT(1+N24:N$26)),4)</f>
        <v>1.0347</v>
      </c>
      <c r="Y24" s="1453">
        <f>ROUND(SUMPRODUCT(PRODUCT(1+O24:O$26)),4)</f>
        <v>1.0395000000000001</v>
      </c>
      <c r="Z24" s="1453">
        <f t="shared" si="0"/>
        <v>1.0395000000000001</v>
      </c>
      <c r="AA24" s="1453">
        <f>ROUND(SUMPRODUCT(PRODUCT(1+P24:P$26)),4)</f>
        <v>1.0338000000000001</v>
      </c>
      <c r="AB24" s="1453">
        <f>ROUND(SUMPRODUCT(PRODUCT(1+Q24:Q$26)),4)</f>
        <v>1.0316000000000001</v>
      </c>
      <c r="AD24" s="1454">
        <f>ROUND(AVERAGE(I24:I$27)/100,4)</f>
        <v>1.6E-2</v>
      </c>
      <c r="AE24" s="1454">
        <f>ROUND(AVERAGE(J24:J$27)/100,4)</f>
        <v>1.5599999999999999E-2</v>
      </c>
      <c r="AF24" s="1454">
        <f t="shared" si="1"/>
        <v>1.5599999999999999E-2</v>
      </c>
      <c r="AG24" s="1454">
        <f>ROUND(AVERAGE(K24:K$27)/100,4)</f>
        <v>1.66E-2</v>
      </c>
      <c r="AH24" s="1454">
        <f>ROUND(AVERAGE(L24:L$27)/100,4)</f>
        <v>1.12E-2</v>
      </c>
    </row>
    <row r="25" spans="1:34">
      <c r="A25" s="1455" t="s">
        <v>146</v>
      </c>
      <c r="B25" s="1471">
        <f t="shared" ref="B25:C27" si="102">B24/(1+N24)</f>
        <v>317.33359944117353</v>
      </c>
      <c r="C25" s="1471">
        <f t="shared" si="102"/>
        <v>266.90568668459315</v>
      </c>
      <c r="D25" s="1471">
        <f t="shared" si="97"/>
        <v>266.90568668459315</v>
      </c>
      <c r="E25" s="1471">
        <f t="shared" ref="E25:F27" si="103">E24/(1+P24)</f>
        <v>436.47622852576905</v>
      </c>
      <c r="F25" s="1471">
        <f t="shared" si="103"/>
        <v>234.90930716622066</v>
      </c>
      <c r="G25" s="3381"/>
      <c r="H25" s="1486">
        <v>3</v>
      </c>
      <c r="I25" s="1486">
        <v>0.83</v>
      </c>
      <c r="J25" s="1486">
        <v>1.47</v>
      </c>
      <c r="K25" s="1486">
        <v>0.65</v>
      </c>
      <c r="L25" s="1487">
        <v>0.72</v>
      </c>
      <c r="N25" s="1466">
        <f t="shared" si="99"/>
        <v>8.3000000000000001E-3</v>
      </c>
      <c r="O25" s="1467">
        <f t="shared" si="94"/>
        <v>1.47E-2</v>
      </c>
      <c r="P25" s="1467">
        <f t="shared" si="94"/>
        <v>6.5000000000000006E-3</v>
      </c>
      <c r="Q25" s="1467">
        <f t="shared" si="94"/>
        <v>7.1999999999999998E-3</v>
      </c>
      <c r="R25" s="1468"/>
      <c r="S25" s="1466"/>
      <c r="T25" s="1467"/>
      <c r="U25" s="1467"/>
      <c r="V25" s="1467"/>
      <c r="X25" s="1453">
        <f>ROUND(SUMPRODUCT(PRODUCT(1+N25:N$26)),4)</f>
        <v>1.0325</v>
      </c>
      <c r="Y25" s="1453">
        <f>ROUND(SUMPRODUCT(PRODUCT(1+O25:O$26)),4)</f>
        <v>1.0353000000000001</v>
      </c>
      <c r="Z25" s="1453">
        <f t="shared" ref="Z25:Z26" si="104">Y25</f>
        <v>1.0353000000000001</v>
      </c>
      <c r="AA25" s="1453">
        <f>ROUND(SUMPRODUCT(PRODUCT(1+P25:P$26)),4)</f>
        <v>1.0326</v>
      </c>
      <c r="AB25" s="1453">
        <f>ROUND(SUMPRODUCT(PRODUCT(1+Q25:Q$26)),4)</f>
        <v>1.0225</v>
      </c>
      <c r="AD25" s="1454">
        <f>ROUND(AVERAGE(I25:I$27)/100,4)</f>
        <v>2.07E-2</v>
      </c>
      <c r="AE25" s="1454">
        <f>ROUND(AVERAGE(J25:J$27)/100,4)</f>
        <v>1.95E-2</v>
      </c>
      <c r="AF25" s="1454">
        <f t="shared" si="1"/>
        <v>1.95E-2</v>
      </c>
      <c r="AG25" s="1454">
        <f>ROUND(AVERAGE(K25:K$27)/100,4)</f>
        <v>2.1700000000000001E-2</v>
      </c>
      <c r="AH25" s="1454">
        <f>ROUND(AVERAGE(L25:L$27)/100,4)</f>
        <v>1.2E-2</v>
      </c>
    </row>
    <row r="26" spans="1:34" ht="13.5" thickBot="1">
      <c r="A26" s="1455" t="s">
        <v>145</v>
      </c>
      <c r="B26" s="1471">
        <f t="shared" si="102"/>
        <v>314.72141172386546</v>
      </c>
      <c r="C26" s="1471">
        <f t="shared" si="102"/>
        <v>263.03901319069001</v>
      </c>
      <c r="D26" s="1471">
        <f t="shared" si="97"/>
        <v>263.03901319069001</v>
      </c>
      <c r="E26" s="1471">
        <f t="shared" si="103"/>
        <v>433.65745506782821</v>
      </c>
      <c r="F26" s="1471">
        <f t="shared" si="103"/>
        <v>233.23005080045735</v>
      </c>
      <c r="G26" s="3381"/>
      <c r="H26" s="1476">
        <v>2</v>
      </c>
      <c r="I26" s="1476">
        <v>2.4</v>
      </c>
      <c r="J26" s="1476">
        <v>2.0299999999999998</v>
      </c>
      <c r="K26" s="1476">
        <v>2.59</v>
      </c>
      <c r="L26" s="1477">
        <v>1.52</v>
      </c>
      <c r="N26" s="1466">
        <f t="shared" si="99"/>
        <v>2.4E-2</v>
      </c>
      <c r="O26" s="1467">
        <f t="shared" si="94"/>
        <v>2.0299999999999999E-2</v>
      </c>
      <c r="P26" s="1467">
        <f t="shared" si="94"/>
        <v>2.5899999999999999E-2</v>
      </c>
      <c r="Q26" s="1467">
        <f t="shared" si="94"/>
        <v>1.52E-2</v>
      </c>
      <c r="R26" s="1468"/>
      <c r="S26" s="1466"/>
      <c r="T26" s="1467"/>
      <c r="U26" s="1467"/>
      <c r="V26" s="1467"/>
      <c r="X26" s="1453">
        <f>1+N26</f>
        <v>1.024</v>
      </c>
      <c r="Y26" s="1453">
        <f>1+O26</f>
        <v>1.0203</v>
      </c>
      <c r="Z26" s="1453">
        <f t="shared" si="104"/>
        <v>1.0203</v>
      </c>
      <c r="AA26" s="1453">
        <f>1+P26</f>
        <v>1.0259</v>
      </c>
      <c r="AB26" s="1453">
        <f>1+Q26</f>
        <v>1.0152000000000001</v>
      </c>
      <c r="AD26" s="1454">
        <f>ROUND(AVERAGE(I26:I$27)/100,4)</f>
        <v>2.69E-2</v>
      </c>
      <c r="AE26" s="1454">
        <f>ROUND(AVERAGE(J26:J$27)/100,4)</f>
        <v>2.1899999999999999E-2</v>
      </c>
      <c r="AF26" s="1454">
        <f t="shared" ref="AF26" si="105">AE26</f>
        <v>2.1899999999999999E-2</v>
      </c>
      <c r="AG26" s="1454">
        <f>ROUND(AVERAGE(K26:K$27)/100,4)</f>
        <v>2.9399999999999999E-2</v>
      </c>
      <c r="AH26" s="1454">
        <f>ROUND(AVERAGE(L26:L$27)/100,4)</f>
        <v>1.44E-2</v>
      </c>
    </row>
    <row r="27" spans="1:34" s="1492" customFormat="1" ht="13.5" thickBot="1">
      <c r="A27" s="1488" t="s">
        <v>144</v>
      </c>
      <c r="B27" s="1489">
        <f t="shared" si="102"/>
        <v>307.34512863658733</v>
      </c>
      <c r="C27" s="1489">
        <f t="shared" si="102"/>
        <v>257.80556031626975</v>
      </c>
      <c r="D27" s="1489">
        <f t="shared" si="97"/>
        <v>257.80556031626975</v>
      </c>
      <c r="E27" s="1489">
        <f t="shared" si="103"/>
        <v>422.70928459677179</v>
      </c>
      <c r="F27" s="1489">
        <f t="shared" si="103"/>
        <v>229.73803270336617</v>
      </c>
      <c r="G27" s="3382"/>
      <c r="H27" s="1490">
        <v>1</v>
      </c>
      <c r="I27" s="1490">
        <v>2.97</v>
      </c>
      <c r="J27" s="1490">
        <v>2.34</v>
      </c>
      <c r="K27" s="1490">
        <v>3.28</v>
      </c>
      <c r="L27" s="1491">
        <v>1.36</v>
      </c>
      <c r="N27" s="1493">
        <f t="shared" si="99"/>
        <v>2.9700000000000001E-2</v>
      </c>
      <c r="O27" s="1494">
        <f t="shared" si="94"/>
        <v>2.3399999999999997E-2</v>
      </c>
      <c r="P27" s="1494">
        <f t="shared" si="94"/>
        <v>3.2799999999999996E-2</v>
      </c>
      <c r="Q27" s="1494">
        <f t="shared" si="94"/>
        <v>1.3600000000000001E-2</v>
      </c>
      <c r="R27" s="1495"/>
      <c r="S27" s="1496">
        <f>B27/B28-1</f>
        <v>2.7910129219355539E-2</v>
      </c>
      <c r="T27" s="1497">
        <f>C27/C28-1</f>
        <v>2.3037937762975247E-2</v>
      </c>
      <c r="U27" s="1497">
        <f>E27/E28-1</f>
        <v>3.3519033243940788E-2</v>
      </c>
      <c r="V27" s="1497">
        <f>F27/F28-1</f>
        <v>1.2061818076502862E-2</v>
      </c>
      <c r="W27" s="1498" t="s">
        <v>1158</v>
      </c>
      <c r="X27" s="1499">
        <v>1</v>
      </c>
      <c r="Y27" s="1499">
        <v>1</v>
      </c>
      <c r="Z27" s="1499">
        <v>1</v>
      </c>
      <c r="AA27" s="1499">
        <v>1</v>
      </c>
      <c r="AB27" s="1499">
        <v>1</v>
      </c>
      <c r="AD27" s="1721">
        <f>I27/100</f>
        <v>2.9700000000000001E-2</v>
      </c>
      <c r="AE27" s="1721">
        <f>J27/100</f>
        <v>2.3399999999999997E-2</v>
      </c>
      <c r="AF27" s="1721">
        <f>AE27</f>
        <v>2.3399999999999997E-2</v>
      </c>
      <c r="AG27" s="1721">
        <f>K27/100</f>
        <v>3.2799999999999996E-2</v>
      </c>
      <c r="AH27" s="1721">
        <f>L27/100</f>
        <v>1.3600000000000001E-2</v>
      </c>
    </row>
    <row r="28" spans="1:34" ht="13.5" thickBot="1">
      <c r="A28" s="1455" t="s">
        <v>1159</v>
      </c>
      <c r="B28" s="1463">
        <v>299</v>
      </c>
      <c r="C28" s="1463">
        <v>252</v>
      </c>
      <c r="D28" s="1463">
        <f t="shared" si="97"/>
        <v>252</v>
      </c>
      <c r="E28" s="1463">
        <v>409</v>
      </c>
      <c r="F28" s="1464">
        <v>227</v>
      </c>
      <c r="G28" s="3387">
        <v>2013</v>
      </c>
      <c r="H28" s="1500">
        <v>4</v>
      </c>
      <c r="I28" s="1500">
        <v>1.83</v>
      </c>
      <c r="J28" s="1500">
        <v>1.68</v>
      </c>
      <c r="K28" s="1500">
        <v>1.97</v>
      </c>
      <c r="L28" s="1501">
        <v>0.87</v>
      </c>
      <c r="N28" s="1478">
        <f t="shared" si="99"/>
        <v>1.83E-2</v>
      </c>
      <c r="O28" s="1479">
        <f t="shared" si="94"/>
        <v>1.6799999999999999E-2</v>
      </c>
      <c r="P28" s="1479">
        <f t="shared" si="94"/>
        <v>1.9699999999999999E-2</v>
      </c>
      <c r="Q28" s="1479">
        <f t="shared" si="94"/>
        <v>8.6999999999999994E-3</v>
      </c>
      <c r="R28" s="1468"/>
      <c r="S28" s="1469"/>
      <c r="T28" s="1470"/>
      <c r="U28" s="1470"/>
      <c r="V28" s="1470"/>
      <c r="X28" s="1470"/>
      <c r="Y28" s="1470"/>
      <c r="Z28" s="1470"/>
    </row>
    <row r="29" spans="1:34">
      <c r="A29" s="1455" t="s">
        <v>1160</v>
      </c>
      <c r="B29" s="1471">
        <f t="shared" ref="B29:C31" si="106">B28/(1+N28)</f>
        <v>293.62663262299913</v>
      </c>
      <c r="C29" s="1471">
        <f t="shared" si="106"/>
        <v>247.83634933123525</v>
      </c>
      <c r="D29" s="1471">
        <f t="shared" si="97"/>
        <v>247.83634933123525</v>
      </c>
      <c r="E29" s="1471">
        <f t="shared" ref="E29:F31" si="107">E28/(1+P28)</f>
        <v>401.09836226341076</v>
      </c>
      <c r="F29" s="1471">
        <f t="shared" si="107"/>
        <v>225.04213343908003</v>
      </c>
      <c r="G29" s="3388"/>
      <c r="H29" s="1481">
        <v>3</v>
      </c>
      <c r="I29" s="1481">
        <v>1.86</v>
      </c>
      <c r="J29" s="1481">
        <v>1.72</v>
      </c>
      <c r="K29" s="1481">
        <v>1.98</v>
      </c>
      <c r="L29" s="1482">
        <v>0.88</v>
      </c>
      <c r="N29" s="1466">
        <f t="shared" si="99"/>
        <v>1.8600000000000002E-2</v>
      </c>
      <c r="O29" s="1483">
        <f t="shared" si="94"/>
        <v>1.72E-2</v>
      </c>
      <c r="P29" s="1483">
        <f t="shared" si="94"/>
        <v>1.9799999999999998E-2</v>
      </c>
      <c r="Q29" s="1483">
        <f t="shared" si="94"/>
        <v>8.8000000000000005E-3</v>
      </c>
      <c r="R29" s="1468"/>
      <c r="S29" s="1466"/>
      <c r="T29" s="1467"/>
      <c r="U29" s="1467"/>
      <c r="V29" s="1467"/>
    </row>
    <row r="30" spans="1:34">
      <c r="A30" s="1455" t="s">
        <v>1161</v>
      </c>
      <c r="B30" s="1471">
        <f t="shared" si="106"/>
        <v>288.2649053828776</v>
      </c>
      <c r="C30" s="1471">
        <f t="shared" si="106"/>
        <v>243.64564425013293</v>
      </c>
      <c r="D30" s="1471">
        <f t="shared" si="97"/>
        <v>243.64564425013293</v>
      </c>
      <c r="E30" s="1471">
        <f t="shared" si="107"/>
        <v>393.31080825986544</v>
      </c>
      <c r="F30" s="1471">
        <f t="shared" si="107"/>
        <v>223.07903790551154</v>
      </c>
      <c r="G30" s="3388"/>
      <c r="H30" s="1459">
        <v>2</v>
      </c>
      <c r="I30" s="1459">
        <v>2.04</v>
      </c>
      <c r="J30" s="1459">
        <v>2.33</v>
      </c>
      <c r="K30" s="1459">
        <v>2.0699999999999998</v>
      </c>
      <c r="L30" s="1473">
        <v>0.69</v>
      </c>
      <c r="N30" s="1466">
        <f t="shared" si="99"/>
        <v>2.0400000000000001E-2</v>
      </c>
      <c r="O30" s="1483">
        <f t="shared" si="94"/>
        <v>2.3300000000000001E-2</v>
      </c>
      <c r="P30" s="1483">
        <f t="shared" si="94"/>
        <v>2.07E-2</v>
      </c>
      <c r="Q30" s="1483">
        <f t="shared" si="94"/>
        <v>6.8999999999999999E-3</v>
      </c>
      <c r="R30" s="1468"/>
      <c r="S30" s="1466"/>
      <c r="T30" s="1467"/>
      <c r="U30" s="1467"/>
      <c r="V30" s="1467"/>
      <c r="X30" s="1502"/>
      <c r="Y30" s="1503"/>
    </row>
    <row r="31" spans="1:34">
      <c r="A31" s="1455" t="s">
        <v>1162</v>
      </c>
      <c r="B31" s="1471">
        <f t="shared" si="106"/>
        <v>282.50186729015837</v>
      </c>
      <c r="C31" s="1471">
        <f t="shared" si="106"/>
        <v>238.09796174155468</v>
      </c>
      <c r="D31" s="1471">
        <f t="shared" si="97"/>
        <v>238.09796174155468</v>
      </c>
      <c r="E31" s="1471">
        <f t="shared" si="107"/>
        <v>385.33438646014054</v>
      </c>
      <c r="F31" s="1471">
        <f t="shared" si="107"/>
        <v>221.55034055567739</v>
      </c>
      <c r="G31" s="3389"/>
      <c r="H31" s="1458">
        <v>1</v>
      </c>
      <c r="I31" s="1458">
        <v>1.67</v>
      </c>
      <c r="J31" s="1458">
        <v>1.31</v>
      </c>
      <c r="K31" s="1458">
        <v>1.85</v>
      </c>
      <c r="L31" s="1472">
        <v>0.96</v>
      </c>
      <c r="N31" s="1474">
        <f t="shared" si="99"/>
        <v>1.67E-2</v>
      </c>
      <c r="O31" s="1475">
        <f t="shared" si="99"/>
        <v>1.3100000000000001E-2</v>
      </c>
      <c r="P31" s="1475">
        <f t="shared" si="99"/>
        <v>1.8500000000000003E-2</v>
      </c>
      <c r="Q31" s="1475">
        <f t="shared" si="99"/>
        <v>9.5999999999999992E-3</v>
      </c>
      <c r="R31" s="1468"/>
      <c r="S31" s="1474">
        <f>B31/B32-1</f>
        <v>1.6193767230785472E-2</v>
      </c>
      <c r="T31" s="1475">
        <f>C31/C32-1</f>
        <v>1.7512657015190891E-2</v>
      </c>
      <c r="U31" s="1475">
        <f>E31/E32-1</f>
        <v>1.6713420739157048E-2</v>
      </c>
      <c r="V31" s="1475">
        <f>F31/F32-1</f>
        <v>7.0470025258062563E-3</v>
      </c>
      <c r="X31" s="1504"/>
      <c r="Y31" s="1454"/>
      <c r="Z31" s="1454"/>
    </row>
    <row r="32" spans="1:34" ht="13.5" thickBot="1">
      <c r="A32" s="1455" t="s">
        <v>1163</v>
      </c>
      <c r="B32" s="1505">
        <v>278</v>
      </c>
      <c r="C32" s="1505">
        <v>234</v>
      </c>
      <c r="D32" s="1505">
        <f t="shared" si="97"/>
        <v>234</v>
      </c>
      <c r="E32" s="1505">
        <v>379</v>
      </c>
      <c r="F32" s="1506">
        <v>220</v>
      </c>
      <c r="G32" s="3380">
        <v>2012</v>
      </c>
      <c r="H32" s="1476">
        <v>4</v>
      </c>
      <c r="I32" s="1476">
        <v>0.91</v>
      </c>
      <c r="J32" s="1476">
        <v>0.68</v>
      </c>
      <c r="K32" s="1476">
        <v>0.98</v>
      </c>
      <c r="L32" s="1477">
        <v>0.9</v>
      </c>
      <c r="N32" s="1466">
        <f t="shared" si="99"/>
        <v>9.1000000000000004E-3</v>
      </c>
      <c r="O32" s="1467">
        <f t="shared" si="99"/>
        <v>6.8000000000000005E-3</v>
      </c>
      <c r="P32" s="1467">
        <f t="shared" si="99"/>
        <v>9.7999999999999997E-3</v>
      </c>
      <c r="Q32" s="1467">
        <f t="shared" si="99"/>
        <v>9.0000000000000011E-3</v>
      </c>
      <c r="R32" s="1468"/>
      <c r="S32" s="1469"/>
      <c r="T32" s="1470"/>
      <c r="U32" s="1470"/>
      <c r="V32" s="1470"/>
      <c r="X32" s="1470"/>
      <c r="Y32" s="1470"/>
      <c r="Z32" s="1470"/>
    </row>
    <row r="33" spans="1:26">
      <c r="A33" s="1455" t="s">
        <v>1164</v>
      </c>
      <c r="B33" s="1471">
        <f>B32/(1+N32)</f>
        <v>275.49301357645425</v>
      </c>
      <c r="C33" s="1471">
        <f>C32/(1+O32)</f>
        <v>232.41954707985698</v>
      </c>
      <c r="D33" s="1471">
        <f t="shared" si="97"/>
        <v>232.41954707985698</v>
      </c>
      <c r="E33" s="1471">
        <f t="shared" ref="E33:F35" si="108">E32/(1+P32)</f>
        <v>375.32184591008121</v>
      </c>
      <c r="F33" s="1471">
        <f t="shared" si="108"/>
        <v>218.03766105054513</v>
      </c>
      <c r="G33" s="3381"/>
      <c r="H33" s="1481">
        <v>3</v>
      </c>
      <c r="I33" s="1481">
        <v>0.09</v>
      </c>
      <c r="J33" s="1481">
        <v>0.28999999999999998</v>
      </c>
      <c r="K33" s="1481">
        <v>-0.01</v>
      </c>
      <c r="L33" s="1482">
        <v>0.57999999999999996</v>
      </c>
      <c r="N33" s="1466">
        <f t="shared" si="99"/>
        <v>8.9999999999999998E-4</v>
      </c>
      <c r="O33" s="1467">
        <f t="shared" si="99"/>
        <v>2.8999999999999998E-3</v>
      </c>
      <c r="P33" s="1467">
        <f t="shared" si="99"/>
        <v>-1E-4</v>
      </c>
      <c r="Q33" s="1467">
        <f t="shared" si="99"/>
        <v>5.7999999999999996E-3</v>
      </c>
      <c r="R33" s="1468"/>
      <c r="S33" s="1466"/>
      <c r="T33" s="1467"/>
      <c r="U33" s="1467"/>
      <c r="V33" s="1467"/>
    </row>
    <row r="34" spans="1:26">
      <c r="A34" s="1455" t="s">
        <v>1165</v>
      </c>
      <c r="B34" s="1471">
        <f>B33/(1+N33)</f>
        <v>275.24529281292263</v>
      </c>
      <c r="C34" s="1471">
        <f>C33/(1+O33)</f>
        <v>231.74747938962707</v>
      </c>
      <c r="D34" s="1471">
        <f t="shared" si="97"/>
        <v>231.74747938962707</v>
      </c>
      <c r="E34" s="1471">
        <f t="shared" si="108"/>
        <v>375.35938184826603</v>
      </c>
      <c r="F34" s="1471">
        <f t="shared" si="108"/>
        <v>216.78033510692495</v>
      </c>
      <c r="G34" s="3381"/>
      <c r="H34" s="1459">
        <v>2</v>
      </c>
      <c r="I34" s="1459">
        <v>0.02</v>
      </c>
      <c r="J34" s="1459">
        <v>0.12</v>
      </c>
      <c r="K34" s="1459">
        <v>-0.08</v>
      </c>
      <c r="L34" s="1473">
        <v>1.24</v>
      </c>
      <c r="N34" s="1466">
        <f t="shared" si="99"/>
        <v>2.0000000000000001E-4</v>
      </c>
      <c r="O34" s="1467">
        <f t="shared" si="99"/>
        <v>1.1999999999999999E-3</v>
      </c>
      <c r="P34" s="1467">
        <f t="shared" si="99"/>
        <v>-8.0000000000000004E-4</v>
      </c>
      <c r="Q34" s="1467">
        <f t="shared" si="99"/>
        <v>1.24E-2</v>
      </c>
      <c r="R34" s="1468"/>
      <c r="S34" s="1466"/>
      <c r="T34" s="1467"/>
      <c r="U34" s="1467"/>
      <c r="V34" s="1467"/>
    </row>
    <row r="35" spans="1:26" ht="13.5" thickBot="1">
      <c r="A35" s="1455" t="s">
        <v>1166</v>
      </c>
      <c r="B35" s="1471">
        <f>B34/(1+N34)</f>
        <v>275.19025476197027</v>
      </c>
      <c r="C35" s="1507">
        <v>232</v>
      </c>
      <c r="D35" s="1507">
        <f t="shared" si="97"/>
        <v>232</v>
      </c>
      <c r="E35" s="1471">
        <f t="shared" si="108"/>
        <v>375.65990977608692</v>
      </c>
      <c r="F35" s="1471">
        <f t="shared" si="108"/>
        <v>214.12518283971252</v>
      </c>
      <c r="G35" s="3382"/>
      <c r="H35" s="1458">
        <v>1</v>
      </c>
      <c r="I35" s="1458">
        <v>0.02</v>
      </c>
      <c r="J35" s="1458">
        <v>0.13</v>
      </c>
      <c r="K35" s="1458">
        <v>-0.04</v>
      </c>
      <c r="L35" s="1472">
        <v>0.46</v>
      </c>
      <c r="N35" s="1466">
        <f t="shared" si="99"/>
        <v>2.0000000000000001E-4</v>
      </c>
      <c r="O35" s="1467">
        <f t="shared" si="99"/>
        <v>1.2999999999999999E-3</v>
      </c>
      <c r="P35" s="1467">
        <f t="shared" si="99"/>
        <v>-4.0000000000000002E-4</v>
      </c>
      <c r="Q35" s="1467">
        <f t="shared" si="99"/>
        <v>4.5999999999999999E-3</v>
      </c>
      <c r="R35" s="1468"/>
      <c r="S35" s="1474">
        <f>B35/B36-1</f>
        <v>6.9183549807361189E-4</v>
      </c>
      <c r="T35" s="1475">
        <f>C35/C36-1</f>
        <v>0</v>
      </c>
      <c r="U35" s="1475">
        <f>E35/E36-1</f>
        <v>-9.0449527636460303E-4</v>
      </c>
      <c r="V35" s="1475">
        <f>F35/F36-1</f>
        <v>5.2825485432512753E-3</v>
      </c>
      <c r="X35" s="1454"/>
      <c r="Y35" s="1454"/>
      <c r="Z35" s="1454"/>
    </row>
    <row r="36" spans="1:26" ht="13.5" thickBot="1">
      <c r="A36" s="1455" t="s">
        <v>1167</v>
      </c>
      <c r="B36" s="1463">
        <v>275</v>
      </c>
      <c r="C36" s="1463">
        <v>232</v>
      </c>
      <c r="D36" s="1463">
        <f t="shared" si="97"/>
        <v>232</v>
      </c>
      <c r="E36" s="1463">
        <v>376</v>
      </c>
      <c r="F36" s="1464">
        <v>213</v>
      </c>
      <c r="G36" s="3380">
        <v>2011</v>
      </c>
      <c r="H36" s="1476">
        <v>4</v>
      </c>
      <c r="I36" s="1476">
        <v>-0.2</v>
      </c>
      <c r="J36" s="1476">
        <v>0.04</v>
      </c>
      <c r="K36" s="1476">
        <v>-0.34</v>
      </c>
      <c r="L36" s="1477">
        <v>0.46</v>
      </c>
      <c r="N36" s="1478">
        <f t="shared" si="99"/>
        <v>-2E-3</v>
      </c>
      <c r="O36" s="1479">
        <f t="shared" si="99"/>
        <v>4.0000000000000002E-4</v>
      </c>
      <c r="P36" s="1479">
        <f t="shared" si="99"/>
        <v>-3.4000000000000002E-3</v>
      </c>
      <c r="Q36" s="1479">
        <f t="shared" si="99"/>
        <v>4.5999999999999999E-3</v>
      </c>
      <c r="R36" s="1468"/>
      <c r="S36" s="1469"/>
      <c r="T36" s="1470"/>
      <c r="U36" s="1470"/>
      <c r="V36" s="1470"/>
      <c r="X36" s="1470"/>
      <c r="Y36" s="1470"/>
      <c r="Z36" s="1470"/>
    </row>
    <row r="37" spans="1:26">
      <c r="A37" s="1455" t="s">
        <v>1168</v>
      </c>
      <c r="B37" s="1471">
        <f t="shared" ref="B37:C39" si="109">B36/(1+N36)</f>
        <v>275.55110220440883</v>
      </c>
      <c r="C37" s="1471">
        <f t="shared" si="109"/>
        <v>231.90723710515795</v>
      </c>
      <c r="D37" s="1471">
        <f t="shared" si="97"/>
        <v>231.90723710515795</v>
      </c>
      <c r="E37" s="1471">
        <f t="shared" ref="E37:F39" si="110">E36/(1+P36)</f>
        <v>377.28276138872161</v>
      </c>
      <c r="F37" s="1471">
        <f t="shared" si="110"/>
        <v>212.02468644236512</v>
      </c>
      <c r="G37" s="3381">
        <v>2011</v>
      </c>
      <c r="H37" s="1481">
        <v>3</v>
      </c>
      <c r="I37" s="1481">
        <v>0.13</v>
      </c>
      <c r="J37" s="1481">
        <v>0.75</v>
      </c>
      <c r="K37" s="1481">
        <v>-0.08</v>
      </c>
      <c r="L37" s="1482">
        <v>0.53</v>
      </c>
      <c r="N37" s="1466">
        <f t="shared" si="99"/>
        <v>1.2999999999999999E-3</v>
      </c>
      <c r="O37" s="1483">
        <f t="shared" si="99"/>
        <v>7.4999999999999997E-3</v>
      </c>
      <c r="P37" s="1483">
        <f t="shared" si="99"/>
        <v>-8.0000000000000004E-4</v>
      </c>
      <c r="Q37" s="1483">
        <f t="shared" si="99"/>
        <v>5.3E-3</v>
      </c>
      <c r="R37" s="1468"/>
      <c r="S37" s="1466"/>
      <c r="T37" s="1467"/>
      <c r="U37" s="1467"/>
      <c r="V37" s="1467"/>
    </row>
    <row r="38" spans="1:26">
      <c r="A38" s="1455" t="s">
        <v>1169</v>
      </c>
      <c r="B38" s="1471">
        <f t="shared" si="109"/>
        <v>275.19335084830601</v>
      </c>
      <c r="C38" s="1471">
        <f t="shared" si="109"/>
        <v>230.18088050139744</v>
      </c>
      <c r="D38" s="1471">
        <f t="shared" si="97"/>
        <v>230.18088050139744</v>
      </c>
      <c r="E38" s="1471">
        <f t="shared" si="110"/>
        <v>377.58482925212331</v>
      </c>
      <c r="F38" s="1471">
        <f t="shared" si="110"/>
        <v>210.90687997847917</v>
      </c>
      <c r="G38" s="3381">
        <v>2011</v>
      </c>
      <c r="H38" s="1459">
        <v>2</v>
      </c>
      <c r="I38" s="1459">
        <v>-0.4</v>
      </c>
      <c r="J38" s="1459">
        <v>0.17</v>
      </c>
      <c r="K38" s="1459">
        <v>-0.57999999999999996</v>
      </c>
      <c r="L38" s="1473">
        <v>-0.2</v>
      </c>
      <c r="N38" s="1466">
        <f t="shared" si="99"/>
        <v>-4.0000000000000001E-3</v>
      </c>
      <c r="O38" s="1483">
        <f t="shared" si="99"/>
        <v>1.7000000000000001E-3</v>
      </c>
      <c r="P38" s="1483">
        <f t="shared" si="99"/>
        <v>-5.7999999999999996E-3</v>
      </c>
      <c r="Q38" s="1483">
        <f t="shared" si="99"/>
        <v>-2E-3</v>
      </c>
      <c r="R38" s="1468"/>
      <c r="S38" s="1466"/>
      <c r="T38" s="1467"/>
      <c r="U38" s="1467"/>
      <c r="V38" s="1467"/>
    </row>
    <row r="39" spans="1:26" ht="13.5" thickBot="1">
      <c r="A39" s="1455" t="s">
        <v>1170</v>
      </c>
      <c r="B39" s="1471">
        <f t="shared" si="109"/>
        <v>276.29854502841971</v>
      </c>
      <c r="C39" s="1471">
        <f t="shared" si="109"/>
        <v>229.79023709833027</v>
      </c>
      <c r="D39" s="1471">
        <f t="shared" si="97"/>
        <v>229.79023709833027</v>
      </c>
      <c r="E39" s="1471">
        <f t="shared" si="110"/>
        <v>379.78759731655936</v>
      </c>
      <c r="F39" s="1471">
        <f t="shared" si="110"/>
        <v>211.32953905659235</v>
      </c>
      <c r="G39" s="3382">
        <v>2011</v>
      </c>
      <c r="H39" s="1458">
        <v>1</v>
      </c>
      <c r="I39" s="1458">
        <v>2.65</v>
      </c>
      <c r="J39" s="1458">
        <v>3.76</v>
      </c>
      <c r="K39" s="1458">
        <v>1.89</v>
      </c>
      <c r="L39" s="1472">
        <v>7.95</v>
      </c>
      <c r="N39" s="1474">
        <f t="shared" si="99"/>
        <v>2.6499999999999999E-2</v>
      </c>
      <c r="O39" s="1475">
        <f t="shared" si="99"/>
        <v>3.7599999999999995E-2</v>
      </c>
      <c r="P39" s="1475">
        <f t="shared" si="99"/>
        <v>1.89E-2</v>
      </c>
      <c r="Q39" s="1475">
        <f t="shared" si="99"/>
        <v>7.9500000000000001E-2</v>
      </c>
      <c r="R39" s="1468"/>
      <c r="S39" s="1474">
        <f>B39/B40-1</f>
        <v>2.713213765211786E-2</v>
      </c>
      <c r="T39" s="1475">
        <f>C39/C40-1</f>
        <v>3.9774828499231862E-2</v>
      </c>
      <c r="U39" s="1475">
        <f>E39/E40-1</f>
        <v>1.8197311840641772E-2</v>
      </c>
      <c r="V39" s="1475">
        <f>F39/F40-1</f>
        <v>7.8211933962205826E-2</v>
      </c>
      <c r="X39" s="1454"/>
      <c r="Y39" s="1454"/>
      <c r="Z39" s="1454"/>
    </row>
    <row r="40" spans="1:26" ht="13.5" thickBot="1">
      <c r="A40" s="1455" t="s">
        <v>1171</v>
      </c>
      <c r="B40" s="1463">
        <v>269</v>
      </c>
      <c r="C40" s="1463">
        <v>221</v>
      </c>
      <c r="D40" s="1463">
        <f t="shared" si="97"/>
        <v>221</v>
      </c>
      <c r="E40" s="1463">
        <v>373</v>
      </c>
      <c r="F40" s="1464">
        <v>196</v>
      </c>
      <c r="G40" s="3380">
        <v>2010</v>
      </c>
      <c r="H40" s="1476">
        <v>4</v>
      </c>
      <c r="I40" s="1476">
        <v>5.72</v>
      </c>
      <c r="J40" s="1476">
        <v>6.57</v>
      </c>
      <c r="K40" s="1476">
        <v>5.72</v>
      </c>
      <c r="L40" s="1477">
        <v>2.72</v>
      </c>
      <c r="N40" s="1466">
        <f t="shared" si="99"/>
        <v>5.7200000000000001E-2</v>
      </c>
      <c r="O40" s="1467">
        <f t="shared" si="99"/>
        <v>6.5700000000000008E-2</v>
      </c>
      <c r="P40" s="1467">
        <f t="shared" si="99"/>
        <v>5.7200000000000001E-2</v>
      </c>
      <c r="Q40" s="1467">
        <f t="shared" si="99"/>
        <v>2.7200000000000002E-2</v>
      </c>
      <c r="R40" s="1468"/>
      <c r="S40" s="1469"/>
      <c r="T40" s="1470"/>
      <c r="U40" s="1470"/>
      <c r="V40" s="1470"/>
      <c r="X40" s="1470"/>
      <c r="Y40" s="1470"/>
      <c r="Z40" s="1470"/>
    </row>
    <row r="41" spans="1:26">
      <c r="A41" s="1455" t="s">
        <v>1172</v>
      </c>
      <c r="B41" s="1471">
        <f t="shared" ref="B41:C43" si="111">B40/(1+N40)</f>
        <v>254.44570563753314</v>
      </c>
      <c r="C41" s="1471">
        <f t="shared" si="111"/>
        <v>207.37543398705074</v>
      </c>
      <c r="D41" s="1471">
        <f t="shared" si="97"/>
        <v>207.37543398705074</v>
      </c>
      <c r="E41" s="1471">
        <f t="shared" ref="E41:F43" si="112">E40/(1+P40)</f>
        <v>352.81876655315932</v>
      </c>
      <c r="F41" s="1471">
        <f t="shared" si="112"/>
        <v>190.809968847352</v>
      </c>
      <c r="G41" s="3381">
        <v>2010</v>
      </c>
      <c r="H41" s="1481">
        <v>3</v>
      </c>
      <c r="I41" s="1481">
        <v>4.7300000000000004</v>
      </c>
      <c r="J41" s="1481">
        <v>3.9</v>
      </c>
      <c r="K41" s="1481">
        <v>5.03</v>
      </c>
      <c r="L41" s="1482">
        <v>4.21</v>
      </c>
      <c r="N41" s="1466">
        <f t="shared" si="99"/>
        <v>4.7300000000000002E-2</v>
      </c>
      <c r="O41" s="1467">
        <f t="shared" si="99"/>
        <v>3.9E-2</v>
      </c>
      <c r="P41" s="1467">
        <f t="shared" si="99"/>
        <v>5.0300000000000004E-2</v>
      </c>
      <c r="Q41" s="1467">
        <f t="shared" si="99"/>
        <v>4.2099999999999999E-2</v>
      </c>
      <c r="R41" s="1468"/>
      <c r="S41" s="1466"/>
      <c r="T41" s="1467"/>
      <c r="U41" s="1467"/>
      <c r="V41" s="1467"/>
    </row>
    <row r="42" spans="1:26">
      <c r="A42" s="1455" t="s">
        <v>1173</v>
      </c>
      <c r="B42" s="1471">
        <f t="shared" si="111"/>
        <v>242.95398227588385</v>
      </c>
      <c r="C42" s="1471">
        <f t="shared" si="111"/>
        <v>199.59137053614126</v>
      </c>
      <c r="D42" s="1471">
        <f t="shared" si="97"/>
        <v>199.59137053614126</v>
      </c>
      <c r="E42" s="1471">
        <f t="shared" si="112"/>
        <v>335.92189522342125</v>
      </c>
      <c r="F42" s="1471">
        <f t="shared" si="112"/>
        <v>183.10139991109489</v>
      </c>
      <c r="G42" s="3381">
        <v>2010</v>
      </c>
      <c r="H42" s="1459">
        <v>2</v>
      </c>
      <c r="I42" s="1459">
        <v>4.6900000000000004</v>
      </c>
      <c r="J42" s="1459">
        <v>3.55</v>
      </c>
      <c r="K42" s="1459">
        <v>5.07</v>
      </c>
      <c r="L42" s="1473">
        <v>4.2300000000000004</v>
      </c>
      <c r="N42" s="1466">
        <f t="shared" si="99"/>
        <v>4.6900000000000004E-2</v>
      </c>
      <c r="O42" s="1467">
        <f t="shared" si="99"/>
        <v>3.5499999999999997E-2</v>
      </c>
      <c r="P42" s="1467">
        <f t="shared" si="99"/>
        <v>5.0700000000000002E-2</v>
      </c>
      <c r="Q42" s="1467">
        <f t="shared" si="99"/>
        <v>4.2300000000000004E-2</v>
      </c>
      <c r="R42" s="1468"/>
      <c r="S42" s="1466"/>
      <c r="T42" s="1467"/>
      <c r="U42" s="1467"/>
      <c r="V42" s="1467"/>
    </row>
    <row r="43" spans="1:26" ht="13.5" thickBot="1">
      <c r="A43" s="1455" t="s">
        <v>1174</v>
      </c>
      <c r="B43" s="1471">
        <f t="shared" si="111"/>
        <v>232.06990378821649</v>
      </c>
      <c r="C43" s="1471">
        <f t="shared" si="111"/>
        <v>192.74878854286936</v>
      </c>
      <c r="D43" s="1471">
        <f t="shared" si="97"/>
        <v>192.74878854286936</v>
      </c>
      <c r="E43" s="1471">
        <f t="shared" si="112"/>
        <v>319.71247284992984</v>
      </c>
      <c r="F43" s="1471">
        <f t="shared" si="112"/>
        <v>175.67053622862409</v>
      </c>
      <c r="G43" s="3382">
        <v>2010</v>
      </c>
      <c r="H43" s="1458">
        <v>1</v>
      </c>
      <c r="I43" s="1458">
        <v>5.4</v>
      </c>
      <c r="J43" s="1458">
        <v>3.2</v>
      </c>
      <c r="K43" s="1458">
        <v>6.16</v>
      </c>
      <c r="L43" s="1472">
        <v>4.51</v>
      </c>
      <c r="N43" s="1466">
        <f t="shared" si="99"/>
        <v>5.4000000000000006E-2</v>
      </c>
      <c r="O43" s="1467">
        <f t="shared" si="99"/>
        <v>3.2000000000000001E-2</v>
      </c>
      <c r="P43" s="1467">
        <f t="shared" si="99"/>
        <v>6.1600000000000002E-2</v>
      </c>
      <c r="Q43" s="1467">
        <f t="shared" si="99"/>
        <v>4.5100000000000001E-2</v>
      </c>
      <c r="R43" s="1468"/>
      <c r="S43" s="1474">
        <f>B43/B44-1</f>
        <v>5.4863199037347599E-2</v>
      </c>
      <c r="T43" s="1475">
        <f>C43/C44-1</f>
        <v>3.0742184721226584E-2</v>
      </c>
      <c r="U43" s="1475">
        <f>E43/E44-1</f>
        <v>6.2167683886810154E-2</v>
      </c>
      <c r="V43" s="1475">
        <f>F43/F44-1</f>
        <v>4.5657953741810031E-2</v>
      </c>
      <c r="X43" s="1454"/>
      <c r="Y43" s="1454"/>
      <c r="Z43" s="1454"/>
    </row>
    <row r="44" spans="1:26" ht="13.5" thickBot="1">
      <c r="A44" s="1455" t="s">
        <v>1175</v>
      </c>
      <c r="B44" s="1463">
        <v>220</v>
      </c>
      <c r="C44" s="1463">
        <v>187</v>
      </c>
      <c r="D44" s="1463">
        <f t="shared" si="97"/>
        <v>187</v>
      </c>
      <c r="E44" s="1463">
        <v>301</v>
      </c>
      <c r="F44" s="1464">
        <v>168</v>
      </c>
      <c r="G44" s="3380">
        <v>2009</v>
      </c>
      <c r="H44" s="1476">
        <v>4</v>
      </c>
      <c r="I44" s="1476">
        <v>2.2999999999999998</v>
      </c>
      <c r="J44" s="1476">
        <v>1.04</v>
      </c>
      <c r="K44" s="1476">
        <v>2.84</v>
      </c>
      <c r="L44" s="1477">
        <v>0.67</v>
      </c>
      <c r="N44" s="1478">
        <f t="shared" si="99"/>
        <v>2.3E-2</v>
      </c>
      <c r="O44" s="1479">
        <f t="shared" si="99"/>
        <v>1.04E-2</v>
      </c>
      <c r="P44" s="1479">
        <f t="shared" si="99"/>
        <v>2.8399999999999998E-2</v>
      </c>
      <c r="Q44" s="1479">
        <f t="shared" si="99"/>
        <v>6.7000000000000002E-3</v>
      </c>
      <c r="R44" s="1468"/>
      <c r="S44" s="1469"/>
      <c r="T44" s="1470"/>
      <c r="U44" s="1470"/>
      <c r="V44" s="1470"/>
      <c r="X44" s="1470"/>
      <c r="Y44" s="1470"/>
      <c r="Z44" s="1470"/>
    </row>
    <row r="45" spans="1:26">
      <c r="A45" s="1455" t="s">
        <v>1176</v>
      </c>
      <c r="B45" s="1471">
        <f t="shared" ref="B45:C47" si="113">B44/(1+N44)</f>
        <v>215.05376344086022</v>
      </c>
      <c r="C45" s="1471">
        <f t="shared" si="113"/>
        <v>185.0752177355503</v>
      </c>
      <c r="D45" s="1471">
        <f t="shared" si="97"/>
        <v>185.0752177355503</v>
      </c>
      <c r="E45" s="1471">
        <f t="shared" ref="E45:F47" si="114">E44/(1+P44)</f>
        <v>292.68767016725008</v>
      </c>
      <c r="F45" s="1471">
        <f t="shared" si="114"/>
        <v>166.88189132810174</v>
      </c>
      <c r="G45" s="3381">
        <v>2009</v>
      </c>
      <c r="H45" s="1481">
        <v>3</v>
      </c>
      <c r="I45" s="1481">
        <v>2.1</v>
      </c>
      <c r="J45" s="1481">
        <v>1.86</v>
      </c>
      <c r="K45" s="1481">
        <v>2.29</v>
      </c>
      <c r="L45" s="1482">
        <v>0.85</v>
      </c>
      <c r="N45" s="1466">
        <f t="shared" si="99"/>
        <v>2.1000000000000001E-2</v>
      </c>
      <c r="O45" s="1483">
        <f t="shared" si="99"/>
        <v>1.8600000000000002E-2</v>
      </c>
      <c r="P45" s="1483">
        <f t="shared" si="99"/>
        <v>2.29E-2</v>
      </c>
      <c r="Q45" s="1483">
        <f t="shared" si="99"/>
        <v>8.5000000000000006E-3</v>
      </c>
      <c r="R45" s="1468"/>
      <c r="S45" s="1466"/>
      <c r="T45" s="1467"/>
      <c r="U45" s="1467"/>
      <c r="V45" s="1467"/>
    </row>
    <row r="46" spans="1:26">
      <c r="A46" s="1455" t="s">
        <v>1177</v>
      </c>
      <c r="B46" s="1471">
        <f t="shared" si="113"/>
        <v>210.630522469011</v>
      </c>
      <c r="C46" s="1471">
        <f t="shared" si="113"/>
        <v>181.69567812247232</v>
      </c>
      <c r="D46" s="1471">
        <f t="shared" si="97"/>
        <v>181.69567812247232</v>
      </c>
      <c r="E46" s="1471">
        <f t="shared" si="114"/>
        <v>286.13517466736738</v>
      </c>
      <c r="F46" s="1471">
        <f t="shared" si="114"/>
        <v>165.47535084591149</v>
      </c>
      <c r="G46" s="3381">
        <v>2009</v>
      </c>
      <c r="H46" s="1459">
        <v>2</v>
      </c>
      <c r="I46" s="1459">
        <v>0.86</v>
      </c>
      <c r="J46" s="1459">
        <v>-1.1299999999999999</v>
      </c>
      <c r="K46" s="1459">
        <v>1.79</v>
      </c>
      <c r="L46" s="1473">
        <v>-2.0699999999999998</v>
      </c>
      <c r="N46" s="1466">
        <f t="shared" si="99"/>
        <v>8.6E-3</v>
      </c>
      <c r="O46" s="1483">
        <f t="shared" si="99"/>
        <v>-1.1299999999999999E-2</v>
      </c>
      <c r="P46" s="1483">
        <f t="shared" si="99"/>
        <v>1.7899999999999999E-2</v>
      </c>
      <c r="Q46" s="1483">
        <f t="shared" si="99"/>
        <v>-2.07E-2</v>
      </c>
      <c r="R46" s="1468"/>
      <c r="S46" s="1466"/>
      <c r="T46" s="1467"/>
      <c r="U46" s="1467"/>
      <c r="V46" s="1467"/>
    </row>
    <row r="47" spans="1:26">
      <c r="A47" s="1455" t="s">
        <v>1178</v>
      </c>
      <c r="B47" s="1471">
        <f t="shared" si="113"/>
        <v>208.83454537875372</v>
      </c>
      <c r="C47" s="1471">
        <f t="shared" si="113"/>
        <v>183.77230517090351</v>
      </c>
      <c r="D47" s="1471">
        <f t="shared" si="97"/>
        <v>183.77230517090351</v>
      </c>
      <c r="E47" s="1471">
        <f t="shared" si="114"/>
        <v>281.10342338870947</v>
      </c>
      <c r="F47" s="1471">
        <f t="shared" si="114"/>
        <v>168.97309388942256</v>
      </c>
      <c r="G47" s="3382">
        <v>2009</v>
      </c>
      <c r="H47" s="1458">
        <v>1</v>
      </c>
      <c r="I47" s="1458">
        <v>-2.64</v>
      </c>
      <c r="J47" s="1458">
        <v>-2.5299999999999998</v>
      </c>
      <c r="K47" s="1458">
        <v>-3.02</v>
      </c>
      <c r="L47" s="1472">
        <v>1.52</v>
      </c>
      <c r="N47" s="1474">
        <f t="shared" si="99"/>
        <v>-2.64E-2</v>
      </c>
      <c r="O47" s="1475">
        <f t="shared" si="99"/>
        <v>-2.53E-2</v>
      </c>
      <c r="P47" s="1475">
        <f t="shared" si="99"/>
        <v>-3.0200000000000001E-2</v>
      </c>
      <c r="Q47" s="1475">
        <f t="shared" si="99"/>
        <v>1.52E-2</v>
      </c>
      <c r="R47" s="1468"/>
      <c r="S47" s="1474">
        <f>B47/B48-1</f>
        <v>-2.4137638417038754E-2</v>
      </c>
      <c r="T47" s="1475">
        <f>C47/C48-1</f>
        <v>-2.248773845264096E-2</v>
      </c>
      <c r="U47" s="1475">
        <f>E47/E48-1</f>
        <v>-2.7323794502735366E-2</v>
      </c>
      <c r="V47" s="1475">
        <f>F47/F48-1</f>
        <v>1.7910204153148035E-2</v>
      </c>
      <c r="X47" s="1454"/>
      <c r="Y47" s="1454"/>
      <c r="Z47" s="1454"/>
    </row>
    <row r="48" spans="1:26" ht="13.5" thickBot="1">
      <c r="A48" s="1455" t="s">
        <v>1179</v>
      </c>
      <c r="B48" s="1505">
        <v>214</v>
      </c>
      <c r="C48" s="1505">
        <v>188</v>
      </c>
      <c r="D48" s="1505">
        <f t="shared" si="97"/>
        <v>188</v>
      </c>
      <c r="E48" s="1505">
        <v>289</v>
      </c>
      <c r="F48" s="1506">
        <v>166</v>
      </c>
      <c r="G48" s="3380">
        <v>2008</v>
      </c>
      <c r="H48" s="1476">
        <v>4</v>
      </c>
      <c r="I48" s="1476">
        <v>1.73</v>
      </c>
      <c r="J48" s="1476">
        <v>0.03</v>
      </c>
      <c r="K48" s="1476">
        <v>2.59</v>
      </c>
      <c r="L48" s="1477">
        <v>-1.66</v>
      </c>
      <c r="N48" s="1466">
        <f t="shared" si="99"/>
        <v>1.7299999999999999E-2</v>
      </c>
      <c r="O48" s="1467">
        <f t="shared" si="99"/>
        <v>2.9999999999999997E-4</v>
      </c>
      <c r="P48" s="1467">
        <f t="shared" si="99"/>
        <v>2.5899999999999999E-2</v>
      </c>
      <c r="Q48" s="1467">
        <f t="shared" si="99"/>
        <v>-1.66E-2</v>
      </c>
      <c r="R48" s="1468"/>
      <c r="S48" s="1469"/>
      <c r="T48" s="1470"/>
      <c r="U48" s="1470"/>
      <c r="V48" s="1470"/>
      <c r="X48" s="1470"/>
      <c r="Y48" s="1470"/>
      <c r="Z48" s="1470"/>
    </row>
    <row r="49" spans="1:26">
      <c r="A49" s="1455" t="s">
        <v>1180</v>
      </c>
      <c r="B49" s="1471">
        <f t="shared" ref="B49:C51" si="115">B48/(1+N48)</f>
        <v>210.36075887152265</v>
      </c>
      <c r="C49" s="1471">
        <f t="shared" si="115"/>
        <v>187.94361691492554</v>
      </c>
      <c r="D49" s="1471">
        <f t="shared" si="97"/>
        <v>187.94361691492554</v>
      </c>
      <c r="E49" s="1471">
        <f t="shared" ref="E49:F51" si="116">E48/(1+P48)</f>
        <v>281.70386977288234</v>
      </c>
      <c r="F49" s="1471">
        <f t="shared" si="116"/>
        <v>168.80211511083994</v>
      </c>
      <c r="G49" s="3381">
        <v>2008</v>
      </c>
      <c r="H49" s="1481">
        <v>3</v>
      </c>
      <c r="I49" s="1481">
        <v>1.96</v>
      </c>
      <c r="J49" s="1481">
        <v>2.36</v>
      </c>
      <c r="K49" s="1481">
        <v>1.82</v>
      </c>
      <c r="L49" s="1482">
        <v>2.2200000000000002</v>
      </c>
      <c r="N49" s="1466">
        <f t="shared" si="99"/>
        <v>1.9599999999999999E-2</v>
      </c>
      <c r="O49" s="1467">
        <f t="shared" si="99"/>
        <v>2.3599999999999999E-2</v>
      </c>
      <c r="P49" s="1467">
        <f t="shared" si="99"/>
        <v>1.8200000000000001E-2</v>
      </c>
      <c r="Q49" s="1467">
        <f t="shared" si="99"/>
        <v>2.2200000000000001E-2</v>
      </c>
      <c r="R49" s="1468"/>
      <c r="S49" s="1466"/>
      <c r="T49" s="1467"/>
      <c r="U49" s="1467"/>
      <c r="V49" s="1467"/>
    </row>
    <row r="50" spans="1:26">
      <c r="A50" s="1455" t="s">
        <v>1181</v>
      </c>
      <c r="B50" s="1471">
        <f t="shared" si="115"/>
        <v>206.31694671589116</v>
      </c>
      <c r="C50" s="1471">
        <f t="shared" si="115"/>
        <v>183.61041121036101</v>
      </c>
      <c r="D50" s="1471">
        <f t="shared" si="97"/>
        <v>183.61041121036101</v>
      </c>
      <c r="E50" s="1471">
        <f t="shared" si="116"/>
        <v>276.66850301795557</v>
      </c>
      <c r="F50" s="1471">
        <f t="shared" si="116"/>
        <v>165.1360938278614</v>
      </c>
      <c r="G50" s="3381">
        <v>2008</v>
      </c>
      <c r="H50" s="1459">
        <v>2</v>
      </c>
      <c r="I50" s="1459">
        <v>4.93</v>
      </c>
      <c r="J50" s="1459">
        <v>7.38</v>
      </c>
      <c r="K50" s="1459">
        <v>3.98</v>
      </c>
      <c r="L50" s="1473">
        <v>6.86</v>
      </c>
      <c r="N50" s="1466">
        <f t="shared" si="99"/>
        <v>4.9299999999999997E-2</v>
      </c>
      <c r="O50" s="1467">
        <f t="shared" si="99"/>
        <v>7.3800000000000004E-2</v>
      </c>
      <c r="P50" s="1467">
        <f t="shared" si="99"/>
        <v>3.9800000000000002E-2</v>
      </c>
      <c r="Q50" s="1467">
        <f t="shared" si="99"/>
        <v>6.8600000000000008E-2</v>
      </c>
      <c r="R50" s="1468"/>
      <c r="S50" s="1466"/>
      <c r="T50" s="1467"/>
      <c r="U50" s="1467"/>
      <c r="V50" s="1467"/>
    </row>
    <row r="51" spans="1:26" s="1511" customFormat="1" ht="13.5" thickBot="1">
      <c r="A51" s="1455" t="s">
        <v>1182</v>
      </c>
      <c r="B51" s="1508">
        <f t="shared" si="115"/>
        <v>196.62341248059772</v>
      </c>
      <c r="C51" s="1508">
        <f t="shared" si="115"/>
        <v>170.99125648199012</v>
      </c>
      <c r="D51" s="1508">
        <f t="shared" si="97"/>
        <v>170.99125648199012</v>
      </c>
      <c r="E51" s="1508">
        <f t="shared" si="116"/>
        <v>266.07857570490052</v>
      </c>
      <c r="F51" s="1508">
        <f t="shared" si="116"/>
        <v>154.53499328828505</v>
      </c>
      <c r="G51" s="3382">
        <v>2008</v>
      </c>
      <c r="H51" s="1509">
        <v>1</v>
      </c>
      <c r="I51" s="1509">
        <v>4.1399999999999997</v>
      </c>
      <c r="J51" s="1509">
        <v>3.45</v>
      </c>
      <c r="K51" s="1509">
        <v>4.95</v>
      </c>
      <c r="L51" s="1510">
        <v>4.82</v>
      </c>
      <c r="N51" s="1512">
        <f t="shared" si="99"/>
        <v>4.1399999999999999E-2</v>
      </c>
      <c r="O51" s="1513">
        <f t="shared" si="99"/>
        <v>3.4500000000000003E-2</v>
      </c>
      <c r="P51" s="1513">
        <f t="shared" si="99"/>
        <v>4.9500000000000002E-2</v>
      </c>
      <c r="Q51" s="1513">
        <f t="shared" si="99"/>
        <v>4.82E-2</v>
      </c>
      <c r="R51" s="1514"/>
      <c r="S51" s="1512">
        <f>B51/B52-1</f>
        <v>4.5869215322328349E-2</v>
      </c>
      <c r="T51" s="1513">
        <f>C51/C52-1</f>
        <v>3.6310645345394743E-2</v>
      </c>
      <c r="U51" s="1513">
        <f>E51/E52-1</f>
        <v>4.7553447657088688E-2</v>
      </c>
      <c r="V51" s="1513">
        <f>F51/F52-1</f>
        <v>4.4155360055980086E-2</v>
      </c>
      <c r="X51" s="1515"/>
      <c r="Y51" s="1515"/>
      <c r="Z51" s="1515"/>
    </row>
    <row r="52" spans="1:26" ht="13.5" thickBot="1">
      <c r="A52" s="1455" t="s">
        <v>1183</v>
      </c>
      <c r="B52" s="1463">
        <v>188</v>
      </c>
      <c r="C52" s="1463">
        <v>165</v>
      </c>
      <c r="D52" s="1463">
        <f t="shared" si="97"/>
        <v>165</v>
      </c>
      <c r="E52" s="1463">
        <v>254</v>
      </c>
      <c r="F52" s="1464">
        <v>148</v>
      </c>
      <c r="G52" s="3380">
        <v>2007</v>
      </c>
      <c r="H52" s="1516">
        <v>4</v>
      </c>
      <c r="I52" s="1516">
        <v>5.51</v>
      </c>
      <c r="J52" s="1516">
        <v>4.8899999999999997</v>
      </c>
      <c r="K52" s="1516">
        <v>6.43</v>
      </c>
      <c r="L52" s="1517">
        <v>5.36</v>
      </c>
      <c r="N52" s="1518">
        <f t="shared" ref="N52:O55" si="117">B52/B53-1</f>
        <v>4.1339718365245526E-2</v>
      </c>
      <c r="O52" s="1519">
        <f t="shared" si="117"/>
        <v>4.0324492593776018E-2</v>
      </c>
      <c r="P52" s="1519">
        <f t="shared" ref="P52:Q55" si="118">E52/E53-1</f>
        <v>6.1625555347990968E-2</v>
      </c>
      <c r="Q52" s="1519">
        <f t="shared" si="118"/>
        <v>4.6757569250590603E-2</v>
      </c>
      <c r="R52" s="1468"/>
      <c r="S52" s="1469"/>
      <c r="T52" s="1470"/>
      <c r="U52" s="1470"/>
      <c r="V52" s="1470"/>
      <c r="X52" s="1470"/>
      <c r="Y52" s="1470"/>
      <c r="Z52" s="1470"/>
    </row>
    <row r="53" spans="1:26">
      <c r="A53" s="1455" t="s">
        <v>1184</v>
      </c>
      <c r="B53" s="1471">
        <f t="shared" ref="B53:C55" si="119">B54+(B$52-B$56)*I53/SUM(I$52:I$55)</f>
        <v>180.5366651097618</v>
      </c>
      <c r="C53" s="1471">
        <f t="shared" si="119"/>
        <v>158.60435967302453</v>
      </c>
      <c r="D53" s="1471">
        <f t="shared" si="97"/>
        <v>158.60435967302453</v>
      </c>
      <c r="E53" s="1471">
        <f t="shared" ref="E53:F55" si="120">E54+(E$52-E$56)*K53/SUM(K$52:K$55)</f>
        <v>239.25573260785075</v>
      </c>
      <c r="F53" s="1471">
        <f t="shared" si="120"/>
        <v>141.38899430740037</v>
      </c>
      <c r="G53" s="3381">
        <v>2007</v>
      </c>
      <c r="H53" s="1481">
        <v>3</v>
      </c>
      <c r="I53" s="1481">
        <v>8.65</v>
      </c>
      <c r="J53" s="1481">
        <v>8.06</v>
      </c>
      <c r="K53" s="1481">
        <v>9.94</v>
      </c>
      <c r="L53" s="1482">
        <v>5.8</v>
      </c>
      <c r="N53" s="1518">
        <f t="shared" si="117"/>
        <v>6.940217571740015E-2</v>
      </c>
      <c r="O53" s="1519">
        <f t="shared" si="117"/>
        <v>7.1197482471153428E-2</v>
      </c>
      <c r="P53" s="1519">
        <f t="shared" si="118"/>
        <v>0.10529679922579582</v>
      </c>
      <c r="Q53" s="1519">
        <f t="shared" si="118"/>
        <v>5.3292245059512133E-2</v>
      </c>
      <c r="R53" s="1468"/>
      <c r="S53" s="1466"/>
      <c r="T53" s="1467"/>
      <c r="U53" s="1467"/>
      <c r="V53" s="1467"/>
      <c r="X53" s="1520"/>
      <c r="Y53" s="1520"/>
      <c r="Z53" s="1520"/>
    </row>
    <row r="54" spans="1:26">
      <c r="A54" s="1455" t="s">
        <v>1185</v>
      </c>
      <c r="B54" s="1471">
        <f t="shared" si="119"/>
        <v>168.82017748715555</v>
      </c>
      <c r="C54" s="1471">
        <f t="shared" si="119"/>
        <v>148.06267029972753</v>
      </c>
      <c r="D54" s="1471">
        <f t="shared" si="97"/>
        <v>148.06267029972753</v>
      </c>
      <c r="E54" s="1471">
        <f t="shared" si="120"/>
        <v>216.46288379323747</v>
      </c>
      <c r="F54" s="1471">
        <f t="shared" si="120"/>
        <v>134.23529411764704</v>
      </c>
      <c r="G54" s="3381">
        <v>2007</v>
      </c>
      <c r="H54" s="1459">
        <v>2</v>
      </c>
      <c r="I54" s="1459">
        <v>3.67</v>
      </c>
      <c r="J54" s="1459">
        <v>2.3199999999999998</v>
      </c>
      <c r="K54" s="1459">
        <v>5.0199999999999996</v>
      </c>
      <c r="L54" s="1473">
        <v>6.71</v>
      </c>
      <c r="N54" s="1518">
        <f t="shared" si="117"/>
        <v>3.0339138143848032E-2</v>
      </c>
      <c r="O54" s="1519">
        <f t="shared" si="117"/>
        <v>2.0922341588790472E-2</v>
      </c>
      <c r="P54" s="1519">
        <f t="shared" si="118"/>
        <v>5.6164796592717003E-2</v>
      </c>
      <c r="Q54" s="1519">
        <f t="shared" si="118"/>
        <v>6.5704536723887319E-2</v>
      </c>
      <c r="R54" s="1468"/>
      <c r="S54" s="1466"/>
      <c r="T54" s="1467"/>
      <c r="U54" s="1467"/>
      <c r="V54" s="1467"/>
      <c r="X54" s="1520"/>
      <c r="Y54" s="1520"/>
      <c r="Z54" s="1520"/>
    </row>
    <row r="55" spans="1:26">
      <c r="A55" s="1455" t="s">
        <v>1186</v>
      </c>
      <c r="B55" s="1471">
        <f t="shared" si="119"/>
        <v>163.84913591779542</v>
      </c>
      <c r="C55" s="1471">
        <f t="shared" si="119"/>
        <v>145.0283378746594</v>
      </c>
      <c r="D55" s="1471">
        <f t="shared" si="97"/>
        <v>145.0283378746594</v>
      </c>
      <c r="E55" s="1471">
        <f t="shared" si="120"/>
        <v>204.95180722891567</v>
      </c>
      <c r="F55" s="1471">
        <f t="shared" si="120"/>
        <v>125.95920303605313</v>
      </c>
      <c r="G55" s="3382">
        <v>2007</v>
      </c>
      <c r="H55" s="1458">
        <v>1</v>
      </c>
      <c r="I55" s="1458">
        <v>3.58</v>
      </c>
      <c r="J55" s="1458">
        <v>3.08</v>
      </c>
      <c r="K55" s="1458">
        <v>4.34</v>
      </c>
      <c r="L55" s="1472">
        <v>3.21</v>
      </c>
      <c r="N55" s="1521">
        <f t="shared" si="117"/>
        <v>3.0497710174814063E-2</v>
      </c>
      <c r="O55" s="1522">
        <f t="shared" si="117"/>
        <v>2.8569772160704998E-2</v>
      </c>
      <c r="P55" s="1522">
        <f t="shared" si="118"/>
        <v>5.1034908866234296E-2</v>
      </c>
      <c r="Q55" s="1522">
        <f t="shared" si="118"/>
        <v>3.245248390207478E-2</v>
      </c>
      <c r="R55" s="1468"/>
      <c r="S55" s="1474">
        <f>B55/B56-1</f>
        <v>3.0497710174814063E-2</v>
      </c>
      <c r="T55" s="1475">
        <f>C55/C56-1</f>
        <v>2.8569772160704998E-2</v>
      </c>
      <c r="U55" s="1475">
        <f>E55/E56-1</f>
        <v>5.1034908866234296E-2</v>
      </c>
      <c r="V55" s="1475">
        <f>F55/F56-1</f>
        <v>3.245248390207478E-2</v>
      </c>
      <c r="X55" s="1520"/>
      <c r="Y55" s="1520"/>
      <c r="Z55" s="1520"/>
    </row>
    <row r="56" spans="1:26" ht="13.5" thickBot="1">
      <c r="A56" s="1455" t="s">
        <v>1187</v>
      </c>
      <c r="B56" s="1484">
        <v>159</v>
      </c>
      <c r="C56" s="1484">
        <v>141</v>
      </c>
      <c r="D56" s="1484">
        <f t="shared" si="97"/>
        <v>141</v>
      </c>
      <c r="E56" s="1484">
        <v>195</v>
      </c>
      <c r="F56" s="1485">
        <v>122</v>
      </c>
      <c r="G56" s="3380">
        <v>2006</v>
      </c>
      <c r="H56" s="1476">
        <v>4</v>
      </c>
      <c r="I56" s="1476">
        <v>3.79</v>
      </c>
      <c r="J56" s="1476">
        <v>2.21</v>
      </c>
      <c r="K56" s="1476">
        <v>5.65</v>
      </c>
      <c r="L56" s="1477">
        <v>5.41</v>
      </c>
      <c r="N56" s="1518">
        <f t="shared" ref="N56:O59" si="121">I56/SUM(I$56:I$59)*(B$56/B$60-1)</f>
        <v>7.245466462748526E-2</v>
      </c>
      <c r="O56" s="1519">
        <f t="shared" si="121"/>
        <v>2.3237230038062766E-2</v>
      </c>
      <c r="P56" s="1519">
        <f t="shared" ref="P56:Q59" si="122">K56/SUM(K$56:K$59)*(E$56/E$60-1)</f>
        <v>0.16146893866323722</v>
      </c>
      <c r="Q56" s="1519">
        <f t="shared" si="122"/>
        <v>5.0755230321793784E-2</v>
      </c>
      <c r="R56" s="1468"/>
      <c r="S56" s="1469"/>
      <c r="T56" s="1470"/>
      <c r="U56" s="1470"/>
      <c r="V56" s="1470"/>
      <c r="X56" s="1520"/>
      <c r="Y56" s="1520"/>
      <c r="Z56" s="1520"/>
    </row>
    <row r="57" spans="1:26">
      <c r="A57" s="1455" t="s">
        <v>1188</v>
      </c>
      <c r="B57" s="1471">
        <f t="shared" ref="B57:C59" si="123">B58+(B$56-B$60)*I57/SUM(I$56:I$59)</f>
        <v>149.00125628140702</v>
      </c>
      <c r="C57" s="1471">
        <f t="shared" si="123"/>
        <v>137.95592286501378</v>
      </c>
      <c r="D57" s="1471">
        <f t="shared" si="97"/>
        <v>137.95592286501378</v>
      </c>
      <c r="E57" s="1471">
        <f t="shared" ref="E57:F59" si="124">E58+(E$56-E$60)*K57/SUM(K$56:K$59)</f>
        <v>169.97231450719823</v>
      </c>
      <c r="F57" s="1471">
        <f t="shared" si="124"/>
        <v>116.21390374331551</v>
      </c>
      <c r="G57" s="3381">
        <v>2006</v>
      </c>
      <c r="H57" s="1481">
        <v>3</v>
      </c>
      <c r="I57" s="1481">
        <v>0.92</v>
      </c>
      <c r="J57" s="1481">
        <v>1.08</v>
      </c>
      <c r="K57" s="1481">
        <v>0.73</v>
      </c>
      <c r="L57" s="1482">
        <v>1.08</v>
      </c>
      <c r="N57" s="1518">
        <f t="shared" si="121"/>
        <v>1.7587939698492462E-2</v>
      </c>
      <c r="O57" s="1519">
        <f t="shared" si="121"/>
        <v>1.1355750425840628E-2</v>
      </c>
      <c r="P57" s="1519">
        <f t="shared" si="122"/>
        <v>2.0862358446754544E-2</v>
      </c>
      <c r="Q57" s="1519">
        <f t="shared" si="122"/>
        <v>1.0132282578103011E-2</v>
      </c>
      <c r="R57" s="1468"/>
      <c r="S57" s="1466"/>
      <c r="T57" s="1467"/>
      <c r="U57" s="1467"/>
      <c r="V57" s="1467"/>
      <c r="X57" s="1520"/>
      <c r="Y57" s="1520"/>
      <c r="Z57" s="1520"/>
    </row>
    <row r="58" spans="1:26">
      <c r="A58" s="1455" t="s">
        <v>1189</v>
      </c>
      <c r="B58" s="1471">
        <f t="shared" si="123"/>
        <v>146.57412060301507</v>
      </c>
      <c r="C58" s="1471">
        <f t="shared" si="123"/>
        <v>136.46831955922866</v>
      </c>
      <c r="D58" s="1471">
        <f t="shared" si="97"/>
        <v>136.46831955922866</v>
      </c>
      <c r="E58" s="1471">
        <f t="shared" si="124"/>
        <v>166.73864894795128</v>
      </c>
      <c r="F58" s="1471">
        <f t="shared" si="124"/>
        <v>115.05882352941177</v>
      </c>
      <c r="G58" s="3381">
        <v>2006</v>
      </c>
      <c r="H58" s="1459">
        <v>2</v>
      </c>
      <c r="I58" s="1459">
        <v>0.96</v>
      </c>
      <c r="J58" s="1459">
        <v>0.25</v>
      </c>
      <c r="K58" s="1459">
        <v>1.9</v>
      </c>
      <c r="L58" s="1473">
        <v>0.95</v>
      </c>
      <c r="N58" s="1518">
        <f t="shared" si="121"/>
        <v>1.8352632728861701E-2</v>
      </c>
      <c r="O58" s="1519">
        <f t="shared" si="121"/>
        <v>2.6286459319075526E-3</v>
      </c>
      <c r="P58" s="1519">
        <f t="shared" si="122"/>
        <v>5.4299289107991269E-2</v>
      </c>
      <c r="Q58" s="1519">
        <f t="shared" si="122"/>
        <v>8.9126559714794995E-3</v>
      </c>
      <c r="R58" s="1468"/>
      <c r="S58" s="1466"/>
      <c r="T58" s="1467"/>
      <c r="U58" s="1467"/>
      <c r="V58" s="1467"/>
      <c r="X58" s="1520"/>
      <c r="Y58" s="1520"/>
      <c r="Z58" s="1520"/>
    </row>
    <row r="59" spans="1:26">
      <c r="A59" s="1455" t="s">
        <v>1190</v>
      </c>
      <c r="B59" s="1471">
        <f t="shared" si="123"/>
        <v>144.04145728643215</v>
      </c>
      <c r="C59" s="1471">
        <f t="shared" si="123"/>
        <v>136.12396694214877</v>
      </c>
      <c r="D59" s="1471">
        <f t="shared" si="97"/>
        <v>136.12396694214877</v>
      </c>
      <c r="E59" s="1471">
        <f t="shared" si="124"/>
        <v>158.32225913621264</v>
      </c>
      <c r="F59" s="1471">
        <f t="shared" si="124"/>
        <v>114.04278074866311</v>
      </c>
      <c r="G59" s="3382">
        <v>2006</v>
      </c>
      <c r="H59" s="1458">
        <v>1</v>
      </c>
      <c r="I59" s="1458">
        <v>2.29</v>
      </c>
      <c r="J59" s="1458">
        <v>3.72</v>
      </c>
      <c r="K59" s="1458">
        <v>0.75</v>
      </c>
      <c r="L59" s="1472">
        <v>0.04</v>
      </c>
      <c r="N59" s="1521">
        <f t="shared" si="121"/>
        <v>4.3778675988638847E-2</v>
      </c>
      <c r="O59" s="1522">
        <f t="shared" si="121"/>
        <v>3.9114251466784385E-2</v>
      </c>
      <c r="P59" s="1522">
        <f t="shared" si="122"/>
        <v>2.1433929911049188E-2</v>
      </c>
      <c r="Q59" s="1522">
        <f t="shared" si="122"/>
        <v>3.7526972511492629E-4</v>
      </c>
      <c r="R59" s="1468"/>
      <c r="S59" s="1474">
        <f>B59/B60-1</f>
        <v>4.3778675988638716E-2</v>
      </c>
      <c r="T59" s="1475">
        <f>C59/C60-1</f>
        <v>3.91142514667846E-2</v>
      </c>
      <c r="U59" s="1475">
        <f>E59/E60-1</f>
        <v>2.143392991104931E-2</v>
      </c>
      <c r="V59" s="1475">
        <f>F59/F60-1</f>
        <v>3.7526972511492396E-4</v>
      </c>
      <c r="X59" s="1520"/>
      <c r="Y59" s="1520"/>
      <c r="Z59" s="1520"/>
    </row>
    <row r="60" spans="1:26" ht="13.5" thickBot="1">
      <c r="A60" s="1455" t="s">
        <v>1191</v>
      </c>
      <c r="B60" s="1484">
        <v>138</v>
      </c>
      <c r="C60" s="1484">
        <v>131</v>
      </c>
      <c r="D60" s="1484">
        <f t="shared" si="97"/>
        <v>131</v>
      </c>
      <c r="E60" s="1484">
        <v>155</v>
      </c>
      <c r="F60" s="1485">
        <v>114</v>
      </c>
      <c r="G60" s="3380">
        <v>2005</v>
      </c>
      <c r="H60" s="1476">
        <v>4</v>
      </c>
      <c r="I60" s="1476">
        <v>3.29</v>
      </c>
      <c r="J60" s="1476">
        <v>1.44</v>
      </c>
      <c r="K60" s="1476">
        <v>0.66</v>
      </c>
      <c r="L60" s="1477">
        <v>7.78</v>
      </c>
      <c r="N60" s="1518">
        <f t="shared" ref="N60:O63" si="125">I60/SUM(I$60:I$63)*(B$60/B$64-1)</f>
        <v>9.9404603216919935E-2</v>
      </c>
      <c r="O60" s="1519">
        <f t="shared" si="125"/>
        <v>4.7636550760861554E-2</v>
      </c>
      <c r="P60" s="1519">
        <f t="shared" ref="P60:Q63" si="126">K60/SUM(K$60:K$63)*(E$60/E$64-1)</f>
        <v>8.3756345177664976E-2</v>
      </c>
      <c r="Q60" s="1519">
        <f t="shared" si="126"/>
        <v>5.2148766661559584E-2</v>
      </c>
      <c r="R60" s="1468"/>
      <c r="S60" s="1469"/>
      <c r="T60" s="1470"/>
      <c r="U60" s="1470"/>
      <c r="V60" s="1470"/>
      <c r="X60" s="1520"/>
      <c r="Y60" s="1520"/>
      <c r="Z60" s="1520"/>
    </row>
    <row r="61" spans="1:26">
      <c r="A61" s="1455" t="s">
        <v>1192</v>
      </c>
      <c r="B61" s="1471">
        <f t="shared" ref="B61:C63" si="127">B62+(B$60-B$64)*I61/SUM(I$60:I$63)</f>
        <v>125.9720430107527</v>
      </c>
      <c r="C61" s="1471">
        <f t="shared" si="127"/>
        <v>125.1883408071749</v>
      </c>
      <c r="D61" s="1471">
        <f t="shared" si="97"/>
        <v>125.1883408071749</v>
      </c>
      <c r="E61" s="1471">
        <f t="shared" ref="E61:F63" si="128">E62+(E$60-E$64)*K61/SUM(K$60:K$63)</f>
        <v>144.61421319796952</v>
      </c>
      <c r="F61" s="1471">
        <f t="shared" si="128"/>
        <v>108.42008196721311</v>
      </c>
      <c r="G61" s="3381">
        <v>2005</v>
      </c>
      <c r="H61" s="1481">
        <v>3</v>
      </c>
      <c r="I61" s="1481">
        <v>0.46</v>
      </c>
      <c r="J61" s="1481">
        <v>0.32</v>
      </c>
      <c r="K61" s="1481">
        <v>0.42</v>
      </c>
      <c r="L61" s="1482">
        <v>0.64</v>
      </c>
      <c r="N61" s="1518">
        <f t="shared" si="125"/>
        <v>1.3898515951301874E-2</v>
      </c>
      <c r="O61" s="1519">
        <f t="shared" si="125"/>
        <v>1.0585900169080346E-2</v>
      </c>
      <c r="P61" s="1519">
        <f t="shared" si="126"/>
        <v>5.3299492385786795E-2</v>
      </c>
      <c r="Q61" s="1519">
        <f t="shared" si="126"/>
        <v>4.2898728359123568E-3</v>
      </c>
      <c r="R61" s="1468"/>
      <c r="S61" s="1466"/>
      <c r="T61" s="1467"/>
      <c r="U61" s="1467"/>
      <c r="V61" s="1467"/>
      <c r="X61" s="1520"/>
      <c r="Y61" s="1520"/>
      <c r="Z61" s="1520"/>
    </row>
    <row r="62" spans="1:26">
      <c r="A62" s="1455" t="s">
        <v>1193</v>
      </c>
      <c r="B62" s="1471">
        <f t="shared" si="127"/>
        <v>124.29032258064517</v>
      </c>
      <c r="C62" s="1471">
        <f t="shared" si="127"/>
        <v>123.8968609865471</v>
      </c>
      <c r="D62" s="1471">
        <f t="shared" si="97"/>
        <v>123.8968609865471</v>
      </c>
      <c r="E62" s="1471">
        <f t="shared" si="128"/>
        <v>138.00507614213197</v>
      </c>
      <c r="F62" s="1471">
        <f t="shared" si="128"/>
        <v>107.96106557377048</v>
      </c>
      <c r="G62" s="3381">
        <v>2005</v>
      </c>
      <c r="H62" s="1459">
        <v>2</v>
      </c>
      <c r="I62" s="1459">
        <v>0.47</v>
      </c>
      <c r="J62" s="1459">
        <v>0.1</v>
      </c>
      <c r="K62" s="1459">
        <v>0.52</v>
      </c>
      <c r="L62" s="1473">
        <v>0.79</v>
      </c>
      <c r="N62" s="1518">
        <f t="shared" si="125"/>
        <v>1.420065760241713E-2</v>
      </c>
      <c r="O62" s="1519">
        <f t="shared" si="125"/>
        <v>3.3080938028376083E-3</v>
      </c>
      <c r="P62" s="1519">
        <f t="shared" si="126"/>
        <v>6.598984771573603E-2</v>
      </c>
      <c r="Q62" s="1519">
        <f t="shared" si="126"/>
        <v>5.2953117818293153E-3</v>
      </c>
      <c r="R62" s="1468"/>
      <c r="S62" s="1466"/>
      <c r="T62" s="1467"/>
      <c r="U62" s="1467"/>
      <c r="V62" s="1467"/>
      <c r="X62" s="1520"/>
      <c r="Y62" s="1520"/>
      <c r="Z62" s="1520"/>
    </row>
    <row r="63" spans="1:26">
      <c r="A63" s="1455" t="s">
        <v>1194</v>
      </c>
      <c r="B63" s="1471">
        <f t="shared" si="127"/>
        <v>122.57204301075269</v>
      </c>
      <c r="C63" s="1471">
        <f t="shared" si="127"/>
        <v>123.4932735426009</v>
      </c>
      <c r="D63" s="1471">
        <f t="shared" si="97"/>
        <v>123.4932735426009</v>
      </c>
      <c r="E63" s="1471">
        <f t="shared" si="128"/>
        <v>129.82233502538071</v>
      </c>
      <c r="F63" s="1471">
        <f t="shared" si="128"/>
        <v>107.39446721311475</v>
      </c>
      <c r="G63" s="3382">
        <v>2005</v>
      </c>
      <c r="H63" s="1458">
        <v>1</v>
      </c>
      <c r="I63" s="1458">
        <v>0.43</v>
      </c>
      <c r="J63" s="1458">
        <v>0.37</v>
      </c>
      <c r="K63" s="1458">
        <v>0.37</v>
      </c>
      <c r="L63" s="1472">
        <v>0.55000000000000004</v>
      </c>
      <c r="N63" s="1521">
        <f t="shared" si="125"/>
        <v>1.2992090997956099E-2</v>
      </c>
      <c r="O63" s="1522">
        <f t="shared" si="125"/>
        <v>1.2239947070499151E-2</v>
      </c>
      <c r="P63" s="1522">
        <f t="shared" si="126"/>
        <v>4.6954314720812178E-2</v>
      </c>
      <c r="Q63" s="1522">
        <f t="shared" si="126"/>
        <v>3.6866094683621815E-3</v>
      </c>
      <c r="R63" s="1468"/>
      <c r="S63" s="1474">
        <f>B63/B64-1</f>
        <v>1.2992090997956174E-2</v>
      </c>
      <c r="T63" s="1475">
        <f>C63/C64-1</f>
        <v>1.2239947070499246E-2</v>
      </c>
      <c r="U63" s="1475">
        <f>E63/E64-1</f>
        <v>4.695431472081224E-2</v>
      </c>
      <c r="V63" s="1475">
        <f>F63/F64-1</f>
        <v>3.6866094683620787E-3</v>
      </c>
      <c r="X63" s="1520"/>
      <c r="Y63" s="1520"/>
      <c r="Z63" s="1520"/>
    </row>
    <row r="64" spans="1:26" ht="13.5" thickBot="1">
      <c r="A64" s="1455" t="s">
        <v>1195</v>
      </c>
      <c r="B64" s="1505">
        <v>121</v>
      </c>
      <c r="C64" s="1505">
        <v>122</v>
      </c>
      <c r="D64" s="1505">
        <f t="shared" si="97"/>
        <v>122</v>
      </c>
      <c r="E64" s="1505">
        <v>124</v>
      </c>
      <c r="F64" s="1506">
        <v>107</v>
      </c>
      <c r="G64" s="3380">
        <v>2004</v>
      </c>
      <c r="H64" s="1476">
        <v>4</v>
      </c>
      <c r="I64" s="1476">
        <v>0.33</v>
      </c>
      <c r="J64" s="1476">
        <v>0.5</v>
      </c>
      <c r="K64" s="1476">
        <v>0.5</v>
      </c>
      <c r="L64" s="1477">
        <v>0</v>
      </c>
      <c r="N64" s="1518">
        <f t="shared" ref="N64:O67" si="129">I64/SUM(I$64:I$67)*(B$64/B$68-1)</f>
        <v>1.3391770148526898E-2</v>
      </c>
      <c r="O64" s="1519">
        <f t="shared" si="129"/>
        <v>1.063264221158958E-2</v>
      </c>
      <c r="P64" s="1519">
        <f t="shared" ref="P64:Q67" si="130">K64/SUM(K$64:K$67)*(E$64/E$68-1)</f>
        <v>2.2244466688911134E-2</v>
      </c>
      <c r="Q64" s="1519">
        <f t="shared" si="130"/>
        <v>0</v>
      </c>
      <c r="R64" s="1468"/>
      <c r="S64" s="1469"/>
      <c r="T64" s="1470"/>
      <c r="U64" s="1470"/>
      <c r="V64" s="1470"/>
      <c r="X64" s="1520"/>
      <c r="Y64" s="1520"/>
      <c r="Z64" s="1520"/>
    </row>
    <row r="65" spans="1:26">
      <c r="A65" s="1455" t="s">
        <v>1196</v>
      </c>
      <c r="B65" s="1471">
        <f t="shared" ref="B65:C67" si="131">B66+(B$64-B$68)*I65/SUM(I$64:I$67)</f>
        <v>119.51351351351352</v>
      </c>
      <c r="C65" s="1471">
        <f t="shared" si="131"/>
        <v>120.7878787878788</v>
      </c>
      <c r="D65" s="1471">
        <f t="shared" si="97"/>
        <v>120.7878787878788</v>
      </c>
      <c r="E65" s="1471">
        <f t="shared" ref="E65:F67" si="132">E66+(E$64-E$68)*K65/SUM(K$64:K$67)</f>
        <v>121.5975975975976</v>
      </c>
      <c r="F65" s="1471">
        <f t="shared" si="132"/>
        <v>107</v>
      </c>
      <c r="G65" s="3381">
        <v>2004</v>
      </c>
      <c r="H65" s="1481">
        <v>3</v>
      </c>
      <c r="I65" s="1481">
        <v>0.56000000000000005</v>
      </c>
      <c r="J65" s="1481">
        <v>0.8</v>
      </c>
      <c r="K65" s="1481">
        <v>0.83</v>
      </c>
      <c r="L65" s="1482">
        <v>0.06</v>
      </c>
      <c r="N65" s="1518">
        <f t="shared" si="129"/>
        <v>2.2725428130833527E-2</v>
      </c>
      <c r="O65" s="1519">
        <f t="shared" si="129"/>
        <v>1.7012227538543329E-2</v>
      </c>
      <c r="P65" s="1519">
        <f t="shared" si="130"/>
        <v>3.6925814703592477E-2</v>
      </c>
      <c r="Q65" s="1519">
        <f t="shared" si="130"/>
        <v>2.8846153846153744E-2</v>
      </c>
      <c r="R65" s="1468"/>
      <c r="S65" s="1466"/>
      <c r="T65" s="1467"/>
      <c r="U65" s="1467"/>
      <c r="V65" s="1467"/>
      <c r="X65" s="1520"/>
      <c r="Y65" s="1520"/>
      <c r="Z65" s="1520"/>
    </row>
    <row r="66" spans="1:26">
      <c r="A66" s="1455" t="s">
        <v>1197</v>
      </c>
      <c r="B66" s="1471">
        <f t="shared" si="131"/>
        <v>116.99099099099099</v>
      </c>
      <c r="C66" s="1471">
        <f t="shared" si="131"/>
        <v>118.84848484848486</v>
      </c>
      <c r="D66" s="1471">
        <f t="shared" si="97"/>
        <v>118.84848484848486</v>
      </c>
      <c r="E66" s="1471">
        <f t="shared" si="132"/>
        <v>117.60960960960961</v>
      </c>
      <c r="F66" s="1471">
        <f t="shared" si="132"/>
        <v>104</v>
      </c>
      <c r="G66" s="3381">
        <v>2004</v>
      </c>
      <c r="H66" s="1459">
        <v>2</v>
      </c>
      <c r="I66" s="1459">
        <v>1</v>
      </c>
      <c r="J66" s="1459">
        <v>1.5</v>
      </c>
      <c r="K66" s="1459">
        <v>1.5</v>
      </c>
      <c r="L66" s="1473">
        <v>0</v>
      </c>
      <c r="N66" s="1518">
        <f t="shared" si="129"/>
        <v>4.0581121662202721E-2</v>
      </c>
      <c r="O66" s="1519">
        <f t="shared" si="129"/>
        <v>3.1897926634768738E-2</v>
      </c>
      <c r="P66" s="1519">
        <f t="shared" si="130"/>
        <v>6.6733400066733395E-2</v>
      </c>
      <c r="Q66" s="1519">
        <f t="shared" si="130"/>
        <v>0</v>
      </c>
      <c r="R66" s="1468"/>
      <c r="S66" s="1466"/>
      <c r="T66" s="1467"/>
      <c r="U66" s="1467"/>
      <c r="V66" s="1467"/>
      <c r="X66" s="1520"/>
      <c r="Y66" s="1520"/>
      <c r="Z66" s="1520"/>
    </row>
    <row r="67" spans="1:26" s="1511" customFormat="1" ht="13.5" thickBot="1">
      <c r="A67" s="1455" t="s">
        <v>1198</v>
      </c>
      <c r="B67" s="1508">
        <f t="shared" si="131"/>
        <v>112.48648648648648</v>
      </c>
      <c r="C67" s="1508">
        <f t="shared" si="131"/>
        <v>115.21212121212122</v>
      </c>
      <c r="D67" s="1508">
        <f t="shared" si="97"/>
        <v>115.21212121212122</v>
      </c>
      <c r="E67" s="1508">
        <f t="shared" si="132"/>
        <v>110.4024024024024</v>
      </c>
      <c r="F67" s="1508">
        <f t="shared" si="132"/>
        <v>104</v>
      </c>
      <c r="G67" s="3382">
        <v>2004</v>
      </c>
      <c r="H67" s="1509">
        <v>1</v>
      </c>
      <c r="I67" s="1509">
        <v>0.33</v>
      </c>
      <c r="J67" s="1509">
        <v>0.5</v>
      </c>
      <c r="K67" s="1509">
        <v>0.5</v>
      </c>
      <c r="L67" s="1510">
        <v>0</v>
      </c>
      <c r="N67" s="1523">
        <f t="shared" si="129"/>
        <v>1.3391770148526898E-2</v>
      </c>
      <c r="O67" s="1524">
        <f t="shared" si="129"/>
        <v>1.063264221158958E-2</v>
      </c>
      <c r="P67" s="1524">
        <f t="shared" si="130"/>
        <v>2.2244466688911134E-2</v>
      </c>
      <c r="Q67" s="1524">
        <f t="shared" si="130"/>
        <v>0</v>
      </c>
      <c r="R67" s="1514"/>
      <c r="S67" s="1512">
        <f>B67/B68-1</f>
        <v>1.3391770148526883E-2</v>
      </c>
      <c r="T67" s="1513">
        <f>C67/C68-1</f>
        <v>1.063264221158966E-2</v>
      </c>
      <c r="U67" s="1513">
        <f>E67/E68-1</f>
        <v>2.2244466688911224E-2</v>
      </c>
      <c r="V67" s="1513">
        <f>F67/F68-1</f>
        <v>0</v>
      </c>
      <c r="X67" s="1525"/>
      <c r="Y67" s="1525"/>
      <c r="Z67" s="1525"/>
    </row>
    <row r="68" spans="1:26" ht="13.5" thickBot="1">
      <c r="A68" s="1455" t="s">
        <v>1199</v>
      </c>
      <c r="B68" s="1526">
        <v>111</v>
      </c>
      <c r="C68" s="1526">
        <v>114</v>
      </c>
      <c r="D68" s="1526">
        <f t="shared" si="97"/>
        <v>114</v>
      </c>
      <c r="E68" s="1526">
        <v>108</v>
      </c>
      <c r="F68" s="1527">
        <v>104</v>
      </c>
      <c r="G68" s="3380">
        <v>2003</v>
      </c>
      <c r="H68" s="1516">
        <v>4</v>
      </c>
      <c r="I68" s="1528"/>
      <c r="J68" s="1528"/>
      <c r="K68" s="1528"/>
      <c r="L68" s="1528"/>
      <c r="N68" s="1529"/>
      <c r="O68" s="1528"/>
      <c r="P68" s="1528"/>
      <c r="Q68" s="1528"/>
      <c r="S68" s="1529"/>
      <c r="T68" s="1528"/>
      <c r="U68" s="1528"/>
      <c r="V68" s="1528"/>
      <c r="X68" s="1520"/>
      <c r="Y68" s="1520"/>
      <c r="Z68" s="1520"/>
    </row>
    <row r="69" spans="1:26">
      <c r="A69" s="1455" t="s">
        <v>1200</v>
      </c>
      <c r="B69" s="1530">
        <f t="shared" ref="B69:C71" si="133">B70+(B$68-B$72)/4</f>
        <v>109.75</v>
      </c>
      <c r="C69" s="1530">
        <f t="shared" si="133"/>
        <v>112.25</v>
      </c>
      <c r="D69" s="1530">
        <f t="shared" si="97"/>
        <v>112.25</v>
      </c>
      <c r="E69" s="1530">
        <f t="shared" ref="E69:F71" si="134">E70+(E$68-E$72)/4</f>
        <v>107.25</v>
      </c>
      <c r="F69" s="1530">
        <f t="shared" si="134"/>
        <v>103.5</v>
      </c>
      <c r="G69" s="3381">
        <v>2003</v>
      </c>
      <c r="H69" s="1481">
        <v>3</v>
      </c>
      <c r="I69" s="1528"/>
      <c r="J69" s="1528"/>
      <c r="K69" s="1528"/>
      <c r="L69" s="1528"/>
      <c r="X69" s="1520"/>
      <c r="Y69" s="1520"/>
      <c r="Z69" s="1520"/>
    </row>
    <row r="70" spans="1:26">
      <c r="A70" s="1455" t="s">
        <v>1201</v>
      </c>
      <c r="B70" s="1530">
        <f t="shared" si="133"/>
        <v>108.5</v>
      </c>
      <c r="C70" s="1530">
        <f t="shared" si="133"/>
        <v>110.5</v>
      </c>
      <c r="D70" s="1530">
        <f t="shared" si="97"/>
        <v>110.5</v>
      </c>
      <c r="E70" s="1530">
        <f t="shared" si="134"/>
        <v>106.5</v>
      </c>
      <c r="F70" s="1530">
        <f t="shared" si="134"/>
        <v>103</v>
      </c>
      <c r="G70" s="3381">
        <v>2003</v>
      </c>
      <c r="H70" s="1459">
        <v>2</v>
      </c>
      <c r="I70" s="1528"/>
      <c r="J70" s="1528"/>
      <c r="K70" s="1528"/>
      <c r="L70" s="1528"/>
      <c r="X70" s="1520"/>
      <c r="Y70" s="1520"/>
      <c r="Z70" s="1520"/>
    </row>
    <row r="71" spans="1:26" ht="13.5" thickBot="1">
      <c r="A71" s="1455" t="s">
        <v>1202</v>
      </c>
      <c r="B71" s="1530">
        <f t="shared" si="133"/>
        <v>107.25</v>
      </c>
      <c r="C71" s="1530">
        <f t="shared" si="133"/>
        <v>108.75</v>
      </c>
      <c r="D71" s="1530">
        <f t="shared" si="97"/>
        <v>108.75</v>
      </c>
      <c r="E71" s="1530">
        <f t="shared" si="134"/>
        <v>105.75</v>
      </c>
      <c r="F71" s="1530">
        <f t="shared" si="134"/>
        <v>102.5</v>
      </c>
      <c r="G71" s="3382">
        <v>2003</v>
      </c>
      <c r="H71" s="1531">
        <v>1</v>
      </c>
      <c r="I71" s="1528"/>
      <c r="J71" s="1528"/>
      <c r="K71" s="1528"/>
      <c r="L71" s="1528"/>
      <c r="S71" s="1466"/>
      <c r="T71" s="1467"/>
      <c r="U71" s="1467"/>
      <c r="X71" s="1520"/>
      <c r="Y71" s="1520"/>
      <c r="Z71" s="1520"/>
    </row>
    <row r="72" spans="1:26" ht="13.5" thickBot="1">
      <c r="A72" s="1455" t="s">
        <v>1203</v>
      </c>
      <c r="B72" s="1532">
        <v>106</v>
      </c>
      <c r="C72" s="1532">
        <v>107</v>
      </c>
      <c r="D72" s="1532">
        <f t="shared" si="97"/>
        <v>107</v>
      </c>
      <c r="E72" s="1532">
        <v>105</v>
      </c>
      <c r="F72" s="1533">
        <v>102</v>
      </c>
      <c r="G72" s="3380">
        <v>2002</v>
      </c>
      <c r="H72" s="1476">
        <v>4</v>
      </c>
      <c r="I72" s="1528"/>
      <c r="J72" s="1528"/>
      <c r="K72" s="1528"/>
      <c r="L72" s="1528"/>
      <c r="N72" s="1529"/>
      <c r="O72" s="1528"/>
      <c r="P72" s="1528"/>
      <c r="Q72" s="1528"/>
      <c r="S72" s="1529"/>
      <c r="T72" s="1528"/>
      <c r="U72" s="1528"/>
      <c r="V72" s="1528"/>
      <c r="X72" s="1520"/>
      <c r="Y72" s="1520"/>
      <c r="Z72" s="1520"/>
    </row>
    <row r="73" spans="1:26">
      <c r="A73" s="1455" t="s">
        <v>1204</v>
      </c>
      <c r="B73" s="1530">
        <f t="shared" ref="B73:C75" si="135">B74+(B$72-B$76)/4</f>
        <v>105</v>
      </c>
      <c r="C73" s="1530">
        <f t="shared" si="135"/>
        <v>106</v>
      </c>
      <c r="D73" s="1530">
        <f t="shared" si="97"/>
        <v>106</v>
      </c>
      <c r="E73" s="1530">
        <f t="shared" ref="E73:F75" si="136">E74+(E$72-E$76)/4</f>
        <v>104.5</v>
      </c>
      <c r="F73" s="1530">
        <f t="shared" si="136"/>
        <v>101.5</v>
      </c>
      <c r="G73" s="3381">
        <v>2002</v>
      </c>
      <c r="H73" s="1481">
        <v>3</v>
      </c>
      <c r="I73" s="1528"/>
      <c r="J73" s="1528"/>
      <c r="K73" s="1528"/>
      <c r="L73" s="1528"/>
      <c r="X73" s="1520"/>
      <c r="Y73" s="1520"/>
      <c r="Z73" s="1520"/>
    </row>
    <row r="74" spans="1:26">
      <c r="A74" s="1455" t="s">
        <v>1205</v>
      </c>
      <c r="B74" s="1530">
        <f t="shared" si="135"/>
        <v>104</v>
      </c>
      <c r="C74" s="1530">
        <f t="shared" si="135"/>
        <v>105</v>
      </c>
      <c r="D74" s="1530">
        <f t="shared" si="97"/>
        <v>105</v>
      </c>
      <c r="E74" s="1530">
        <f t="shared" si="136"/>
        <v>104</v>
      </c>
      <c r="F74" s="1530">
        <f t="shared" si="136"/>
        <v>101</v>
      </c>
      <c r="G74" s="3381">
        <v>2002</v>
      </c>
      <c r="H74" s="1459">
        <v>2</v>
      </c>
      <c r="I74" s="1528"/>
      <c r="J74" s="1528"/>
      <c r="K74" s="1528"/>
      <c r="L74" s="1528"/>
      <c r="X74" s="1520"/>
      <c r="Y74" s="1520"/>
      <c r="Z74" s="1520"/>
    </row>
    <row r="75" spans="1:26" s="1492" customFormat="1" ht="13.5" thickBot="1">
      <c r="A75" s="1488" t="s">
        <v>1206</v>
      </c>
      <c r="B75" s="1534">
        <f t="shared" si="135"/>
        <v>103</v>
      </c>
      <c r="C75" s="1534">
        <f t="shared" si="135"/>
        <v>104</v>
      </c>
      <c r="D75" s="1534">
        <f t="shared" si="97"/>
        <v>104</v>
      </c>
      <c r="E75" s="1534">
        <f t="shared" si="136"/>
        <v>103.5</v>
      </c>
      <c r="F75" s="1534">
        <f t="shared" si="136"/>
        <v>100.5</v>
      </c>
      <c r="G75" s="3382">
        <v>2002</v>
      </c>
      <c r="H75" s="1535">
        <v>1</v>
      </c>
      <c r="I75" s="1536"/>
      <c r="J75" s="1536"/>
      <c r="K75" s="1536"/>
      <c r="L75" s="1536"/>
      <c r="N75" s="1537"/>
      <c r="S75" s="1537"/>
      <c r="X75" s="1538"/>
      <c r="Y75" s="1538"/>
      <c r="Z75" s="1538"/>
    </row>
    <row r="76" spans="1:26" ht="13.5" thickBot="1">
      <c r="B76" s="1539">
        <v>102</v>
      </c>
      <c r="C76" s="1540">
        <v>103</v>
      </c>
      <c r="D76" s="1540">
        <f t="shared" si="97"/>
        <v>103</v>
      </c>
      <c r="E76" s="1540">
        <v>103</v>
      </c>
      <c r="F76" s="1541">
        <v>100</v>
      </c>
      <c r="I76" s="1528"/>
      <c r="J76" s="1528"/>
      <c r="K76" s="1528"/>
      <c r="L76" s="1528"/>
      <c r="N76" s="1529"/>
      <c r="O76" s="1528"/>
      <c r="P76" s="1528"/>
      <c r="Q76" s="1528"/>
      <c r="S76" s="1529"/>
      <c r="T76" s="1528"/>
      <c r="U76" s="1528"/>
      <c r="V76" s="1528"/>
      <c r="X76" s="1470"/>
      <c r="Y76" s="1470"/>
      <c r="Z76" s="1470"/>
    </row>
    <row r="78" spans="1:26" s="1543" customFormat="1">
      <c r="A78" s="1542" t="s">
        <v>1207</v>
      </c>
      <c r="G78" s="1544"/>
      <c r="N78" s="1544"/>
      <c r="S78" s="1544"/>
    </row>
    <row r="79" spans="1:26" s="1543" customFormat="1">
      <c r="A79" s="1543" t="s">
        <v>1208</v>
      </c>
      <c r="G79" s="1544"/>
      <c r="N79" s="1544"/>
      <c r="S79" s="1544"/>
    </row>
    <row r="80" spans="1:26" s="1543" customFormat="1">
      <c r="A80" s="1543" t="s">
        <v>1209</v>
      </c>
      <c r="G80" s="1544"/>
      <c r="I80" s="1545"/>
      <c r="J80" s="1545"/>
      <c r="K80" s="1545"/>
      <c r="L80" s="1545"/>
      <c r="N80" s="1546"/>
      <c r="O80" s="1545"/>
      <c r="P80" s="1545"/>
      <c r="Q80" s="1545"/>
      <c r="S80" s="1546"/>
      <c r="T80" s="1545"/>
      <c r="U80" s="1545"/>
      <c r="V80" s="1545"/>
    </row>
    <row r="81" spans="1:22" s="1543" customFormat="1">
      <c r="A81" s="1543" t="s">
        <v>1210</v>
      </c>
      <c r="G81" s="1544"/>
      <c r="N81" s="1544"/>
      <c r="S81" s="1544"/>
    </row>
    <row r="88" spans="1:22" ht="13.5" thickBot="1"/>
    <row r="89" spans="1:22">
      <c r="G89" s="1465"/>
      <c r="S89" s="1547" t="s">
        <v>1211</v>
      </c>
      <c r="T89" s="1548" t="s">
        <v>1212</v>
      </c>
      <c r="U89" s="1548" t="s">
        <v>1213</v>
      </c>
      <c r="V89" s="1548" t="s">
        <v>1214</v>
      </c>
    </row>
    <row r="90" spans="1:22">
      <c r="G90" s="1465"/>
      <c r="N90" s="1469"/>
      <c r="O90" s="1470"/>
      <c r="P90" s="1470"/>
      <c r="Q90" s="1470"/>
      <c r="S90" s="1549">
        <v>2006</v>
      </c>
      <c r="T90" s="1550">
        <v>15.1</v>
      </c>
      <c r="U90" s="1550">
        <v>7.43</v>
      </c>
      <c r="V90" s="1550">
        <v>26.26</v>
      </c>
    </row>
    <row r="91" spans="1:22">
      <c r="G91" s="1465"/>
      <c r="N91" s="1469"/>
      <c r="O91" s="1470"/>
      <c r="P91" s="1470"/>
      <c r="Q91" s="1470"/>
      <c r="S91" s="1551">
        <v>2005</v>
      </c>
      <c r="T91" s="1552">
        <v>13.9</v>
      </c>
      <c r="U91" s="1552">
        <v>7.49</v>
      </c>
      <c r="V91" s="1552">
        <v>24.92</v>
      </c>
    </row>
    <row r="92" spans="1:22">
      <c r="G92" s="1465"/>
      <c r="N92" s="1469"/>
      <c r="O92" s="1470"/>
      <c r="P92" s="1470"/>
      <c r="Q92" s="1470"/>
      <c r="S92" s="1549">
        <v>2004</v>
      </c>
      <c r="T92" s="1550">
        <v>9.48</v>
      </c>
      <c r="U92" s="1550">
        <v>7.2</v>
      </c>
      <c r="V92" s="1550">
        <v>14.68</v>
      </c>
    </row>
    <row r="93" spans="1:22">
      <c r="G93" s="1465"/>
      <c r="N93" s="1469"/>
      <c r="O93" s="1470"/>
      <c r="P93" s="1470"/>
      <c r="Q93" s="1470"/>
      <c r="S93" s="1551">
        <v>2003</v>
      </c>
      <c r="T93" s="1552">
        <v>4.5</v>
      </c>
      <c r="U93" s="1552">
        <v>6.12</v>
      </c>
      <c r="V93" s="1552">
        <v>2.34</v>
      </c>
    </row>
    <row r="94" spans="1:22" ht="13.5" thickBot="1">
      <c r="G94" s="1465"/>
      <c r="N94" s="1469"/>
      <c r="O94" s="1470"/>
      <c r="P94" s="1470"/>
      <c r="Q94" s="1470"/>
      <c r="S94" s="1553">
        <v>2002</v>
      </c>
      <c r="T94" s="1554">
        <v>3.59</v>
      </c>
      <c r="U94" s="1554">
        <v>4.54</v>
      </c>
      <c r="V94" s="1554">
        <v>2.5499999999999998</v>
      </c>
    </row>
    <row r="95" spans="1:22">
      <c r="G95" s="1465"/>
      <c r="N95" s="1469"/>
      <c r="O95" s="1470"/>
      <c r="P95" s="1470"/>
      <c r="Q95" s="1470"/>
    </row>
    <row r="96" spans="1: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6" sqref="D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1584</v>
      </c>
      <c r="B1" s="778"/>
      <c r="C1" s="1831" t="s">
        <v>3459</v>
      </c>
      <c r="D1" s="1814" t="s">
        <v>70</v>
      </c>
      <c r="E1" s="1815" t="s">
        <v>1382</v>
      </c>
      <c r="F1" s="1277">
        <f ca="1">J53</f>
        <v>30.89</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1510</v>
      </c>
      <c r="B2" s="1838">
        <f ca="1">C40+J29+L46</f>
        <v>5568</v>
      </c>
      <c r="C2" s="1839" t="s">
        <v>1511</v>
      </c>
      <c r="D2" s="1839"/>
      <c r="E2" s="1840"/>
      <c r="F2" s="1841"/>
      <c r="G2" s="1842"/>
      <c r="H2" s="1834"/>
      <c r="I2" s="1834"/>
      <c r="J2" s="1834"/>
      <c r="K2" s="1835"/>
      <c r="L2" s="1834"/>
      <c r="M2" s="1834"/>
    </row>
    <row r="3" spans="1:37" ht="18" customHeight="1" thickBot="1">
      <c r="A3" s="1843" t="s">
        <v>1512</v>
      </c>
      <c r="B3" s="1844">
        <f ca="1">IF(ISERROR(B2*10000/F43),0,ROUND(B2*10000/F43,0))</f>
        <v>15920</v>
      </c>
      <c r="C3" s="1839" t="s">
        <v>1513</v>
      </c>
      <c r="D3" s="1839"/>
      <c r="E3" s="1840"/>
      <c r="F3" s="1841"/>
      <c r="G3" s="1842"/>
      <c r="H3" s="740" t="s">
        <v>1583</v>
      </c>
      <c r="I3" s="1834"/>
      <c r="J3" s="1834"/>
      <c r="K3" s="1835"/>
      <c r="L3" s="1834"/>
      <c r="M3" s="1834"/>
    </row>
    <row r="4" spans="1:37" ht="18" customHeight="1">
      <c r="A4" s="340" t="s">
        <v>1391</v>
      </c>
      <c r="B4" s="341" t="s">
        <v>1392</v>
      </c>
      <c r="C4" s="341" t="s">
        <v>1393</v>
      </c>
      <c r="D4" s="341" t="s">
        <v>1394</v>
      </c>
      <c r="E4" s="342" t="s">
        <v>1395</v>
      </c>
      <c r="F4" s="343"/>
      <c r="G4" s="1845"/>
      <c r="H4" s="340" t="s">
        <v>1391</v>
      </c>
      <c r="I4" s="341" t="s">
        <v>1392</v>
      </c>
      <c r="J4" s="341" t="s">
        <v>1393</v>
      </c>
      <c r="K4" s="341" t="s">
        <v>1394</v>
      </c>
      <c r="L4" s="342" t="s">
        <v>1395</v>
      </c>
      <c r="M4" s="343"/>
    </row>
    <row r="5" spans="1:37" ht="18" customHeight="1">
      <c r="A5" s="344">
        <v>1</v>
      </c>
      <c r="B5" s="345" t="s">
        <v>1396</v>
      </c>
      <c r="C5" s="1286">
        <f ca="1">C6+C10+C12</f>
        <v>346</v>
      </c>
      <c r="D5" s="1816" t="s">
        <v>1397</v>
      </c>
      <c r="E5" s="1287"/>
      <c r="F5" s="1288"/>
      <c r="G5" s="1845"/>
      <c r="H5" s="344">
        <v>1</v>
      </c>
      <c r="I5" s="345" t="s">
        <v>1396</v>
      </c>
      <c r="J5" s="1286">
        <f ca="1">J6+J10+J12</f>
        <v>0</v>
      </c>
      <c r="K5" s="1816" t="s">
        <v>1397</v>
      </c>
      <c r="L5" s="1287"/>
      <c r="M5" s="1288"/>
    </row>
    <row r="6" spans="1:37" ht="18" customHeight="1">
      <c r="A6" s="1285" t="s">
        <v>1032</v>
      </c>
      <c r="B6" s="3257" t="s">
        <v>1398</v>
      </c>
      <c r="C6" s="1290">
        <f ca="1">ROUND(F6*F8*F7*(1-F9)/10000,0)</f>
        <v>345</v>
      </c>
      <c r="D6" s="164" t="s">
        <v>3022</v>
      </c>
      <c r="E6" s="347" t="s">
        <v>1400</v>
      </c>
      <c r="F6" s="348">
        <f ca="1">INDIRECT("'数据-取费表'!u"&amp;$G$1)</f>
        <v>3</v>
      </c>
      <c r="G6" s="1845"/>
      <c r="H6" s="1285" t="s">
        <v>1032</v>
      </c>
      <c r="I6" s="3257" t="s">
        <v>1398</v>
      </c>
      <c r="J6" s="346">
        <f ca="1">ROUND(M6*M8*M7*(1-M9)/10000,0)</f>
        <v>0</v>
      </c>
      <c r="K6" s="164" t="s">
        <v>3021</v>
      </c>
      <c r="L6" s="347" t="s">
        <v>1400</v>
      </c>
      <c r="M6" s="348">
        <f ca="1">INDIRECT("'数据-取费表'!z"&amp;$G$1)</f>
        <v>0</v>
      </c>
    </row>
    <row r="7" spans="1:37" ht="18" customHeight="1">
      <c r="A7" s="1289"/>
      <c r="B7" s="3258"/>
      <c r="C7" s="1291"/>
      <c r="D7" s="352"/>
      <c r="E7" s="1292" t="s">
        <v>1401</v>
      </c>
      <c r="F7" s="348">
        <f ca="1">IF(INDIRECT("'数据-取费表'!ah"&amp;$G$1)="",INDIRECT("'数据-取费表'!k"&amp;$G$1),INDIRECT("'数据-取费表'!ah"&amp;$G$1))</f>
        <v>3497.5499999999993</v>
      </c>
      <c r="G7" s="1845"/>
      <c r="H7" s="349"/>
      <c r="I7" s="3258"/>
      <c r="J7" s="351"/>
      <c r="K7" s="352"/>
      <c r="L7" s="347" t="s">
        <v>1401</v>
      </c>
      <c r="M7" s="348">
        <f ca="1">F7</f>
        <v>3497.5499999999993</v>
      </c>
    </row>
    <row r="8" spans="1:37" ht="18" customHeight="1">
      <c r="A8" s="349"/>
      <c r="B8" s="3258"/>
      <c r="C8" s="351"/>
      <c r="D8" s="352"/>
      <c r="E8" s="347" t="s">
        <v>1402</v>
      </c>
      <c r="F8" s="348">
        <f ca="1">INDIRECT("'数据-取费表'!ai"&amp;$G$1)</f>
        <v>365</v>
      </c>
      <c r="G8" s="1845"/>
      <c r="H8" s="349"/>
      <c r="I8" s="3258"/>
      <c r="J8" s="351"/>
      <c r="K8" s="352"/>
      <c r="L8" s="347" t="s">
        <v>1402</v>
      </c>
      <c r="M8" s="348">
        <f ca="1">INDIRECT("'数据-取费表'!ai"&amp;$G$1)</f>
        <v>365</v>
      </c>
    </row>
    <row r="9" spans="1:37" ht="18" customHeight="1">
      <c r="A9" s="349"/>
      <c r="B9" s="3259"/>
      <c r="C9" s="351"/>
      <c r="D9" s="352"/>
      <c r="E9" s="347" t="s">
        <v>1403</v>
      </c>
      <c r="F9" s="357">
        <f ca="1">INDIRECT("'数据-取费表'!w"&amp;$G$1)</f>
        <v>0.1</v>
      </c>
      <c r="G9" s="1845"/>
      <c r="H9" s="349"/>
      <c r="I9" s="3259"/>
      <c r="J9" s="351"/>
      <c r="K9" s="352"/>
      <c r="L9" s="358" t="s">
        <v>1403</v>
      </c>
      <c r="M9" s="359">
        <f ca="1">INDIRECT("'数据-取费表'!ab"&amp;$G$1)</f>
        <v>0</v>
      </c>
    </row>
    <row r="10" spans="1:37" ht="18" customHeight="1">
      <c r="A10" s="1285" t="s">
        <v>1036</v>
      </c>
      <c r="B10" s="1817" t="s">
        <v>1404</v>
      </c>
      <c r="C10" s="361">
        <f ca="1">ROUND(IF(F10="押一",C6/12*F11,IF(F10="押二",C6/12*2*F11,IF(F10="押三",C6/12*3*F11,C11*F11))),0)</f>
        <v>1</v>
      </c>
      <c r="D10" s="1818" t="s">
        <v>3031</v>
      </c>
      <c r="E10" s="358" t="s">
        <v>1405</v>
      </c>
      <c r="F10" s="1360" t="s">
        <v>3463</v>
      </c>
      <c r="G10" s="1845"/>
      <c r="H10" s="1285" t="s">
        <v>1036</v>
      </c>
      <c r="I10" s="1817" t="s">
        <v>1404</v>
      </c>
      <c r="J10" s="346">
        <f ca="1">ROUND(IF(M10="押一",J6/12*M11,IF(M10="押二",J6/12*2*M11,IF(M10="押三",J6/12*3*M11,J11*M11))),0)</f>
        <v>0</v>
      </c>
      <c r="K10" s="1818" t="s">
        <v>3030</v>
      </c>
      <c r="L10" s="358" t="s">
        <v>1405</v>
      </c>
      <c r="M10" s="1360" t="s">
        <v>1406</v>
      </c>
    </row>
    <row r="11" spans="1:37" ht="18" customHeight="1">
      <c r="A11" s="353"/>
      <c r="B11" s="1819" t="s">
        <v>1383</v>
      </c>
      <c r="C11" s="1174"/>
      <c r="D11" s="1820"/>
      <c r="E11" s="358" t="s">
        <v>1407</v>
      </c>
      <c r="F11" s="359">
        <f ca="1">'数据-取费表'!B39</f>
        <v>1.4999999999999999E-2</v>
      </c>
      <c r="G11" s="1845"/>
      <c r="H11" s="1293"/>
      <c r="I11" s="1819" t="s">
        <v>1383</v>
      </c>
      <c r="J11" s="1174"/>
      <c r="K11" s="744"/>
      <c r="L11" s="358" t="s">
        <v>1407</v>
      </c>
      <c r="M11" s="1052">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5">
        <f ca="1">ROUND(C29*F13,0)</f>
        <v>1034</v>
      </c>
      <c r="D13" s="1325" t="s">
        <v>1410</v>
      </c>
      <c r="E13" s="1325" t="s">
        <v>1411</v>
      </c>
      <c r="F13" s="1326">
        <f ca="1">INDIRECT("'数据-取费表'!y"&amp;$G$1)</f>
        <v>0.9</v>
      </c>
      <c r="G13" s="1845"/>
      <c r="H13" s="1323">
        <v>2</v>
      </c>
      <c r="I13" s="1324" t="s">
        <v>1409</v>
      </c>
      <c r="J13" s="1284">
        <f ca="1">ROUND(J14*J15,0)</f>
        <v>0</v>
      </c>
      <c r="K13" s="1331" t="s">
        <v>1410</v>
      </c>
      <c r="L13" s="1846"/>
      <c r="M13" s="1847"/>
    </row>
    <row r="14" spans="1:37" ht="18" customHeight="1">
      <c r="A14" s="1197" t="s">
        <v>1031</v>
      </c>
      <c r="B14" s="347" t="s">
        <v>1412</v>
      </c>
      <c r="C14" s="363">
        <f ca="1">INDIRECT("'数据-取费表'!m"&amp;$G$1)+INDIRECT("'数据-取费表'!t"&amp;$G$1)</f>
        <v>769</v>
      </c>
      <c r="D14" s="1794" t="s">
        <v>1413</v>
      </c>
      <c r="E14" s="1788"/>
      <c r="F14" s="364"/>
      <c r="G14" s="1845"/>
      <c r="H14" s="1197" t="s">
        <v>1032</v>
      </c>
      <c r="I14" s="347" t="s">
        <v>1414</v>
      </c>
      <c r="J14" s="24">
        <f ca="1">C29</f>
        <v>1149</v>
      </c>
      <c r="K14" s="15"/>
      <c r="L14" s="975"/>
      <c r="M14" s="976"/>
    </row>
    <row r="15" spans="1:37" s="1852" customFormat="1" ht="18" customHeight="1" thickBot="1">
      <c r="A15" s="1197" t="s">
        <v>1033</v>
      </c>
      <c r="B15" s="347" t="s">
        <v>1415</v>
      </c>
      <c r="C15" s="24">
        <f ca="1">ROUND(C14*F15,0)</f>
        <v>38</v>
      </c>
      <c r="D15" s="365" t="s">
        <v>1416</v>
      </c>
      <c r="E15" s="365" t="s">
        <v>1417</v>
      </c>
      <c r="F15" s="366">
        <f>'数据-取费表'!B33</f>
        <v>0.05</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1384</v>
      </c>
      <c r="B16" s="347" t="s">
        <v>1418</v>
      </c>
      <c r="C16" s="24">
        <f ca="1">ROUND(INDIRECT("'数据-取费表'!m"&amp;$G$1)*F16,0)</f>
        <v>0</v>
      </c>
      <c r="D16" s="347" t="s">
        <v>1416</v>
      </c>
      <c r="E16" s="347" t="s">
        <v>1417</v>
      </c>
      <c r="F16" s="367">
        <f ca="1">IF(INDIRECT("'数据-取费表'!c"&amp;$G$1)="住宅",'数据-取费表'!B34,0)</f>
        <v>0</v>
      </c>
      <c r="G16" s="1845"/>
      <c r="H16" s="1323" t="s">
        <v>1027</v>
      </c>
      <c r="I16" s="1324" t="s">
        <v>1419</v>
      </c>
      <c r="J16" s="355">
        <f ca="1">ROUND(J17+J22+J23+J24,0)</f>
        <v>27</v>
      </c>
      <c r="K16" s="1331" t="s">
        <v>1420</v>
      </c>
      <c r="L16" s="1332"/>
      <c r="M16" s="1288"/>
    </row>
    <row r="17" spans="1:37" s="1852" customFormat="1" ht="18" customHeight="1">
      <c r="A17" s="1197" t="s">
        <v>1385</v>
      </c>
      <c r="B17" s="347" t="s">
        <v>1421</v>
      </c>
      <c r="C17" s="24">
        <f ca="1">ROUND(F17*(F43+INDIRECT("'数据-取费表'!S"&amp;$G$1))/10000,0)</f>
        <v>70</v>
      </c>
      <c r="D17" s="347" t="s">
        <v>1422</v>
      </c>
      <c r="E17" s="347" t="s">
        <v>1423</v>
      </c>
      <c r="F17" s="26">
        <f>'数据-取费表'!B35</f>
        <v>200</v>
      </c>
      <c r="G17" s="1848"/>
      <c r="H17" s="1197" t="s">
        <v>1032</v>
      </c>
      <c r="I17" s="347" t="s">
        <v>1424</v>
      </c>
      <c r="J17" s="24">
        <f ca="1">ROUND(IF(项目基本情况!B11="自然人",J6*M17/(1+'数据-取费表'!C42),J18+J19+J20),1)</f>
        <v>9.6999999999999993</v>
      </c>
      <c r="K17" s="1794" t="s">
        <v>1425</v>
      </c>
      <c r="L17" s="1792" t="s">
        <v>1426</v>
      </c>
      <c r="M17" s="368">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1386</v>
      </c>
      <c r="B18" s="347" t="s">
        <v>1427</v>
      </c>
      <c r="C18" s="24">
        <f ca="1">ROUND(C14*F18,0)</f>
        <v>12</v>
      </c>
      <c r="D18" s="347" t="s">
        <v>1416</v>
      </c>
      <c r="E18" s="347" t="s">
        <v>1417</v>
      </c>
      <c r="F18" s="367">
        <f>'数据-取费表'!B36</f>
        <v>1.4999999999999999E-2</v>
      </c>
      <c r="G18" s="1848"/>
      <c r="H18" s="1197" t="s">
        <v>1031</v>
      </c>
      <c r="I18" s="347" t="s">
        <v>1428</v>
      </c>
      <c r="J18" s="24">
        <f ca="1">ROUND(J6*M18/(1+'数据-取费表'!C42),2)</f>
        <v>0</v>
      </c>
      <c r="K18" s="1792" t="s">
        <v>1429</v>
      </c>
      <c r="L18" s="347" t="s">
        <v>1417</v>
      </c>
      <c r="M18" s="367">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1032</v>
      </c>
      <c r="B19" s="347" t="s">
        <v>1430</v>
      </c>
      <c r="C19" s="24">
        <f ca="1">SUM(C14:C18)</f>
        <v>889</v>
      </c>
      <c r="D19" s="140" t="s">
        <v>1431</v>
      </c>
      <c r="E19" s="1812"/>
      <c r="F19" s="26"/>
      <c r="G19" s="1845"/>
      <c r="H19" s="1197" t="s">
        <v>1033</v>
      </c>
      <c r="I19" s="347" t="s">
        <v>1432</v>
      </c>
      <c r="J19" s="24">
        <f ca="1">IF(K19="按租金收入计税",ROUND(J6*M19/(1+'数据-取费表'!C42),2),ROUND(C29*M19*0.7,2))</f>
        <v>9.65</v>
      </c>
      <c r="K19" s="1822" t="s">
        <v>1433</v>
      </c>
      <c r="L19" s="347" t="s">
        <v>1417</v>
      </c>
      <c r="M19" s="367">
        <f>IF(K19="按租金收入计税",'数据-取费表'!B51,'数据-取费表'!B50)</f>
        <v>1.2E-2</v>
      </c>
    </row>
    <row r="20" spans="1:37" s="1852" customFormat="1" ht="18" customHeight="1">
      <c r="A20" s="1197" t="s">
        <v>1036</v>
      </c>
      <c r="B20" s="347" t="s">
        <v>1434</v>
      </c>
      <c r="C20" s="24">
        <f ca="1">ROUND(C19*F20,0)</f>
        <v>18</v>
      </c>
      <c r="D20" s="369" t="s">
        <v>1435</v>
      </c>
      <c r="E20" s="347" t="s">
        <v>1417</v>
      </c>
      <c r="F20" s="367">
        <f>'数据-取费表'!B37</f>
        <v>0.02</v>
      </c>
      <c r="G20" s="1848"/>
      <c r="H20" s="1197" t="s">
        <v>1384</v>
      </c>
      <c r="I20" s="164" t="s">
        <v>1436</v>
      </c>
      <c r="J20" s="25">
        <f ca="1">ROUND(M20*M21/10000,2)</f>
        <v>0</v>
      </c>
      <c r="K20" s="370" t="s">
        <v>1437</v>
      </c>
      <c r="L20" s="347" t="s">
        <v>1438</v>
      </c>
      <c r="M20" s="371">
        <f>'数据-取费表'!B52</f>
        <v>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1072</v>
      </c>
      <c r="B21" s="347" t="s">
        <v>1439</v>
      </c>
      <c r="C21" s="24" t="s">
        <v>18</v>
      </c>
      <c r="D21" s="369" t="s">
        <v>1440</v>
      </c>
      <c r="E21" s="347" t="s">
        <v>1441</v>
      </c>
      <c r="F21" s="367">
        <f>'数据-取费表'!B38</f>
        <v>0.02</v>
      </c>
      <c r="G21" s="1848"/>
      <c r="H21" s="372"/>
      <c r="I21" s="356"/>
      <c r="J21" s="29"/>
      <c r="K21" s="373"/>
      <c r="L21" s="347" t="s">
        <v>1442</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1387</v>
      </c>
      <c r="B22" s="347" t="s">
        <v>1443</v>
      </c>
      <c r="C22" s="24"/>
      <c r="D22" s="140" t="str">
        <f>IF(F23&lt;=1,"单利计息。","复利计息。")&amp;"建造成本、管理费用、销售费用产生的利息。"</f>
        <v>单利计息。建造成本、管理费用、销售费用产生的利息。</v>
      </c>
      <c r="E22" s="1812"/>
      <c r="F22" s="26"/>
      <c r="G22" s="1845"/>
      <c r="H22" s="1197" t="s">
        <v>1036</v>
      </c>
      <c r="I22" s="347" t="s">
        <v>1444</v>
      </c>
      <c r="J22" s="24">
        <f ca="1">ROUND(J14*M22,1)</f>
        <v>17.2</v>
      </c>
      <c r="K22" s="1792" t="s">
        <v>1445</v>
      </c>
      <c r="L22" s="347" t="s">
        <v>1417</v>
      </c>
      <c r="M22" s="374">
        <f ca="1">INDIRECT("'数据-取费表'!Ak"&amp;$G$1)</f>
        <v>1.4999999999999999E-2</v>
      </c>
    </row>
    <row r="23" spans="1:37" s="1852" customFormat="1" ht="18" customHeight="1">
      <c r="A23" s="1197" t="s">
        <v>1031</v>
      </c>
      <c r="B23" s="347" t="s">
        <v>1446</v>
      </c>
      <c r="C23" s="24">
        <f ca="1">IF('数据-取费表'!B22&lt;=1,ROUND(C19*F24*F23/2,0)+ROUND(C20*F24*F23/2,0),ROUND(C19*(POWER((1+F24),F23/2)-1),0)+ROUND(C20*(POWER((1+F24),F23/2)-1),0))</f>
        <v>19</v>
      </c>
      <c r="D23" s="375" t="str">
        <f>IF(F23&lt;=1,"(建造成本+管理费用)×利率×(建设周期÷2)","(建造成本+管理费用)×((1+利率)^(建设周期÷2)-1)")</f>
        <v>(建造成本+管理费用)×利率×(建设周期÷2)</v>
      </c>
      <c r="E23" s="347" t="s">
        <v>1447</v>
      </c>
      <c r="F23" s="371">
        <f>'数据-取费表'!B20</f>
        <v>1</v>
      </c>
      <c r="G23" s="1848"/>
      <c r="H23" s="1197" t="s">
        <v>1072</v>
      </c>
      <c r="I23" s="347" t="s">
        <v>1448</v>
      </c>
      <c r="J23" s="24">
        <f ca="1">ROUND(J13*M23,1)</f>
        <v>0</v>
      </c>
      <c r="K23" s="1792" t="s">
        <v>1449</v>
      </c>
      <c r="L23" s="347" t="s">
        <v>1450</v>
      </c>
      <c r="M23" s="376">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48"/>
      <c r="H24" s="1333" t="s">
        <v>1388</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1455</v>
      </c>
      <c r="B25" s="347" t="s">
        <v>1456</v>
      </c>
      <c r="C25" s="24"/>
      <c r="D25" s="140" t="s">
        <v>1457</v>
      </c>
      <c r="E25" s="1812"/>
      <c r="F25" s="26"/>
      <c r="G25" s="1845"/>
      <c r="H25" s="1323" t="s">
        <v>1028</v>
      </c>
      <c r="I25" s="1338" t="s">
        <v>1458</v>
      </c>
      <c r="J25" s="355">
        <f ca="1">J5-J16</f>
        <v>-27</v>
      </c>
      <c r="K25" s="1339" t="s">
        <v>1459</v>
      </c>
      <c r="L25" s="1340"/>
      <c r="M25" s="1341"/>
    </row>
    <row r="26" spans="1:37">
      <c r="A26" s="1197" t="s">
        <v>1031</v>
      </c>
      <c r="B26" s="347" t="s">
        <v>1460</v>
      </c>
      <c r="C26" s="24">
        <f ca="1">ROUND((C19+C20)*F26,0)</f>
        <v>136</v>
      </c>
      <c r="D26" s="369" t="s">
        <v>1461</v>
      </c>
      <c r="E26" s="358" t="s">
        <v>1462</v>
      </c>
      <c r="F26" s="357">
        <f ca="1">INDIRECT("'数据-取费表'!q"&amp;$G$1)</f>
        <v>0.15</v>
      </c>
      <c r="G26" s="1845"/>
      <c r="H26" s="344" t="s">
        <v>1029</v>
      </c>
      <c r="I26" s="345" t="s">
        <v>1463</v>
      </c>
      <c r="J26" s="346">
        <f ca="1">IF(J5&lt;&gt;0,ROUND(J25*(1-((1+M28)/(1+M26))^M27)/(M26-M28),0),0)</f>
        <v>0</v>
      </c>
      <c r="K26" s="370" t="s">
        <v>1464</v>
      </c>
      <c r="L26" s="347" t="s">
        <v>1465</v>
      </c>
      <c r="M26" s="357">
        <f ca="1">INDIRECT("'数据-取费表'!I"&amp;$G$1)</f>
        <v>5.5E-2</v>
      </c>
    </row>
    <row r="27" spans="1:37" ht="18" customHeight="1">
      <c r="A27" s="1197" t="s">
        <v>1033</v>
      </c>
      <c r="B27" s="347" t="s">
        <v>1466</v>
      </c>
      <c r="C27" s="24">
        <f ca="1">ROUND(F21*F26,4)</f>
        <v>3.0000000000000001E-3</v>
      </c>
      <c r="D27" s="369" t="s">
        <v>1467</v>
      </c>
      <c r="E27" s="365"/>
      <c r="F27" s="366"/>
      <c r="G27" s="1845"/>
      <c r="H27" s="349"/>
      <c r="I27" s="350"/>
      <c r="J27" s="351"/>
      <c r="K27" s="378" t="s">
        <v>1468</v>
      </c>
      <c r="L27" s="347" t="s">
        <v>1469</v>
      </c>
      <c r="M27" s="379">
        <f ca="1">INDIRECT("'数据-取费表'!ag"&amp;$G$1)</f>
        <v>0</v>
      </c>
    </row>
    <row r="28" spans="1:37" s="1852" customFormat="1" ht="18" customHeight="1">
      <c r="A28" s="1197" t="s">
        <v>1034</v>
      </c>
      <c r="B28" s="347" t="s">
        <v>1470</v>
      </c>
      <c r="C28" s="24">
        <f>ROUND(F28/(1+'数据-取费表'!C42),4)</f>
        <v>5.2400000000000002E-2</v>
      </c>
      <c r="D28" s="369" t="s">
        <v>1471</v>
      </c>
      <c r="E28" s="347" t="s">
        <v>1417</v>
      </c>
      <c r="F28" s="367">
        <f>'数据-取费表'!B41</f>
        <v>5.5000000000000007E-2</v>
      </c>
      <c r="G28" s="1848"/>
      <c r="H28" s="353"/>
      <c r="I28" s="354"/>
      <c r="J28" s="355"/>
      <c r="K28" s="373"/>
      <c r="L28" s="347" t="s">
        <v>1472</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1149</v>
      </c>
      <c r="D29" s="1336"/>
      <c r="E29" s="1334"/>
      <c r="F29" s="1337"/>
      <c r="G29" s="1848"/>
      <c r="H29" s="380" t="s">
        <v>1030</v>
      </c>
      <c r="I29" s="381" t="s">
        <v>1474</v>
      </c>
      <c r="J29" s="382">
        <f ca="1">ROUND(J26/(1+F40)^F41,0)</f>
        <v>0</v>
      </c>
      <c r="K29" s="383" t="s">
        <v>1475</v>
      </c>
      <c r="L29" s="384"/>
      <c r="M29" s="385">
        <f ca="1">INDIRECT("'数据-取费表'!k"&amp;$G$1)</f>
        <v>3497.5499999999993</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5">
        <f ca="1">ROUND(C31+C36+C37+C38,0)</f>
        <v>80</v>
      </c>
      <c r="D30" s="1331" t="s">
        <v>1420</v>
      </c>
      <c r="E30" s="1332"/>
      <c r="F30" s="1288"/>
      <c r="G30" s="1845"/>
      <c r="H30" s="741"/>
      <c r="I30" s="742"/>
      <c r="J30" s="743"/>
      <c r="K30" s="744"/>
      <c r="L30" s="745"/>
      <c r="M30" s="746"/>
    </row>
    <row r="31" spans="1:37" ht="18" customHeight="1">
      <c r="A31" s="1197" t="s">
        <v>1032</v>
      </c>
      <c r="B31" s="347" t="s">
        <v>1424</v>
      </c>
      <c r="C31" s="24">
        <f ca="1">ROUND(IF(项目基本情况!B11="自然人",C6*F31/(1+'数据-取费表'!C42),C32+C33+C34),1)</f>
        <v>57.5</v>
      </c>
      <c r="D31" s="1794" t="s">
        <v>1425</v>
      </c>
      <c r="E31" s="1792" t="s">
        <v>1476</v>
      </c>
      <c r="F31" s="368">
        <f ca="1">IF(项目基本情况!B11="企业","",IF(INDIRECT("'数据-取费表'!c"&amp;$G$1)="住宅",5%,IF(F6*F7*F8/12/(1+'数据-取费表'!C42)&gt;20000,12%,7%)))</f>
        <v>0.12</v>
      </c>
      <c r="G31" s="1845"/>
      <c r="H31" s="741"/>
      <c r="I31" s="742"/>
      <c r="J31" s="743"/>
      <c r="K31" s="744"/>
      <c r="L31" s="745"/>
      <c r="M31" s="746"/>
    </row>
    <row r="32" spans="1:37" ht="18" customHeight="1">
      <c r="A32" s="1197" t="s">
        <v>1031</v>
      </c>
      <c r="B32" s="347" t="s">
        <v>1428</v>
      </c>
      <c r="C32" s="24">
        <f ca="1">IF(项目基本情况!B11="自然人","——",ROUND(C6*F32/(1+'数据-取费表'!C42),2))</f>
        <v>18.07</v>
      </c>
      <c r="D32" s="1792" t="s">
        <v>1429</v>
      </c>
      <c r="E32" s="347" t="s">
        <v>1417</v>
      </c>
      <c r="F32" s="377">
        <f>'数据-取费表'!B41</f>
        <v>5.5000000000000007E-2</v>
      </c>
      <c r="G32" s="1845"/>
      <c r="H32" s="741"/>
      <c r="I32" s="742"/>
      <c r="J32" s="743"/>
      <c r="K32" s="744"/>
      <c r="L32" s="745"/>
      <c r="M32" s="746"/>
    </row>
    <row r="33" spans="1:18" ht="18" customHeight="1">
      <c r="A33" s="1197" t="s">
        <v>1033</v>
      </c>
      <c r="B33" s="347" t="s">
        <v>1432</v>
      </c>
      <c r="C33" s="24">
        <f ca="1">IF(项目基本情况!B11="自然人","——",IF(D33="按租金收入计税",ROUND(C6*F33/(1+'数据-取费表'!C42),2),IF(D33="按房产原值计税",ROUND(C29*F33*0.7,2),INDIRECT("'数据-取费表'!Aj"&amp;$G$1))))</f>
        <v>39.43</v>
      </c>
      <c r="D33" s="1822" t="s">
        <v>3462</v>
      </c>
      <c r="E33" s="347" t="s">
        <v>1417</v>
      </c>
      <c r="F33" s="367">
        <f>IF(D33="按票据","——",IF(D33="按租金收入计税",'数据-取费表'!B51,'数据-取费表'!B50))</f>
        <v>0.12</v>
      </c>
      <c r="G33" s="1845"/>
      <c r="H33" s="1853"/>
      <c r="I33" s="1854"/>
      <c r="J33" s="1855"/>
      <c r="K33" s="1856"/>
      <c r="L33" s="1853"/>
      <c r="M33" s="1853"/>
    </row>
    <row r="34" spans="1:18" ht="18" customHeight="1">
      <c r="A34" s="1285" t="s">
        <v>1384</v>
      </c>
      <c r="B34" s="164" t="s">
        <v>1436</v>
      </c>
      <c r="C34" s="25">
        <f ca="1">IF(项目基本情况!B11="自然人","——",ROUND(F34*F35/10000,2))</f>
        <v>0</v>
      </c>
      <c r="D34" s="370" t="s">
        <v>1437</v>
      </c>
      <c r="E34" s="347" t="s">
        <v>1438</v>
      </c>
      <c r="F34" s="371">
        <f>'数据-取费表'!B52</f>
        <v>4</v>
      </c>
      <c r="G34" s="1845"/>
      <c r="H34" s="741"/>
      <c r="I34" s="1854"/>
      <c r="J34" s="1855"/>
      <c r="K34" s="1857"/>
      <c r="L34" s="1858"/>
      <c r="M34" s="1858"/>
    </row>
    <row r="35" spans="1:18" ht="18" customHeight="1">
      <c r="A35" s="1347"/>
      <c r="B35" s="1345"/>
      <c r="C35" s="29"/>
      <c r="D35" s="373"/>
      <c r="E35" s="347" t="s">
        <v>1442</v>
      </c>
      <c r="F35" s="348">
        <f ca="1">INDIRECT("'数据-取费表'!r"&amp;$G$1)</f>
        <v>0</v>
      </c>
      <c r="G35" s="1845"/>
      <c r="H35" s="741"/>
      <c r="I35" s="1854"/>
      <c r="J35" s="1855"/>
      <c r="K35" s="1856"/>
      <c r="L35" s="1853"/>
      <c r="M35" s="1853"/>
    </row>
    <row r="36" spans="1:18" ht="18" customHeight="1">
      <c r="A36" s="1346" t="s">
        <v>1036</v>
      </c>
      <c r="B36" s="347" t="s">
        <v>1444</v>
      </c>
      <c r="C36" s="24">
        <f ca="1">ROUND(C29*F36,1)</f>
        <v>17.2</v>
      </c>
      <c r="D36" s="1792" t="s">
        <v>1477</v>
      </c>
      <c r="E36" s="347" t="s">
        <v>1417</v>
      </c>
      <c r="F36" s="374">
        <f ca="1">INDIRECT("'数据-取费表'!Ak"&amp;$G$1)</f>
        <v>1.4999999999999999E-2</v>
      </c>
      <c r="G36" s="1845"/>
      <c r="H36" s="1853"/>
      <c r="I36" s="1854"/>
      <c r="J36" s="1855"/>
      <c r="K36" s="747"/>
      <c r="L36" s="1853"/>
      <c r="M36" s="1853"/>
    </row>
    <row r="37" spans="1:18" ht="18" customHeight="1">
      <c r="A37" s="1197" t="s">
        <v>1072</v>
      </c>
      <c r="B37" s="347" t="s">
        <v>1448</v>
      </c>
      <c r="C37" s="24">
        <f ca="1">ROUND(C13*F37,1)</f>
        <v>1.6</v>
      </c>
      <c r="D37" s="1792" t="s">
        <v>1449</v>
      </c>
      <c r="E37" s="347" t="s">
        <v>1450</v>
      </c>
      <c r="F37" s="376">
        <f ca="1">INDIRECT("'数据-取费表'!Al"&amp;$G$1)</f>
        <v>1.5E-3</v>
      </c>
      <c r="G37" s="1845"/>
      <c r="H37" s="1853"/>
      <c r="I37" s="1854"/>
      <c r="J37" s="1855"/>
      <c r="K37" s="747"/>
      <c r="L37" s="1853"/>
      <c r="M37" s="1853"/>
    </row>
    <row r="38" spans="1:18" ht="18" customHeight="1" thickBot="1">
      <c r="A38" s="1333" t="s">
        <v>1388</v>
      </c>
      <c r="B38" s="1334" t="s">
        <v>1434</v>
      </c>
      <c r="C38" s="1335">
        <f ca="1">ROUND(C5*F38,1)</f>
        <v>3.5</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5">
        <f ca="1">C5-C30</f>
        <v>266</v>
      </c>
      <c r="D39" s="1339" t="s">
        <v>1479</v>
      </c>
      <c r="E39" s="1340"/>
      <c r="F39" s="1341"/>
      <c r="G39" s="1845"/>
      <c r="H39" s="1853"/>
      <c r="I39" s="1854"/>
      <c r="J39" s="1855"/>
      <c r="K39" s="1859"/>
      <c r="L39" s="1853"/>
      <c r="M39" s="1853"/>
    </row>
    <row r="40" spans="1:18" ht="18" customHeight="1">
      <c r="A40" s="344" t="s">
        <v>1029</v>
      </c>
      <c r="B40" s="345" t="s">
        <v>1480</v>
      </c>
      <c r="C40" s="346">
        <f ca="1">ROUND(C39*(1-((1+F42)/(1+F40))^F41)/(F40-F42),0)</f>
        <v>5568</v>
      </c>
      <c r="D40" s="370" t="s">
        <v>1464</v>
      </c>
      <c r="E40" s="347" t="s">
        <v>1465</v>
      </c>
      <c r="F40" s="357">
        <f ca="1">INDIRECT("'数据-取费表'!I"&amp;$G$1)</f>
        <v>5.5E-2</v>
      </c>
      <c r="G40" s="1845"/>
      <c r="H40" s="1833"/>
      <c r="I40" s="1854"/>
      <c r="J40" s="1855"/>
      <c r="K40" s="1859"/>
      <c r="L40" s="1833"/>
      <c r="M40" s="1833"/>
    </row>
    <row r="41" spans="1:18" ht="18" customHeight="1">
      <c r="A41" s="349"/>
      <c r="B41" s="350"/>
      <c r="C41" s="351"/>
      <c r="D41" s="378" t="s">
        <v>1481</v>
      </c>
      <c r="E41" s="347" t="s">
        <v>1469</v>
      </c>
      <c r="F41" s="379">
        <f ca="1">IF(INDIRECT("'数据-取费表'!af"&amp;$G$1)=0,INDIRECT("'数据-取费表'!ae"&amp;$G$1),INDIRECT("'数据-取费表'!af"&amp;$G$1))</f>
        <v>30.89</v>
      </c>
      <c r="G41" s="1845"/>
      <c r="H41" s="728"/>
      <c r="I41" s="1854"/>
      <c r="J41" s="1855"/>
      <c r="K41" s="747"/>
      <c r="L41" s="728"/>
      <c r="M41" s="728"/>
    </row>
    <row r="42" spans="1:18" ht="18" customHeight="1">
      <c r="A42" s="353"/>
      <c r="B42" s="354"/>
      <c r="C42" s="355"/>
      <c r="D42" s="373"/>
      <c r="E42" s="347" t="s">
        <v>1472</v>
      </c>
      <c r="F42" s="357">
        <f ca="1">INDIRECT("'数据-取费表'!v"&amp;$G$1)</f>
        <v>0.03</v>
      </c>
      <c r="G42" s="1845"/>
      <c r="H42" s="728"/>
      <c r="I42" s="1854"/>
      <c r="J42" s="1855"/>
      <c r="K42" s="747"/>
      <c r="L42" s="728"/>
      <c r="M42" s="728"/>
    </row>
    <row r="43" spans="1:18" ht="18" customHeight="1" thickBot="1">
      <c r="A43" s="380" t="s">
        <v>1030</v>
      </c>
      <c r="B43" s="381" t="s">
        <v>1482</v>
      </c>
      <c r="C43" s="382">
        <f ca="1">ROUND(C40*10000/F43,0)</f>
        <v>15920</v>
      </c>
      <c r="D43" s="383" t="s">
        <v>1483</v>
      </c>
      <c r="E43" s="384" t="s">
        <v>1484</v>
      </c>
      <c r="F43" s="385">
        <f ca="1">INDIRECT("'数据-取费表'!k"&amp;$G$1)</f>
        <v>3497.5499999999993</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2"/>
      <c r="O45" s="1863" t="s">
        <v>1514</v>
      </c>
      <c r="P45" s="1833"/>
      <c r="Q45" s="1833"/>
      <c r="R45" s="1833"/>
    </row>
    <row r="46" spans="1:18" s="1836" customFormat="1" ht="13.5" thickBot="1">
      <c r="A46" s="1864" t="s">
        <v>1515</v>
      </c>
      <c r="C46" s="1865">
        <f ca="1">C68-C40</f>
        <v>-7259</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61" t="s">
        <v>1391</v>
      </c>
      <c r="B47" s="1193" t="s">
        <v>1392</v>
      </c>
      <c r="C47" s="1361" t="s">
        <v>1393</v>
      </c>
      <c r="D47" s="1193" t="s">
        <v>1394</v>
      </c>
      <c r="E47" s="1273" t="s">
        <v>1395</v>
      </c>
      <c r="F47" s="1274"/>
      <c r="G47" s="788"/>
      <c r="I47" s="1874" t="s">
        <v>1521</v>
      </c>
      <c r="J47" s="1875" t="s">
        <v>3460</v>
      </c>
      <c r="K47" s="1876" t="s">
        <v>1522</v>
      </c>
      <c r="L47" s="1877">
        <f ca="1">INDIRECT("'数据-取费表'!d"&amp;$G$1)</f>
        <v>40</v>
      </c>
      <c r="M47" s="1832" t="str">
        <f>IF(ISNUMBER(FIND("住宅",C1)),"住宅","非住宅")</f>
        <v>非住宅</v>
      </c>
      <c r="O47" s="1878" t="s">
        <v>1037</v>
      </c>
      <c r="P47" s="1879" t="s">
        <v>1523</v>
      </c>
      <c r="Q47" s="1880">
        <f ca="1">C40+J29</f>
        <v>5568</v>
      </c>
      <c r="R47" s="1880" t="s">
        <v>1524</v>
      </c>
    </row>
    <row r="48" spans="1:18" s="1836" customFormat="1" ht="28.5" thickBot="1">
      <c r="A48" s="1354" t="s">
        <v>1132</v>
      </c>
      <c r="B48" s="345" t="s">
        <v>1396</v>
      </c>
      <c r="C48" s="1811">
        <f ca="1">C49+C53+C55</f>
        <v>0</v>
      </c>
      <c r="D48" s="1356"/>
      <c r="E48" s="1357"/>
      <c r="F48" s="1177"/>
      <c r="G48" s="788"/>
      <c r="H48" s="789"/>
      <c r="I48" s="1881" t="s">
        <v>1525</v>
      </c>
      <c r="J48" s="1882" t="s">
        <v>3461</v>
      </c>
      <c r="K48" s="1883" t="s">
        <v>1526</v>
      </c>
      <c r="L48" s="1884">
        <f ca="1">INDIRECT("'数据-取费表'!f"&amp;$G$1)</f>
        <v>30.89</v>
      </c>
      <c r="O48" s="1878" t="s">
        <v>1038</v>
      </c>
      <c r="P48" s="1879" t="s">
        <v>1527</v>
      </c>
      <c r="Q48" s="1880" t="str">
        <f ca="1">J60</f>
        <v>0</v>
      </c>
      <c r="R48" s="1880" t="s">
        <v>1528</v>
      </c>
    </row>
    <row r="49" spans="1:18" s="1836" customFormat="1" ht="13.5" thickBot="1">
      <c r="A49" s="1190" t="s">
        <v>1133</v>
      </c>
      <c r="B49" s="1823" t="s">
        <v>1485</v>
      </c>
      <c r="C49" s="1358">
        <f ca="1">ROUND(F49*F51*F50*(1-F52)/10000,0)</f>
        <v>0</v>
      </c>
      <c r="D49" s="1270" t="s">
        <v>3023</v>
      </c>
      <c r="E49" s="1824" t="s">
        <v>1486</v>
      </c>
      <c r="F49" s="1275"/>
      <c r="G49" s="1885"/>
      <c r="H49" s="789"/>
      <c r="I49" s="1881" t="s">
        <v>1529</v>
      </c>
      <c r="J49" s="1886">
        <v>2013</v>
      </c>
      <c r="K49" s="1883" t="s">
        <v>1530</v>
      </c>
      <c r="L49" s="1887"/>
      <c r="O49" s="1888" t="s">
        <v>1039</v>
      </c>
      <c r="P49" s="1879" t="s">
        <v>1531</v>
      </c>
      <c r="Q49" s="1880">
        <f ca="1">C29</f>
        <v>1149</v>
      </c>
      <c r="R49" s="1880" t="s">
        <v>1524</v>
      </c>
    </row>
    <row r="50" spans="1:18" s="1836" customFormat="1" ht="13.5" thickBot="1">
      <c r="A50" s="1191"/>
      <c r="B50" s="1194"/>
      <c r="C50" s="1362"/>
      <c r="D50" s="1168"/>
      <c r="E50" s="1271" t="s">
        <v>1401</v>
      </c>
      <c r="F50" s="1272">
        <f ca="1">F7</f>
        <v>3497.5499999999993</v>
      </c>
      <c r="H50" s="789"/>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2"/>
      <c r="B51" s="1194"/>
      <c r="C51" s="1195"/>
      <c r="D51" s="1168"/>
      <c r="E51" s="1196" t="s">
        <v>1402</v>
      </c>
      <c r="F51" s="348">
        <f ca="1">F8</f>
        <v>365</v>
      </c>
      <c r="I51" s="1892" t="s">
        <v>1535</v>
      </c>
      <c r="J51" s="1893">
        <f>IF(J49="",J50,J49+J50-YEAR('数据-取费表'!B2))</f>
        <v>54</v>
      </c>
      <c r="K51" s="1894" t="s">
        <v>1536</v>
      </c>
      <c r="L51" s="1895">
        <f ca="1">ROUND(-PV(INDIRECT("'数据-取费表'!h"&amp;$G$1),L48,(C39-C13*C76),0),0)</f>
        <v>2773</v>
      </c>
      <c r="M51" s="1896"/>
      <c r="O51" s="1888" t="s">
        <v>1041</v>
      </c>
      <c r="P51" s="1879" t="s">
        <v>1537</v>
      </c>
      <c r="Q51" s="1891">
        <f>J52</f>
        <v>0</v>
      </c>
      <c r="R51" s="1880"/>
    </row>
    <row r="52" spans="1:18" s="1836" customFormat="1" ht="13.5" thickBot="1">
      <c r="A52" s="1192"/>
      <c r="B52" s="1194"/>
      <c r="C52" s="1195"/>
      <c r="D52" s="1168"/>
      <c r="E52" s="1196" t="s">
        <v>1403</v>
      </c>
      <c r="F52" s="1269"/>
      <c r="I52" s="1897" t="s">
        <v>1538</v>
      </c>
      <c r="J52" s="1898"/>
      <c r="K52" s="1897" t="s">
        <v>1539</v>
      </c>
      <c r="L52" s="1898"/>
      <c r="O52" s="1888" t="s">
        <v>1042</v>
      </c>
      <c r="P52" s="1879" t="s">
        <v>1540</v>
      </c>
      <c r="Q52" s="1880">
        <f ca="1">J53</f>
        <v>30.89</v>
      </c>
      <c r="R52" s="1880" t="s">
        <v>1541</v>
      </c>
    </row>
    <row r="53" spans="1:18" s="1836" customFormat="1" ht="24.75" thickBot="1">
      <c r="A53" s="1399" t="s">
        <v>1134</v>
      </c>
      <c r="B53" s="1825" t="s">
        <v>1404</v>
      </c>
      <c r="C53" s="361">
        <f ca="1">ROUND(IF(F53="押一",C49/12*F11,IF(F53="押二",C49/12*2*F11,IF(F53="押三",C49/12*3*F11,C54*F11))),0)</f>
        <v>0</v>
      </c>
      <c r="D53" s="1818" t="s">
        <v>3030</v>
      </c>
      <c r="E53" s="358" t="s">
        <v>1405</v>
      </c>
      <c r="F53" s="1360"/>
      <c r="I53" s="1899" t="s">
        <v>1542</v>
      </c>
      <c r="J53" s="2947">
        <f ca="1">IF(M47="住宅",IF(D1="——",MAX(J51,L48),MAX(J51,L48-'数据-取费表'!B24)),IF(D1="——",MIN(J51,L48),MIN(J51,L48-'数据-取费表'!B24)))</f>
        <v>30.89</v>
      </c>
      <c r="K53" s="3260" t="s">
        <v>1543</v>
      </c>
      <c r="L53" s="3261"/>
      <c r="O53" s="1878" t="s">
        <v>1043</v>
      </c>
      <c r="P53" s="1879" t="s">
        <v>1544</v>
      </c>
      <c r="Q53" s="1880">
        <f ca="1">Q47+Q48</f>
        <v>5568</v>
      </c>
      <c r="R53" s="1880" t="s">
        <v>1044</v>
      </c>
    </row>
    <row r="54" spans="1:18" s="1836" customFormat="1" ht="13.5" thickBot="1">
      <c r="A54" s="1400"/>
      <c r="B54" s="1819" t="s">
        <v>1383</v>
      </c>
      <c r="C54" s="1174"/>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27" t="s">
        <v>1072</v>
      </c>
      <c r="B55" s="1821" t="s">
        <v>1408</v>
      </c>
      <c r="C55" s="1328"/>
      <c r="D55" s="1818"/>
      <c r="E55" s="1826"/>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25.5" thickTop="1" thickBot="1">
      <c r="A56" s="1172">
        <v>2</v>
      </c>
      <c r="B56" s="1173" t="s">
        <v>1409</v>
      </c>
      <c r="C56" s="276">
        <f ca="1">C13</f>
        <v>1034</v>
      </c>
      <c r="D56" s="1907"/>
      <c r="E56" s="1908"/>
      <c r="F56" s="1900"/>
      <c r="I56" s="1909" t="s">
        <v>1549</v>
      </c>
      <c r="J56" s="1910" t="s">
        <v>3453</v>
      </c>
      <c r="K56" s="1881" t="s">
        <v>1550</v>
      </c>
      <c r="L56" s="1884" t="str">
        <f ca="1">IF(L48&lt;J51,"——",L48-J53)</f>
        <v>——</v>
      </c>
      <c r="O56" s="1878" t="s">
        <v>1037</v>
      </c>
      <c r="P56" s="1879" t="s">
        <v>1523</v>
      </c>
      <c r="Q56" s="1880">
        <f ca="1">C40+J29</f>
        <v>5568</v>
      </c>
      <c r="R56" s="1880" t="s">
        <v>1524</v>
      </c>
    </row>
    <row r="57" spans="1:18" s="1836" customFormat="1" ht="24.75" thickBot="1">
      <c r="A57" s="1911"/>
      <c r="B57" s="1165" t="s">
        <v>1473</v>
      </c>
      <c r="C57" s="282">
        <f ca="1">C29</f>
        <v>1149</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60" t="s">
        <v>1027</v>
      </c>
      <c r="B58" s="1173" t="s">
        <v>1419</v>
      </c>
      <c r="C58" s="361">
        <f ca="1">ROUND(C59+C64+C65+C66,0)</f>
        <v>115</v>
      </c>
      <c r="D58" s="1175" t="s">
        <v>1420</v>
      </c>
      <c r="E58" s="1176"/>
      <c r="F58" s="1177"/>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7" t="s">
        <v>1032</v>
      </c>
      <c r="B59" s="1165" t="s">
        <v>1424</v>
      </c>
      <c r="C59" s="24">
        <f ca="1">ROUND(IF(项目基本情况!B11="自然人",C48*F59,C60+C61+C62),1)</f>
        <v>96.5</v>
      </c>
      <c r="D59" s="1178" t="s">
        <v>1425</v>
      </c>
      <c r="E59" s="1179" t="s">
        <v>1426</v>
      </c>
      <c r="F59" s="368">
        <f ca="1">IF(项目基本情况!B11="企业","",IF(INDIRECT("'数据-取费表'!c"&amp;$G$1)="住宅",5%,IF(F49*F50*F51/12/(1+'数据-取费表'!C42)&gt;20000,12%,7%)))</f>
        <v>7.0000000000000007E-2</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7" t="s">
        <v>1031</v>
      </c>
      <c r="B60" s="1165" t="s">
        <v>1428</v>
      </c>
      <c r="C60" s="24">
        <f ca="1">IF(项目基本情况!B11="自然人","——",ROUND(C48*F60/(1+'数据-取费表'!C42),2))</f>
        <v>0</v>
      </c>
      <c r="D60" s="1179" t="s">
        <v>1429</v>
      </c>
      <c r="E60" s="1165" t="s">
        <v>1417</v>
      </c>
      <c r="F60" s="377">
        <f t="shared" ref="F60:F66" si="0">F32</f>
        <v>5.5000000000000007E-2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7" t="s">
        <v>1487</v>
      </c>
      <c r="B61" s="1165" t="s">
        <v>1488</v>
      </c>
      <c r="C61" s="24">
        <f ca="1">IF(项目基本情况!B11="自然人","——",IF(D61="按租金收入计税",ROUND(C48*F61,2),IF(D61="按房产原值计税",ROUND(C57*F61*0.7,2),INDIRECT("'数据-取费表'!Aj"&amp;$G$1))))</f>
        <v>96.52</v>
      </c>
      <c r="D61" s="1822" t="s">
        <v>1433</v>
      </c>
      <c r="E61" s="1165" t="s">
        <v>1489</v>
      </c>
      <c r="F61" s="367">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7" t="s">
        <v>1490</v>
      </c>
      <c r="B62" s="1164" t="s">
        <v>1491</v>
      </c>
      <c r="C62" s="25">
        <f ca="1">IF(项目基本情况!B11="自然人","——",ROUND(F62*F63/10000,2))</f>
        <v>0</v>
      </c>
      <c r="D62" s="1180" t="s">
        <v>1492</v>
      </c>
      <c r="E62" s="1165" t="s">
        <v>1493</v>
      </c>
      <c r="F62" s="371">
        <f t="shared" si="0"/>
        <v>4</v>
      </c>
      <c r="I62" s="1922" t="s">
        <v>1565</v>
      </c>
      <c r="J62" s="1923" t="s">
        <v>1566</v>
      </c>
      <c r="K62" s="1923" t="s">
        <v>1567</v>
      </c>
      <c r="L62" s="1923" t="s">
        <v>1568</v>
      </c>
      <c r="M62" s="1924" t="s">
        <v>1569</v>
      </c>
      <c r="O62" s="1878" t="s">
        <v>1043</v>
      </c>
      <c r="P62" s="1879" t="s">
        <v>1570</v>
      </c>
      <c r="Q62" s="1880">
        <f ca="1">Q56+Q57</f>
        <v>5568</v>
      </c>
      <c r="R62" s="1880" t="s">
        <v>1044</v>
      </c>
    </row>
    <row r="63" spans="1:18" s="1836" customFormat="1" ht="13.5" thickBot="1">
      <c r="A63" s="372"/>
      <c r="B63" s="1171"/>
      <c r="C63" s="29"/>
      <c r="D63" s="1181"/>
      <c r="E63" s="1165" t="s">
        <v>1494</v>
      </c>
      <c r="F63" s="348">
        <f t="shared" ca="1" si="0"/>
        <v>0</v>
      </c>
      <c r="I63" s="1922" t="s">
        <v>1571</v>
      </c>
      <c r="J63" s="1923">
        <v>70</v>
      </c>
      <c r="K63" s="1923">
        <v>50</v>
      </c>
      <c r="L63" s="1923">
        <v>80</v>
      </c>
      <c r="M63" s="1925">
        <v>0.02</v>
      </c>
      <c r="O63" s="1863" t="s">
        <v>1572</v>
      </c>
      <c r="P63" s="1833"/>
      <c r="Q63" s="1833"/>
      <c r="R63" s="1833"/>
    </row>
    <row r="64" spans="1:18" s="1836" customFormat="1" ht="13.5" thickBot="1">
      <c r="A64" s="1197" t="s">
        <v>1495</v>
      </c>
      <c r="B64" s="1165" t="s">
        <v>1496</v>
      </c>
      <c r="C64" s="24">
        <f ca="1">ROUND(C57*F64,1)</f>
        <v>17.2</v>
      </c>
      <c r="D64" s="1179" t="s">
        <v>1497</v>
      </c>
      <c r="E64" s="1165" t="s">
        <v>1489</v>
      </c>
      <c r="F64" s="374">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7" t="s">
        <v>1498</v>
      </c>
      <c r="B65" s="1165" t="s">
        <v>1448</v>
      </c>
      <c r="C65" s="24">
        <f ca="1">ROUND(C56*F65,1)</f>
        <v>1.6</v>
      </c>
      <c r="D65" s="1179" t="s">
        <v>1449</v>
      </c>
      <c r="E65" s="1165" t="s">
        <v>1450</v>
      </c>
      <c r="F65" s="376">
        <f t="shared" ca="1" si="0"/>
        <v>1.5E-3</v>
      </c>
      <c r="I65" s="1922" t="s">
        <v>1574</v>
      </c>
      <c r="J65" s="1923">
        <v>40</v>
      </c>
      <c r="K65" s="1923">
        <v>30</v>
      </c>
      <c r="L65" s="1923">
        <v>50</v>
      </c>
      <c r="M65" s="1925">
        <v>0.02</v>
      </c>
      <c r="O65" s="1878" t="s">
        <v>1037</v>
      </c>
      <c r="P65" s="1879" t="s">
        <v>1575</v>
      </c>
      <c r="Q65" s="1880">
        <f ca="1">C40+J29</f>
        <v>5568</v>
      </c>
      <c r="R65" s="1880" t="s">
        <v>1524</v>
      </c>
    </row>
    <row r="66" spans="1:18" s="1836" customFormat="1" ht="16.5" thickBot="1">
      <c r="A66" s="1197" t="s">
        <v>1499</v>
      </c>
      <c r="B66" s="1165" t="s">
        <v>1434</v>
      </c>
      <c r="C66" s="24">
        <f ca="1">ROUND(C48*F66,1)</f>
        <v>0</v>
      </c>
      <c r="D66" s="1179" t="s">
        <v>1500</v>
      </c>
      <c r="E66" s="1165" t="s">
        <v>1417</v>
      </c>
      <c r="F66" s="357">
        <f t="shared" ca="1" si="0"/>
        <v>0.01</v>
      </c>
      <c r="O66" s="1878" t="s">
        <v>1038</v>
      </c>
      <c r="P66" s="1879" t="s">
        <v>1553</v>
      </c>
      <c r="Q66" s="1880">
        <f ca="1">L60</f>
        <v>0</v>
      </c>
      <c r="R66" s="1880" t="s">
        <v>1576</v>
      </c>
    </row>
    <row r="67" spans="1:18" s="1836" customFormat="1" ht="16.5" thickBot="1">
      <c r="A67" s="1172" t="s">
        <v>1028</v>
      </c>
      <c r="B67" s="1182" t="s">
        <v>1458</v>
      </c>
      <c r="C67" s="361">
        <f ca="1">C48-C58</f>
        <v>-115</v>
      </c>
      <c r="D67" s="1178" t="s">
        <v>1459</v>
      </c>
      <c r="E67" s="1183"/>
      <c r="F67" s="1184"/>
      <c r="O67" s="1888" t="s">
        <v>1039</v>
      </c>
      <c r="P67" s="1879" t="s">
        <v>1557</v>
      </c>
      <c r="Q67" s="1926">
        <f ca="1">L51</f>
        <v>2773</v>
      </c>
      <c r="R67" s="1880" t="s">
        <v>1577</v>
      </c>
    </row>
    <row r="68" spans="1:18" s="1836" customFormat="1" ht="16.5" thickBot="1">
      <c r="A68" s="1162" t="s">
        <v>1029</v>
      </c>
      <c r="B68" s="1163" t="s">
        <v>1480</v>
      </c>
      <c r="C68" s="346">
        <f ca="1">ROUND(C67*(1-((1+F70)/(1+F68))^F69)/(F68-F70),0)</f>
        <v>-1691</v>
      </c>
      <c r="D68" s="1180" t="s">
        <v>1464</v>
      </c>
      <c r="E68" s="1165" t="s">
        <v>1465</v>
      </c>
      <c r="F68" s="357">
        <f ca="1">F40</f>
        <v>5.5E-2</v>
      </c>
      <c r="O68" s="1888" t="s">
        <v>1040</v>
      </c>
      <c r="P68" s="1927" t="s">
        <v>1578</v>
      </c>
      <c r="Q68" s="1880">
        <f ca="1">ROUND(Q69-Q70*Q71,0)</f>
        <v>178</v>
      </c>
      <c r="R68" s="1880" t="s">
        <v>1048</v>
      </c>
    </row>
    <row r="69" spans="1:18" s="1836" customFormat="1" ht="13.5" thickBot="1">
      <c r="A69" s="1166"/>
      <c r="B69" s="1167"/>
      <c r="C69" s="351"/>
      <c r="D69" s="1185" t="s">
        <v>1468</v>
      </c>
      <c r="E69" s="1165" t="s">
        <v>1469</v>
      </c>
      <c r="F69" s="379">
        <f ca="1">F41</f>
        <v>30.89</v>
      </c>
      <c r="O69" s="1888" t="s">
        <v>1045</v>
      </c>
      <c r="P69" s="1927" t="s">
        <v>1579</v>
      </c>
      <c r="Q69" s="1880">
        <f ca="1">C39</f>
        <v>266</v>
      </c>
      <c r="R69" s="1880" t="s">
        <v>1524</v>
      </c>
    </row>
    <row r="70" spans="1:18" s="1836" customFormat="1" ht="13.5" thickBot="1">
      <c r="A70" s="1169"/>
      <c r="B70" s="1170"/>
      <c r="C70" s="355"/>
      <c r="D70" s="1181"/>
      <c r="E70" s="1165" t="s">
        <v>1472</v>
      </c>
      <c r="F70" s="1269"/>
      <c r="O70" s="1888" t="s">
        <v>1046</v>
      </c>
      <c r="P70" s="1927" t="s">
        <v>1580</v>
      </c>
      <c r="Q70" s="1880">
        <f ca="1">C13</f>
        <v>1034</v>
      </c>
      <c r="R70" s="1880" t="s">
        <v>1524</v>
      </c>
    </row>
    <row r="71" spans="1:18" s="1836" customFormat="1" ht="13.5" thickBot="1">
      <c r="A71" s="1186" t="s">
        <v>1030</v>
      </c>
      <c r="B71" s="1187" t="s">
        <v>1482</v>
      </c>
      <c r="C71" s="382">
        <f ca="1">ROUND(C68*10000/F71,0)</f>
        <v>-4835</v>
      </c>
      <c r="D71" s="1188" t="s">
        <v>1483</v>
      </c>
      <c r="E71" s="1189" t="s">
        <v>1484</v>
      </c>
      <c r="F71" s="385">
        <f ca="1">F43</f>
        <v>3497.5499999999993</v>
      </c>
      <c r="O71" s="1888" t="s">
        <v>1047</v>
      </c>
      <c r="P71" s="1927" t="s">
        <v>1581</v>
      </c>
      <c r="Q71" s="1891">
        <f ca="1">C76</f>
        <v>8.5000000000000006E-2</v>
      </c>
      <c r="R71" s="1880"/>
    </row>
    <row r="72" spans="1:18" s="1836" customFormat="1" ht="13.5" thickBot="1">
      <c r="B72" s="792"/>
      <c r="C72" s="792"/>
      <c r="O72" s="1888" t="s">
        <v>1041</v>
      </c>
      <c r="P72" s="1879" t="s">
        <v>1559</v>
      </c>
      <c r="Q72" s="1891">
        <f>L52</f>
        <v>0</v>
      </c>
      <c r="R72" s="1880"/>
    </row>
    <row r="73" spans="1:18" ht="16.5" thickBot="1">
      <c r="A73" s="1836"/>
      <c r="B73" s="792"/>
      <c r="C73" s="792"/>
      <c r="D73" s="1836"/>
      <c r="E73" s="1836"/>
      <c r="F73" s="1836"/>
      <c r="O73" s="1888" t="s">
        <v>1042</v>
      </c>
      <c r="P73" s="1879" t="s">
        <v>1562</v>
      </c>
      <c r="Q73" s="1880" t="e">
        <f ca="1">L58</f>
        <v>#DIV/0!</v>
      </c>
      <c r="R73" s="1880" t="s">
        <v>1563</v>
      </c>
    </row>
    <row r="74" spans="1:18" ht="13.5" thickBot="1">
      <c r="A74" s="1836"/>
      <c r="B74" s="317"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6" t="s">
        <v>1501</v>
      </c>
      <c r="C75" s="387">
        <f ca="1">ROUND(C13*C76,0)</f>
        <v>88</v>
      </c>
      <c r="D75" s="1836"/>
      <c r="E75" s="1836"/>
      <c r="F75" s="1836"/>
      <c r="K75" s="1862"/>
      <c r="L75" s="1836"/>
      <c r="O75" s="1878" t="s">
        <v>1043</v>
      </c>
      <c r="P75" s="1879" t="s">
        <v>1544</v>
      </c>
      <c r="Q75" s="1880">
        <f ca="1">Q65+Q66</f>
        <v>5568</v>
      </c>
      <c r="R75" s="1880" t="s">
        <v>1044</v>
      </c>
    </row>
    <row r="76" spans="1:18">
      <c r="B76" s="388" t="s">
        <v>1502</v>
      </c>
      <c r="C76" s="389">
        <f ca="1">INDIRECT("'数据-取费表'!j"&amp;$G$1)</f>
        <v>8.5000000000000006E-2</v>
      </c>
      <c r="I76" s="1836"/>
      <c r="J76" s="1836"/>
      <c r="K76" s="1862"/>
      <c r="L76" s="1836"/>
    </row>
    <row r="77" spans="1:18">
      <c r="B77" s="390" t="s">
        <v>1503</v>
      </c>
      <c r="C77" s="391"/>
      <c r="I77" s="1836"/>
      <c r="J77" s="1836"/>
      <c r="K77" s="1862"/>
      <c r="L77" s="1836"/>
    </row>
    <row r="78" spans="1:18">
      <c r="B78" s="314" t="s">
        <v>1504</v>
      </c>
      <c r="C78" s="392"/>
    </row>
    <row r="79" spans="1:18">
      <c r="B79" s="386" t="s">
        <v>1505</v>
      </c>
      <c r="C79" s="318">
        <f ca="1">1-C80</f>
        <v>0.66900000000000004</v>
      </c>
    </row>
    <row r="80" spans="1:18">
      <c r="B80" s="386" t="s">
        <v>1506</v>
      </c>
      <c r="C80" s="318">
        <f ca="1">ROUND(C75/C39,3)</f>
        <v>0.33100000000000002</v>
      </c>
    </row>
    <row r="81" spans="2:3">
      <c r="B81" s="314" t="s">
        <v>1507</v>
      </c>
      <c r="C81" s="282"/>
    </row>
    <row r="82" spans="2:3">
      <c r="B82" s="317" t="s">
        <v>1508</v>
      </c>
      <c r="C82" s="319">
        <f ca="1">1-C83</f>
        <v>0.81400000000000006</v>
      </c>
    </row>
    <row r="83" spans="2:3">
      <c r="B83" s="317" t="s">
        <v>1509</v>
      </c>
      <c r="C83" s="318">
        <f ca="1">ROUND(C13/C40,3)</f>
        <v>0.186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9" sqref="T38:U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2997</v>
      </c>
      <c r="C1" s="3392" t="s">
        <v>2998</v>
      </c>
      <c r="D1" s="3393"/>
      <c r="E1" s="3393"/>
      <c r="F1" s="3393"/>
      <c r="G1" s="3393"/>
      <c r="H1" s="3393"/>
      <c r="I1" s="3393"/>
      <c r="J1" s="3393"/>
      <c r="K1" s="3393"/>
      <c r="L1" s="3393"/>
      <c r="M1" s="3393"/>
      <c r="N1" s="3393"/>
      <c r="O1" s="3393"/>
      <c r="P1" s="3393"/>
      <c r="Q1" s="3393"/>
      <c r="R1" s="3393"/>
      <c r="S1" s="3394"/>
      <c r="T1" s="1200" t="s">
        <v>2999</v>
      </c>
    </row>
    <row r="2" spans="1:45" s="706" customFormat="1" ht="38.25">
      <c r="A2" s="1201"/>
      <c r="B2" s="702" t="s">
        <v>3000</v>
      </c>
      <c r="C2" s="703" t="str">
        <f t="shared" ref="C2:L2" si="0">C3&amp;"(含)"&amp;"-"&amp;D3</f>
        <v>0(含)-50</v>
      </c>
      <c r="D2" s="704" t="str">
        <f t="shared" si="0"/>
        <v>50(含)-100</v>
      </c>
      <c r="E2" s="704" t="str">
        <f t="shared" si="0"/>
        <v>100(含)-500</v>
      </c>
      <c r="F2" s="704" t="str">
        <f t="shared" si="0"/>
        <v>500(含)-1000</v>
      </c>
      <c r="G2" s="704" t="str">
        <f t="shared" si="0"/>
        <v>1000(含)-2000</v>
      </c>
      <c r="H2" s="704" t="str">
        <f t="shared" si="0"/>
        <v>2000(含)-3000</v>
      </c>
      <c r="I2" s="704" t="str">
        <f t="shared" si="0"/>
        <v>3000(含)-4000</v>
      </c>
      <c r="J2" s="704" t="str">
        <f t="shared" si="0"/>
        <v>4000(含)-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c r="A3" s="1203"/>
      <c r="B3" s="707"/>
      <c r="C3" s="3060">
        <v>0</v>
      </c>
      <c r="D3" s="3060">
        <v>50</v>
      </c>
      <c r="E3" s="3060">
        <v>100</v>
      </c>
      <c r="F3" s="3060">
        <v>500</v>
      </c>
      <c r="G3" s="3060">
        <v>1000</v>
      </c>
      <c r="H3" s="3060">
        <v>2000</v>
      </c>
      <c r="I3" s="3060">
        <v>3000</v>
      </c>
      <c r="J3" s="3060">
        <v>4000</v>
      </c>
      <c r="K3" s="1698"/>
      <c r="L3" s="1699"/>
      <c r="M3" s="1700"/>
      <c r="N3" s="1700"/>
      <c r="O3" s="1698"/>
      <c r="P3" s="1698"/>
      <c r="Q3" s="1698"/>
      <c r="R3" s="1698"/>
      <c r="S3" s="1701"/>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3.5" thickBot="1">
      <c r="A4" s="1204"/>
      <c r="B4" s="1205"/>
      <c r="C4" s="3060">
        <v>100</v>
      </c>
      <c r="D4" s="3060">
        <v>98</v>
      </c>
      <c r="E4" s="3060">
        <v>96</v>
      </c>
      <c r="F4" s="3060">
        <v>94</v>
      </c>
      <c r="G4" s="3060">
        <v>92</v>
      </c>
      <c r="H4" s="3060">
        <v>90</v>
      </c>
      <c r="I4" s="3060">
        <v>88</v>
      </c>
      <c r="J4" s="3060">
        <v>86</v>
      </c>
      <c r="K4" s="1702"/>
      <c r="L4" s="1702"/>
      <c r="M4" s="1703"/>
      <c r="N4" s="1703"/>
      <c r="O4" s="1702"/>
      <c r="P4" s="1702"/>
      <c r="Q4" s="1702"/>
      <c r="R4" s="1702"/>
      <c r="S4" s="1704"/>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24">
      <c r="A5" s="1211"/>
      <c r="B5" s="3035" t="s">
        <v>3500</v>
      </c>
      <c r="C5" s="3063" t="s">
        <v>3456</v>
      </c>
      <c r="D5" s="3061" t="s">
        <v>3477</v>
      </c>
      <c r="E5" s="3061"/>
      <c r="F5" s="3062"/>
      <c r="G5" s="3062"/>
      <c r="H5" s="3062"/>
      <c r="I5" s="3062"/>
      <c r="J5" s="3062"/>
      <c r="K5" s="1705"/>
      <c r="L5" s="1706"/>
      <c r="M5" s="1707"/>
      <c r="N5" s="1707"/>
      <c r="O5" s="1705"/>
      <c r="P5" s="1705"/>
      <c r="Q5" s="1705"/>
      <c r="R5" s="1705"/>
      <c r="S5" s="1708"/>
      <c r="T5" s="1215">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95</v>
      </c>
      <c r="E6" s="1115">
        <f t="shared" ref="E6:S6" si="7">D6-$T5</f>
        <v>90</v>
      </c>
      <c r="F6" s="1709">
        <f t="shared" si="7"/>
        <v>85</v>
      </c>
      <c r="G6" s="1709">
        <f t="shared" si="7"/>
        <v>80</v>
      </c>
      <c r="H6" s="1709">
        <f t="shared" si="7"/>
        <v>75</v>
      </c>
      <c r="I6" s="1709">
        <f t="shared" si="7"/>
        <v>70</v>
      </c>
      <c r="J6" s="1709">
        <f t="shared" si="7"/>
        <v>65</v>
      </c>
      <c r="K6" s="1709">
        <f t="shared" si="7"/>
        <v>60</v>
      </c>
      <c r="L6" s="1709">
        <f t="shared" si="7"/>
        <v>55</v>
      </c>
      <c r="M6" s="1709">
        <f t="shared" si="7"/>
        <v>50</v>
      </c>
      <c r="N6" s="1709">
        <f t="shared" si="7"/>
        <v>45</v>
      </c>
      <c r="O6" s="1709">
        <f t="shared" si="7"/>
        <v>40</v>
      </c>
      <c r="P6" s="1709">
        <f t="shared" si="7"/>
        <v>35</v>
      </c>
      <c r="Q6" s="1709">
        <f t="shared" si="7"/>
        <v>30</v>
      </c>
      <c r="R6" s="1709">
        <f t="shared" si="7"/>
        <v>25</v>
      </c>
      <c r="S6" s="1709">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hidden="1">
      <c r="A7" s="1211"/>
      <c r="B7" s="1764" t="s">
        <v>3001</v>
      </c>
      <c r="C7" s="1117"/>
      <c r="D7" s="1111"/>
      <c r="E7" s="1111"/>
      <c r="F7" s="1710"/>
      <c r="G7" s="1710"/>
      <c r="H7" s="1710"/>
      <c r="I7" s="1710"/>
      <c r="J7" s="1710"/>
      <c r="K7" s="1710"/>
      <c r="L7" s="1710"/>
      <c r="M7" s="1711"/>
      <c r="N7" s="1712"/>
      <c r="O7" s="1713"/>
      <c r="P7" s="1714"/>
      <c r="Q7" s="1715"/>
      <c r="R7" s="1716"/>
      <c r="S7" s="1717"/>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hidden="1"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hidden="1">
      <c r="A9" s="1211"/>
      <c r="B9" s="1764" t="s">
        <v>3002</v>
      </c>
      <c r="C9" s="1117"/>
      <c r="D9" s="1111"/>
      <c r="E9" s="1111"/>
      <c r="F9" s="1710"/>
      <c r="G9" s="1710"/>
      <c r="H9" s="1710"/>
      <c r="I9" s="1710"/>
      <c r="J9" s="1710"/>
      <c r="K9" s="1710"/>
      <c r="L9" s="1718"/>
      <c r="M9" s="1711"/>
      <c r="N9" s="1712"/>
      <c r="O9" s="1713"/>
      <c r="P9" s="1714"/>
      <c r="Q9" s="1715"/>
      <c r="R9" s="1716"/>
      <c r="S9" s="1717"/>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hidden="1"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hidden="1">
      <c r="A11" s="1211"/>
      <c r="B11" s="1763" t="s">
        <v>3003</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hidden="1"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hidden="1">
      <c r="A13" s="1211"/>
      <c r="B13" s="1763" t="s">
        <v>3004</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hidden="1"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hidden="1">
      <c r="A15" s="1211"/>
      <c r="B15" s="1763" t="s">
        <v>3005</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hidden="1"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5" t="s">
        <v>3006</v>
      </c>
      <c r="B17" s="2906" t="s">
        <v>3007</v>
      </c>
      <c r="C17" s="3064" t="s">
        <v>3447</v>
      </c>
      <c r="D17" s="3065" t="s">
        <v>3449</v>
      </c>
      <c r="E17" s="3065" t="s">
        <v>3451</v>
      </c>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6" customFormat="1" ht="13.5" thickBot="1">
      <c r="A18" s="1236"/>
      <c r="B18" s="1237"/>
      <c r="C18" s="3066">
        <v>100</v>
      </c>
      <c r="D18" s="3067">
        <v>60</v>
      </c>
      <c r="E18" s="3067">
        <v>55</v>
      </c>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2"/>
      <c r="AS18" s="792"/>
    </row>
    <row r="19" spans="1:45">
      <c r="A19" s="138"/>
      <c r="B19" s="168"/>
      <c r="C19" s="168"/>
      <c r="D19" s="2907" t="s">
        <v>3008</v>
      </c>
      <c r="E19" s="1786"/>
      <c r="F19" s="1786"/>
      <c r="G19" s="1786"/>
      <c r="H19" s="1274"/>
      <c r="I19" s="168"/>
      <c r="J19" s="168"/>
      <c r="K19" s="168"/>
      <c r="L19" s="168"/>
      <c r="M19" s="168"/>
      <c r="N19" s="168"/>
      <c r="O19" s="168"/>
      <c r="P19" s="168"/>
      <c r="Q19" s="168"/>
      <c r="R19" s="784"/>
      <c r="S19" s="138"/>
    </row>
    <row r="20" spans="1:45" ht="16.5" thickBot="1">
      <c r="A20" s="712" t="s">
        <v>3009</v>
      </c>
      <c r="B20" s="338" t="e">
        <f ca="1">IF(D20="——",S22,S22-F20)</f>
        <v>#REF!</v>
      </c>
      <c r="C20" s="168"/>
      <c r="D20" s="2908" t="s">
        <v>3010</v>
      </c>
      <c r="E20" s="1787"/>
      <c r="F20" s="1200" t="e">
        <f ca="1">SUMIF(INDIRECT("'"&amp;H20&amp;"'"&amp;"!A:A"),"承租人权益价值",INDIRECT("'"&amp;H20&amp;"'"&amp;"!c:c"))</f>
        <v>#REF!</v>
      </c>
      <c r="G20" s="1200" t="s">
        <v>3011</v>
      </c>
      <c r="H20" s="2909"/>
      <c r="I20" s="168"/>
      <c r="J20" s="168"/>
      <c r="K20" s="168"/>
      <c r="L20" s="168"/>
      <c r="M20" s="168"/>
      <c r="N20" s="168"/>
      <c r="O20" s="168"/>
      <c r="P20" s="168"/>
      <c r="Q20" s="168"/>
      <c r="R20" s="784"/>
      <c r="S20" s="138"/>
    </row>
    <row r="21" spans="1:45" ht="15.75">
      <c r="A21" s="712" t="s">
        <v>3012</v>
      </c>
      <c r="B21" s="338">
        <f ca="1">R22</f>
        <v>22913</v>
      </c>
      <c r="C21" s="168"/>
      <c r="D21" s="168"/>
      <c r="E21" s="168"/>
      <c r="F21" s="168"/>
      <c r="G21" s="168"/>
      <c r="H21" s="168"/>
      <c r="I21" s="168"/>
      <c r="J21" s="168"/>
      <c r="K21" s="168"/>
      <c r="L21" s="168"/>
      <c r="M21" s="168"/>
      <c r="N21" s="168"/>
      <c r="O21" s="168"/>
      <c r="P21" s="168"/>
      <c r="Q21" s="168"/>
      <c r="R21" s="784"/>
      <c r="S21" s="138"/>
    </row>
    <row r="22" spans="1:45">
      <c r="A22" s="361" t="s">
        <v>3013</v>
      </c>
      <c r="B22" s="24">
        <f>SUM(B24:B10000)</f>
        <v>11377.89</v>
      </c>
      <c r="C22" s="3249" t="s">
        <v>33</v>
      </c>
      <c r="D22" s="3250"/>
      <c r="E22" s="3250"/>
      <c r="F22" s="3250"/>
      <c r="G22" s="3250"/>
      <c r="H22" s="3250"/>
      <c r="I22" s="3250"/>
      <c r="J22" s="3250"/>
      <c r="K22" s="3250"/>
      <c r="L22" s="3250"/>
      <c r="M22" s="3250"/>
      <c r="N22" s="3250"/>
      <c r="O22" s="3250"/>
      <c r="P22" s="3250"/>
      <c r="Q22" s="3391"/>
      <c r="R22" s="713">
        <f ca="1">ROUND(S22*10000/B22,0)</f>
        <v>22913</v>
      </c>
      <c r="S22" s="24">
        <f ca="1">SUM(S24:S10000)</f>
        <v>26070</v>
      </c>
    </row>
    <row r="23" spans="1:45" s="12" customFormat="1" ht="24">
      <c r="A23" s="11" t="s">
        <v>3014</v>
      </c>
      <c r="B23" s="11" t="s">
        <v>3015</v>
      </c>
      <c r="C23" s="11" t="s">
        <v>3016</v>
      </c>
      <c r="D23" s="11" t="str">
        <f>B5</f>
        <v>商业类型</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4" t="s">
        <v>3017</v>
      </c>
      <c r="S23" s="11" t="s">
        <v>3018</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3059" t="str">
        <f>'数据-基础表'!C13</f>
        <v>1层</v>
      </c>
      <c r="B24" s="3059">
        <f>'数据-基础表'!I13</f>
        <v>3497.5499999999993</v>
      </c>
      <c r="C24" s="715">
        <v>1</v>
      </c>
      <c r="D24" s="716" t="s">
        <v>3456</v>
      </c>
      <c r="E24" s="715">
        <v>1</v>
      </c>
      <c r="F24" s="716"/>
      <c r="G24" s="715">
        <v>1</v>
      </c>
      <c r="H24" s="716"/>
      <c r="I24" s="715">
        <v>1</v>
      </c>
      <c r="J24" s="716"/>
      <c r="K24" s="715">
        <v>1</v>
      </c>
      <c r="L24" s="716"/>
      <c r="M24" s="715">
        <v>1</v>
      </c>
      <c r="N24" s="716"/>
      <c r="O24" s="715">
        <v>1</v>
      </c>
      <c r="P24" s="716" t="s">
        <v>3438</v>
      </c>
      <c r="Q24" s="715">
        <v>1</v>
      </c>
      <c r="R24" s="717">
        <f ca="1">结果表!G20</f>
        <v>32481</v>
      </c>
      <c r="S24" s="715">
        <f t="shared" ref="S24:S54" ca="1" si="11">ROUND(R24*B24/10000,0)</f>
        <v>11360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96" t="str">
        <f>'数据-基础表'!C14</f>
        <v>2层</v>
      </c>
      <c r="B25" s="2996">
        <f>'数据-基础表'!I14</f>
        <v>3891.99</v>
      </c>
      <c r="C25" s="24">
        <f>IF(B25="",1,(LOOKUP(B25,$3:$3,$4:$4)-LOOKUP($B$24,$3:$3,$4:$4)+100)/100)</f>
        <v>1</v>
      </c>
      <c r="D25" s="716" t="s">
        <v>3456</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3440</v>
      </c>
      <c r="Q25" s="24">
        <f>(SUMIF($17:$17,P25,$18:$18)-SUMIF($17:$17,$P$24,$18:$18)+100)/100</f>
        <v>0.6</v>
      </c>
      <c r="R25" s="713">
        <f ca="1">IF(B25="",0,ROUND($R$24*C25*E25*G25*I25*K25*M25*O25*Q25,0))</f>
        <v>19489</v>
      </c>
      <c r="S25" s="361">
        <f t="shared" ca="1" si="11"/>
        <v>7585</v>
      </c>
    </row>
    <row r="26" spans="1:45">
      <c r="A26" s="2996" t="str">
        <f>'数据-基础表'!C15</f>
        <v>3层</v>
      </c>
      <c r="B26" s="2996">
        <f>'数据-基础表'!I15</f>
        <v>3988.35</v>
      </c>
      <c r="C26" s="24">
        <f t="shared" ref="C26:C89" si="12">IF(B26="",1,(LOOKUP(B26,$3:$3,$4:$4)-LOOKUP($B$24,$3:$3,$4:$4)+100)/100)</f>
        <v>1</v>
      </c>
      <c r="D26" s="716" t="s">
        <v>3456</v>
      </c>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3442</v>
      </c>
      <c r="Q26" s="24">
        <f t="shared" ref="Q26:Q89" si="19">(SUMIF($17:$17,P26,$18:$18)-SUMIF($17:$17,$P$24,$18:$18)+100)/100</f>
        <v>0.55000000000000004</v>
      </c>
      <c r="R26" s="713">
        <f t="shared" ref="R26:R89" ca="1" si="20">IF(B26="",0,ROUND($R$24*C26*E26*G26*I26*K26*M26*O26*Q26,0))</f>
        <v>17865</v>
      </c>
      <c r="S26" s="361">
        <f t="shared" ca="1" si="11"/>
        <v>7125</v>
      </c>
    </row>
    <row r="27" spans="1:45">
      <c r="A27" s="159"/>
      <c r="B27" s="59"/>
      <c r="C27" s="24">
        <f t="shared" si="12"/>
        <v>1</v>
      </c>
      <c r="D27" s="716"/>
      <c r="E27" s="24">
        <f t="shared" si="13"/>
        <v>0</v>
      </c>
      <c r="F27" s="716"/>
      <c r="G27" s="24">
        <f t="shared" si="14"/>
        <v>1</v>
      </c>
      <c r="H27" s="716"/>
      <c r="I27" s="24">
        <f t="shared" si="15"/>
        <v>1</v>
      </c>
      <c r="J27" s="716"/>
      <c r="K27" s="24">
        <f t="shared" si="16"/>
        <v>1</v>
      </c>
      <c r="L27" s="716"/>
      <c r="M27" s="24">
        <f t="shared" si="17"/>
        <v>1</v>
      </c>
      <c r="N27" s="716"/>
      <c r="O27" s="24">
        <f t="shared" si="18"/>
        <v>1</v>
      </c>
      <c r="P27" s="716"/>
      <c r="Q27" s="24">
        <f t="shared" si="19"/>
        <v>0</v>
      </c>
      <c r="R27" s="713">
        <f t="shared" si="20"/>
        <v>0</v>
      </c>
      <c r="S27" s="361">
        <f t="shared" si="11"/>
        <v>0</v>
      </c>
    </row>
    <row r="28" spans="1:45">
      <c r="A28" s="159"/>
      <c r="B28" s="59"/>
      <c r="C28" s="24">
        <f t="shared" si="12"/>
        <v>1</v>
      </c>
      <c r="D28" s="716"/>
      <c r="E28" s="24">
        <f t="shared" si="13"/>
        <v>0</v>
      </c>
      <c r="F28" s="716"/>
      <c r="G28" s="24">
        <f t="shared" si="14"/>
        <v>1</v>
      </c>
      <c r="H28" s="716"/>
      <c r="I28" s="24">
        <f t="shared" si="15"/>
        <v>1</v>
      </c>
      <c r="J28" s="716"/>
      <c r="K28" s="24">
        <f t="shared" si="16"/>
        <v>1</v>
      </c>
      <c r="L28" s="716"/>
      <c r="M28" s="24">
        <f t="shared" si="17"/>
        <v>1</v>
      </c>
      <c r="N28" s="716"/>
      <c r="O28" s="24">
        <f t="shared" si="18"/>
        <v>1</v>
      </c>
      <c r="P28" s="716"/>
      <c r="Q28" s="24">
        <f t="shared" si="19"/>
        <v>0</v>
      </c>
      <c r="R28" s="713">
        <f t="shared" si="20"/>
        <v>0</v>
      </c>
      <c r="S28" s="361">
        <f t="shared" si="11"/>
        <v>0</v>
      </c>
    </row>
    <row r="29" spans="1:45">
      <c r="A29" s="159"/>
      <c r="B29" s="59"/>
      <c r="C29" s="24">
        <f t="shared" si="12"/>
        <v>1</v>
      </c>
      <c r="D29" s="716"/>
      <c r="E29" s="24">
        <f t="shared" si="13"/>
        <v>0</v>
      </c>
      <c r="F29" s="716"/>
      <c r="G29" s="24">
        <f t="shared" si="14"/>
        <v>1</v>
      </c>
      <c r="H29" s="716"/>
      <c r="I29" s="24">
        <f t="shared" si="15"/>
        <v>1</v>
      </c>
      <c r="J29" s="716"/>
      <c r="K29" s="24">
        <f t="shared" si="16"/>
        <v>1</v>
      </c>
      <c r="L29" s="716"/>
      <c r="M29" s="24">
        <f t="shared" si="17"/>
        <v>1</v>
      </c>
      <c r="N29" s="716"/>
      <c r="O29" s="24">
        <f t="shared" si="18"/>
        <v>1</v>
      </c>
      <c r="P29" s="716"/>
      <c r="Q29" s="24">
        <f t="shared" si="19"/>
        <v>0</v>
      </c>
      <c r="R29" s="713">
        <f t="shared" si="20"/>
        <v>0</v>
      </c>
      <c r="S29" s="361">
        <f t="shared" si="11"/>
        <v>0</v>
      </c>
    </row>
    <row r="30" spans="1:45">
      <c r="A30" s="159"/>
      <c r="B30" s="59"/>
      <c r="C30" s="24">
        <f t="shared" si="12"/>
        <v>1</v>
      </c>
      <c r="D30" s="716"/>
      <c r="E30" s="24">
        <f t="shared" si="13"/>
        <v>0</v>
      </c>
      <c r="F30" s="716"/>
      <c r="G30" s="24">
        <f t="shared" si="14"/>
        <v>1</v>
      </c>
      <c r="H30" s="716"/>
      <c r="I30" s="24">
        <f t="shared" si="15"/>
        <v>1</v>
      </c>
      <c r="J30" s="716"/>
      <c r="K30" s="24">
        <f t="shared" si="16"/>
        <v>1</v>
      </c>
      <c r="L30" s="716"/>
      <c r="M30" s="24">
        <f t="shared" si="17"/>
        <v>1</v>
      </c>
      <c r="N30" s="716"/>
      <c r="O30" s="24">
        <f t="shared" si="18"/>
        <v>1</v>
      </c>
      <c r="P30" s="716"/>
      <c r="Q30" s="24">
        <f t="shared" si="19"/>
        <v>0</v>
      </c>
      <c r="R30" s="713">
        <f t="shared" si="20"/>
        <v>0</v>
      </c>
      <c r="S30" s="361">
        <f t="shared" si="11"/>
        <v>0</v>
      </c>
    </row>
    <row r="31" spans="1:45">
      <c r="A31" s="159"/>
      <c r="B31" s="59"/>
      <c r="C31" s="24">
        <f t="shared" si="12"/>
        <v>1</v>
      </c>
      <c r="D31" s="716"/>
      <c r="E31" s="24">
        <f t="shared" si="13"/>
        <v>0</v>
      </c>
      <c r="F31" s="716"/>
      <c r="G31" s="24">
        <f t="shared" si="14"/>
        <v>1</v>
      </c>
      <c r="H31" s="716"/>
      <c r="I31" s="24">
        <f t="shared" si="15"/>
        <v>1</v>
      </c>
      <c r="J31" s="716"/>
      <c r="K31" s="24">
        <f t="shared" si="16"/>
        <v>1</v>
      </c>
      <c r="L31" s="716"/>
      <c r="M31" s="24">
        <f t="shared" si="17"/>
        <v>1</v>
      </c>
      <c r="N31" s="716"/>
      <c r="O31" s="24">
        <f t="shared" si="18"/>
        <v>1</v>
      </c>
      <c r="P31" s="716"/>
      <c r="Q31" s="24">
        <f t="shared" si="19"/>
        <v>0</v>
      </c>
      <c r="R31" s="713">
        <f t="shared" si="20"/>
        <v>0</v>
      </c>
      <c r="S31" s="361">
        <f t="shared" si="11"/>
        <v>0</v>
      </c>
    </row>
    <row r="32" spans="1:45">
      <c r="A32" s="159"/>
      <c r="B32" s="59"/>
      <c r="C32" s="24">
        <f t="shared" si="12"/>
        <v>1</v>
      </c>
      <c r="D32" s="716"/>
      <c r="E32" s="24">
        <f t="shared" si="13"/>
        <v>0</v>
      </c>
      <c r="F32" s="716"/>
      <c r="G32" s="24">
        <f t="shared" si="14"/>
        <v>1</v>
      </c>
      <c r="H32" s="716"/>
      <c r="I32" s="24">
        <f t="shared" si="15"/>
        <v>1</v>
      </c>
      <c r="J32" s="716"/>
      <c r="K32" s="24">
        <f t="shared" si="16"/>
        <v>1</v>
      </c>
      <c r="L32" s="716"/>
      <c r="M32" s="24">
        <f t="shared" si="17"/>
        <v>1</v>
      </c>
      <c r="N32" s="716"/>
      <c r="O32" s="24">
        <f t="shared" si="18"/>
        <v>1</v>
      </c>
      <c r="P32" s="716"/>
      <c r="Q32" s="24">
        <f t="shared" si="19"/>
        <v>0</v>
      </c>
      <c r="R32" s="713">
        <f t="shared" si="20"/>
        <v>0</v>
      </c>
      <c r="S32" s="361">
        <f t="shared" si="11"/>
        <v>0</v>
      </c>
    </row>
    <row r="33" spans="1:19">
      <c r="A33" s="159"/>
      <c r="B33" s="59"/>
      <c r="C33" s="24">
        <f t="shared" si="12"/>
        <v>1</v>
      </c>
      <c r="D33" s="716"/>
      <c r="E33" s="24">
        <f t="shared" si="13"/>
        <v>0</v>
      </c>
      <c r="F33" s="716"/>
      <c r="G33" s="24">
        <f t="shared" si="14"/>
        <v>1</v>
      </c>
      <c r="H33" s="716"/>
      <c r="I33" s="24">
        <f t="shared" si="15"/>
        <v>1</v>
      </c>
      <c r="J33" s="716"/>
      <c r="K33" s="24">
        <f t="shared" si="16"/>
        <v>1</v>
      </c>
      <c r="L33" s="716"/>
      <c r="M33" s="24">
        <f t="shared" si="17"/>
        <v>1</v>
      </c>
      <c r="N33" s="716"/>
      <c r="O33" s="24">
        <f t="shared" si="18"/>
        <v>1</v>
      </c>
      <c r="P33" s="716"/>
      <c r="Q33" s="24">
        <f t="shared" si="19"/>
        <v>0</v>
      </c>
      <c r="R33" s="713">
        <f t="shared" si="20"/>
        <v>0</v>
      </c>
      <c r="S33" s="361">
        <f t="shared" si="11"/>
        <v>0</v>
      </c>
    </row>
    <row r="34" spans="1:19">
      <c r="A34" s="159"/>
      <c r="B34" s="59"/>
      <c r="C34" s="24">
        <f t="shared" si="12"/>
        <v>1</v>
      </c>
      <c r="D34" s="716"/>
      <c r="E34" s="24">
        <f t="shared" si="13"/>
        <v>0</v>
      </c>
      <c r="F34" s="716"/>
      <c r="G34" s="24">
        <f t="shared" si="14"/>
        <v>1</v>
      </c>
      <c r="H34" s="716"/>
      <c r="I34" s="24">
        <f t="shared" si="15"/>
        <v>1</v>
      </c>
      <c r="J34" s="716"/>
      <c r="K34" s="24">
        <f t="shared" si="16"/>
        <v>1</v>
      </c>
      <c r="L34" s="716"/>
      <c r="M34" s="24">
        <f t="shared" si="17"/>
        <v>1</v>
      </c>
      <c r="N34" s="716"/>
      <c r="O34" s="24">
        <f t="shared" si="18"/>
        <v>1</v>
      </c>
      <c r="P34" s="716"/>
      <c r="Q34" s="24">
        <f t="shared" si="19"/>
        <v>0</v>
      </c>
      <c r="R34" s="713">
        <f t="shared" si="20"/>
        <v>0</v>
      </c>
      <c r="S34" s="361">
        <f t="shared" si="11"/>
        <v>0</v>
      </c>
    </row>
    <row r="35" spans="1:19">
      <c r="A35" s="159"/>
      <c r="B35" s="59"/>
      <c r="C35" s="24">
        <f t="shared" si="12"/>
        <v>1</v>
      </c>
      <c r="D35" s="716"/>
      <c r="E35" s="24">
        <f t="shared" si="13"/>
        <v>0</v>
      </c>
      <c r="F35" s="716"/>
      <c r="G35" s="24">
        <f t="shared" si="14"/>
        <v>1</v>
      </c>
      <c r="H35" s="716"/>
      <c r="I35" s="24">
        <f t="shared" si="15"/>
        <v>1</v>
      </c>
      <c r="J35" s="716"/>
      <c r="K35" s="24">
        <f t="shared" si="16"/>
        <v>1</v>
      </c>
      <c r="L35" s="716"/>
      <c r="M35" s="24">
        <f t="shared" si="17"/>
        <v>1</v>
      </c>
      <c r="N35" s="716"/>
      <c r="O35" s="24">
        <f t="shared" si="18"/>
        <v>1</v>
      </c>
      <c r="P35" s="716"/>
      <c r="Q35" s="24">
        <f t="shared" si="19"/>
        <v>0</v>
      </c>
      <c r="R35" s="713">
        <f t="shared" si="20"/>
        <v>0</v>
      </c>
      <c r="S35" s="361">
        <f t="shared" si="11"/>
        <v>0</v>
      </c>
    </row>
    <row r="36" spans="1:19">
      <c r="A36" s="159"/>
      <c r="B36" s="59"/>
      <c r="C36" s="24">
        <f t="shared" si="12"/>
        <v>1</v>
      </c>
      <c r="D36" s="716"/>
      <c r="E36" s="24">
        <f t="shared" si="13"/>
        <v>0</v>
      </c>
      <c r="F36" s="716"/>
      <c r="G36" s="24">
        <f t="shared" si="14"/>
        <v>1</v>
      </c>
      <c r="H36" s="716"/>
      <c r="I36" s="24">
        <f t="shared" si="15"/>
        <v>1</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v>
      </c>
      <c r="F37" s="716"/>
      <c r="G37" s="24">
        <f t="shared" si="14"/>
        <v>1</v>
      </c>
      <c r="H37" s="716"/>
      <c r="I37" s="24">
        <f t="shared" si="15"/>
        <v>1</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v>
      </c>
      <c r="F38" s="716"/>
      <c r="G38" s="24">
        <f t="shared" si="14"/>
        <v>1</v>
      </c>
      <c r="H38" s="716"/>
      <c r="I38" s="24">
        <f t="shared" si="15"/>
        <v>1</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v>
      </c>
      <c r="F39" s="716"/>
      <c r="G39" s="24">
        <f t="shared" si="14"/>
        <v>1</v>
      </c>
      <c r="H39" s="716"/>
      <c r="I39" s="24">
        <f t="shared" si="15"/>
        <v>1</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954"/>
      <c r="B4" s="3072" t="s">
        <v>1625</v>
      </c>
      <c r="C4" s="3072"/>
      <c r="D4" s="3072"/>
      <c r="E4" s="1954"/>
    </row>
    <row r="5" spans="1:5" ht="16.5" thickTop="1">
      <c r="A5" s="1952"/>
      <c r="B5" s="3070" t="s">
        <v>1617</v>
      </c>
      <c r="C5" s="1955" t="s">
        <v>1618</v>
      </c>
      <c r="D5" s="1036">
        <f ca="1">结果表!H101</f>
        <v>11361</v>
      </c>
      <c r="E5" s="1952"/>
    </row>
    <row r="6" spans="1:5" ht="15.75">
      <c r="A6" s="1952"/>
      <c r="B6" s="3070"/>
      <c r="C6" s="1955" t="s">
        <v>1619</v>
      </c>
      <c r="D6" s="1036" t="str">
        <f ca="1">NUMBERSTRING(INT(D5*10000),2)&amp;"元整"</f>
        <v>壹亿壹仟叁佰陆拾壹万元整</v>
      </c>
      <c r="E6" s="1952"/>
    </row>
    <row r="7" spans="1:5" ht="15.75">
      <c r="A7" s="1952"/>
      <c r="B7" s="3075"/>
      <c r="C7" s="1956" t="s">
        <v>1620</v>
      </c>
      <c r="D7" s="1037">
        <f ca="1">结果表!H102</f>
        <v>32483</v>
      </c>
      <c r="E7" s="1952"/>
    </row>
    <row r="8" spans="1:5" ht="15.75">
      <c r="A8" s="1952"/>
      <c r="B8" s="3076" t="str">
        <f>结果表!E103</f>
        <v>2.估价师知悉的法定优先受偿款</v>
      </c>
      <c r="C8" s="1957" t="s">
        <v>1621</v>
      </c>
      <c r="D8" s="1037">
        <f>结果表!H103</f>
        <v>0</v>
      </c>
      <c r="E8" s="1952"/>
    </row>
    <row r="9" spans="1:5" ht="15.75">
      <c r="A9" s="1952"/>
      <c r="B9" s="3078"/>
      <c r="C9" s="1955" t="s">
        <v>1619</v>
      </c>
      <c r="D9" s="1036" t="str">
        <f>NUMBERSTRING(INT(D8*10000),2)&amp;"元整"</f>
        <v>零元整</v>
      </c>
      <c r="E9" s="1952"/>
    </row>
    <row r="10" spans="1:5" ht="15">
      <c r="A10" s="1952"/>
      <c r="B10" s="1958" t="s">
        <v>1624</v>
      </c>
      <c r="C10" s="1959" t="s">
        <v>1622</v>
      </c>
      <c r="D10" s="1038">
        <f>结果表!H104</f>
        <v>0</v>
      </c>
      <c r="E10" s="1952"/>
    </row>
    <row r="11" spans="1:5" ht="15">
      <c r="A11" s="1952"/>
      <c r="B11" s="1958" t="s">
        <v>1626</v>
      </c>
      <c r="C11" s="1959" t="s">
        <v>1627</v>
      </c>
      <c r="D11" s="1038">
        <f>结果表!H105</f>
        <v>0</v>
      </c>
      <c r="E11" s="1952"/>
    </row>
    <row r="12" spans="1:5" ht="15">
      <c r="A12" s="1952"/>
      <c r="B12" s="1958" t="s">
        <v>1628</v>
      </c>
      <c r="C12" s="1959" t="s">
        <v>1627</v>
      </c>
      <c r="D12" s="1038">
        <f>结果表!H106</f>
        <v>0</v>
      </c>
      <c r="E12" s="1952"/>
    </row>
    <row r="13" spans="1:5" ht="15.75">
      <c r="A13" s="1952"/>
      <c r="B13" s="3069" t="str">
        <f>结果表!E107</f>
        <v>3.房地产抵押价值</v>
      </c>
      <c r="C13" s="1960" t="s">
        <v>1618</v>
      </c>
      <c r="D13" s="1039">
        <f ca="1">结果表!H107</f>
        <v>11361</v>
      </c>
      <c r="E13" s="1952"/>
    </row>
    <row r="14" spans="1:5" ht="15.75">
      <c r="A14" s="1952"/>
      <c r="B14" s="3070"/>
      <c r="C14" s="1955" t="s">
        <v>1619</v>
      </c>
      <c r="D14" s="1036" t="str">
        <f ca="1">NUMBERSTRING(INT(D13*10000),2)&amp;"元整"</f>
        <v>壹亿壹仟叁佰陆拾壹万元整</v>
      </c>
      <c r="E14" s="1952"/>
    </row>
    <row r="15" spans="1:5" ht="15">
      <c r="A15" s="1952"/>
      <c r="B15" s="3075"/>
      <c r="C15" s="1956" t="s">
        <v>1629</v>
      </c>
      <c r="D15" s="1048">
        <f ca="1">结果表!H108</f>
        <v>32483</v>
      </c>
      <c r="E15" s="1952"/>
    </row>
    <row r="16" spans="1:5" ht="15">
      <c r="A16" s="1952"/>
      <c r="B16" s="3076" t="str">
        <f>结果表!E109</f>
        <v>——</v>
      </c>
      <c r="C16" s="1960" t="s">
        <v>1630</v>
      </c>
      <c r="D16" s="1961" t="str">
        <f>结果表!H109</f>
        <v>——</v>
      </c>
      <c r="E16" s="1952"/>
    </row>
    <row r="17" spans="1:5" ht="15.75">
      <c r="A17" s="1952"/>
      <c r="B17" s="3077"/>
      <c r="C17" s="1955" t="s">
        <v>1631</v>
      </c>
      <c r="D17" s="1036" t="e">
        <f>NUMBERSTRING(INT(D16*10000),2)&amp;"元整"</f>
        <v>#VALUE!</v>
      </c>
      <c r="E17" s="1952"/>
    </row>
    <row r="18" spans="1:5" ht="15">
      <c r="A18" s="1952"/>
      <c r="B18" s="3078"/>
      <c r="C18" s="1956" t="s">
        <v>1620</v>
      </c>
      <c r="D18" s="1048" t="str">
        <f>结果表!H110</f>
        <v>——</v>
      </c>
      <c r="E18" s="1952"/>
    </row>
    <row r="19" spans="1:5" ht="15.75">
      <c r="A19" s="1952"/>
      <c r="B19" s="3069" t="str">
        <f>结果表!E111</f>
        <v>——</v>
      </c>
      <c r="C19" s="1960" t="s">
        <v>1618</v>
      </c>
      <c r="D19" s="1037" t="str">
        <f>结果表!H111</f>
        <v>——</v>
      </c>
      <c r="E19" s="1952"/>
    </row>
    <row r="20" spans="1:5" ht="15.75">
      <c r="A20" s="1952"/>
      <c r="B20" s="3070"/>
      <c r="C20" s="1955" t="s">
        <v>1631</v>
      </c>
      <c r="D20" s="1036" t="e">
        <f>NUMBERSTRING(INT(D19*10000),2)&amp;"元整"</f>
        <v>#VALUE!</v>
      </c>
      <c r="E20" s="1952"/>
    </row>
    <row r="21" spans="1:5" ht="15.75" thickBot="1">
      <c r="A21" s="1952"/>
      <c r="B21" s="3071"/>
      <c r="C21" s="1962" t="s">
        <v>1629</v>
      </c>
      <c r="D21" s="1049"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28265</v>
      </c>
      <c r="C2" s="2" t="s">
        <v>133</v>
      </c>
      <c r="D2" s="243"/>
      <c r="E2" s="243"/>
      <c r="F2" s="243"/>
      <c r="G2" s="243"/>
    </row>
    <row r="3" spans="1:7" s="244" customFormat="1" ht="18" customHeight="1" thickBot="1">
      <c r="A3" s="247" t="s">
        <v>85</v>
      </c>
      <c r="B3" s="248">
        <f ca="1">ROUND(B2*10000/'数据-汇总表'!E3,0)</f>
        <v>80814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75</v>
      </c>
      <c r="F9" s="265"/>
      <c r="G9" s="270"/>
    </row>
    <row r="10" spans="1:7" s="258" customFormat="1" ht="13.5" customHeight="1">
      <c r="A10" s="946" t="s">
        <v>801</v>
      </c>
      <c r="B10" s="268" t="s">
        <v>94</v>
      </c>
      <c r="C10" s="269">
        <f>ROUND(D10*E10/10000,0)</f>
        <v>26</v>
      </c>
      <c r="D10" s="1028">
        <f>'数据-汇总表'!E6</f>
        <v>3497.5499999999993</v>
      </c>
      <c r="E10" s="269">
        <f>'数据-取费表'!B28</f>
        <v>75</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70</v>
      </c>
      <c r="D19" s="1032">
        <f>'数据-汇总表'!E3</f>
        <v>3497.5499999999993</v>
      </c>
      <c r="E19" s="255">
        <f>'数据-取费表'!B31</f>
        <v>200</v>
      </c>
      <c r="F19" s="275"/>
      <c r="G19" s="1" t="s">
        <v>1071</v>
      </c>
    </row>
    <row r="20" spans="1:7" s="258" customFormat="1" ht="13.5" customHeight="1">
      <c r="A20" s="944" t="s">
        <v>1054</v>
      </c>
      <c r="B20" s="254" t="s">
        <v>104</v>
      </c>
      <c r="C20" s="276">
        <f>ROUND((C5+C19)*F20,0)</f>
        <v>414</v>
      </c>
      <c r="D20" s="276"/>
      <c r="E20" s="276"/>
      <c r="F20" s="277">
        <f>'数据-取费表'!B37</f>
        <v>0.02</v>
      </c>
      <c r="G20" s="1283"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48">
        <f ca="1">ROUND(SUM(C23:C25),0)</f>
        <v>909</v>
      </c>
      <c r="D22" s="279">
        <f ca="1">C26</f>
        <v>4.0000000000000002E-4</v>
      </c>
      <c r="E22" s="280" t="s">
        <v>126</v>
      </c>
      <c r="F22" s="281">
        <f ca="1">'数据-取费表'!B40</f>
        <v>4.3499999999999997E-2</v>
      </c>
      <c r="G22" s="1283" t="str">
        <f>IF('数据-取费表'!B22&lt;=1,"单利计息","复利计息")</f>
        <v>单利计息</v>
      </c>
    </row>
    <row r="23" spans="1:7" s="258" customFormat="1" ht="13.5" customHeight="1">
      <c r="A23" s="947" t="s">
        <v>794</v>
      </c>
      <c r="B23" s="259" t="s">
        <v>1058</v>
      </c>
      <c r="C23" s="1349">
        <f ca="1">ROUND(IF('数据-取费表'!B22&lt;=1,C5*F22*'数据-取费表'!B23,C5*(POWER((1+F22),'数据-取费表'!B23)-1)),0)</f>
        <v>897</v>
      </c>
      <c r="D23" s="282"/>
      <c r="E23" s="282"/>
      <c r="F23" s="283"/>
      <c r="G23" s="284" t="s">
        <v>108</v>
      </c>
    </row>
    <row r="24" spans="1:7" s="258" customFormat="1" ht="13.5" customHeight="1">
      <c r="A24" s="947" t="s">
        <v>792</v>
      </c>
      <c r="B24" s="259" t="s">
        <v>1053</v>
      </c>
      <c r="C24" s="1349">
        <f ca="1">ROUND(IF('数据-取费表'!B22&lt;=1,C19*F22*('数据-取费表'!B19/2+'数据-取费表'!B21),C19*(POWER((1+F22),('数据-取费表'!B19/2+'数据-取费表'!B21))-1)),0)</f>
        <v>3</v>
      </c>
      <c r="D24" s="282"/>
      <c r="E24" s="282"/>
      <c r="F24" s="283"/>
      <c r="G24" s="284" t="s">
        <v>109</v>
      </c>
    </row>
    <row r="25" spans="1:7" s="258" customFormat="1" ht="24">
      <c r="A25" s="947" t="s">
        <v>793</v>
      </c>
      <c r="B25" s="259" t="s">
        <v>1055</v>
      </c>
      <c r="C25" s="1349">
        <f ca="1">ROUND(IF('数据-取费表'!B22&lt;=1,C20*F22*'数据-取费表'!B23/2,C20*(POWER((1+F22),'数据-取费表'!B23/2)-1)),0)</f>
        <v>9</v>
      </c>
      <c r="D25" s="282"/>
      <c r="E25" s="285"/>
      <c r="F25" s="283"/>
      <c r="G25" s="286" t="s">
        <v>110</v>
      </c>
    </row>
    <row r="26" spans="1:7" s="258" customFormat="1">
      <c r="A26" s="947" t="s">
        <v>795</v>
      </c>
      <c r="B26" s="259" t="s">
        <v>1057</v>
      </c>
      <c r="C26" s="282">
        <f ca="1">ROUND(IF('数据-取费表'!B22&lt;=1,F21*F22*'数据-取费表'!B23/2,F21*(POWER((1+F22),'数据-取费表'!B23/2)-1)),4)</f>
        <v>4.0000000000000002E-4</v>
      </c>
      <c r="D26" s="282"/>
      <c r="E26" s="285"/>
      <c r="F26" s="283"/>
      <c r="G26" s="287"/>
    </row>
    <row r="27" spans="1:7" s="258" customFormat="1" ht="24.75">
      <c r="A27" s="944" t="s">
        <v>787</v>
      </c>
      <c r="B27" s="288" t="s">
        <v>112</v>
      </c>
      <c r="C27" s="289">
        <f>C28</f>
        <v>3164</v>
      </c>
      <c r="D27" s="279">
        <f>C29</f>
        <v>3.0000000000000001E-3</v>
      </c>
      <c r="E27" s="280" t="s">
        <v>126</v>
      </c>
      <c r="F27" s="290">
        <f>'数据-取费表'!Q16</f>
        <v>0.15</v>
      </c>
      <c r="G27" s="291" t="s">
        <v>1066</v>
      </c>
    </row>
    <row r="28" spans="1:7" s="258" customFormat="1" ht="13.5" customHeight="1">
      <c r="A28" s="947" t="s">
        <v>794</v>
      </c>
      <c r="B28" s="292" t="s">
        <v>1059</v>
      </c>
      <c r="C28" s="293">
        <f>ROUND((C5+C19+C20)*F27*'数据-取费表'!B21/'数据-取费表'!B20,0)</f>
        <v>3164</v>
      </c>
      <c r="D28" s="279"/>
      <c r="E28" s="280"/>
      <c r="F28" s="290"/>
      <c r="G28" s="291"/>
    </row>
    <row r="29" spans="1:7" s="258" customFormat="1" ht="13.5" customHeight="1">
      <c r="A29" s="947" t="s">
        <v>792</v>
      </c>
      <c r="B29" s="292" t="s">
        <v>1060</v>
      </c>
      <c r="C29" s="282">
        <f>ROUND(C21*F27*'数据-取费表'!B21/'数据-取费表'!B20,4)</f>
        <v>3.0000000000000001E-3</v>
      </c>
      <c r="D29" s="279"/>
      <c r="E29" s="280"/>
      <c r="F29" s="290"/>
      <c r="G29" s="291"/>
    </row>
    <row r="30" spans="1:7" s="258" customFormat="1" ht="13.5" customHeight="1">
      <c r="A30" s="944"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27231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889</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769</v>
      </c>
      <c r="D34" s="261"/>
      <c r="E34" s="264"/>
      <c r="F34" s="301">
        <f>IF('数据-取费表'!B24=0,1,'数据-取费表'!N16)</f>
        <v>1</v>
      </c>
      <c r="G34" s="263" t="s">
        <v>116</v>
      </c>
    </row>
    <row r="35" spans="1:7" ht="13.5" customHeight="1">
      <c r="A35" s="947" t="s">
        <v>796</v>
      </c>
      <c r="B35" s="259" t="s">
        <v>60</v>
      </c>
      <c r="C35" s="264">
        <f>ROUND(C34*F35,0)</f>
        <v>38</v>
      </c>
      <c r="D35" s="264"/>
      <c r="E35" s="264"/>
      <c r="F35" s="303">
        <f>'数据-取费表'!B33</f>
        <v>0.05</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70</v>
      </c>
      <c r="D37" s="261">
        <f>'数据-汇总表'!E3</f>
        <v>3497.5499999999993</v>
      </c>
      <c r="E37" s="293">
        <f>'数据-取费表'!B35</f>
        <v>200</v>
      </c>
      <c r="F37" s="303"/>
      <c r="G37" s="305" t="s">
        <v>119</v>
      </c>
    </row>
    <row r="38" spans="1:7" ht="13.5" customHeight="1">
      <c r="A38" s="947" t="s">
        <v>799</v>
      </c>
      <c r="B38" s="259" t="s">
        <v>63</v>
      </c>
      <c r="C38" s="264">
        <f>ROUND(C34*F38,0)</f>
        <v>12</v>
      </c>
      <c r="D38" s="264"/>
      <c r="E38" s="264"/>
      <c r="F38" s="303">
        <f>'数据-取费表'!B36</f>
        <v>1.4999999999999999E-2</v>
      </c>
      <c r="G38" s="263" t="s">
        <v>117</v>
      </c>
    </row>
    <row r="39" spans="1:7" s="258" customFormat="1" ht="13.5" customHeight="1">
      <c r="A39" s="944" t="s">
        <v>783</v>
      </c>
      <c r="B39" s="254" t="s">
        <v>104</v>
      </c>
      <c r="C39" s="276">
        <f>ROUND(C33*F20,0)</f>
        <v>18</v>
      </c>
      <c r="D39" s="276"/>
      <c r="E39" s="276"/>
      <c r="F39" s="277"/>
      <c r="G39" s="1283"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19</v>
      </c>
      <c r="D41" s="279">
        <f ca="1">C44</f>
        <v>4.0000000000000002E-4</v>
      </c>
      <c r="E41" s="280" t="s">
        <v>129</v>
      </c>
      <c r="F41" s="281"/>
      <c r="G41" s="1283" t="str">
        <f>IF('数据-取费表'!B22&lt;=1,"单利计息","复利计息")</f>
        <v>单利计息</v>
      </c>
    </row>
    <row r="42" spans="1:7" ht="13.5" customHeight="1">
      <c r="A42" s="947" t="s">
        <v>794</v>
      </c>
      <c r="B42" s="259" t="s">
        <v>1058</v>
      </c>
      <c r="C42" s="282">
        <f ca="1">ROUND(IF('数据-取费表'!B22&lt;=1,C33*F22*'数据-取费表'!B21/2,C33*(POWER((1+F22),'数据-取费表'!B21/2)-1)),0)</f>
        <v>19</v>
      </c>
      <c r="D42" s="282"/>
      <c r="E42" s="282"/>
      <c r="F42" s="283"/>
      <c r="G42" s="3254" t="s">
        <v>121</v>
      </c>
    </row>
    <row r="43" spans="1:7" ht="13.5" customHeight="1">
      <c r="A43" s="947" t="s">
        <v>792</v>
      </c>
      <c r="B43" s="259" t="s">
        <v>1061</v>
      </c>
      <c r="C43" s="282">
        <f ca="1">ROUND(IF('数据-取费表'!B22&lt;=1,C39*F22*'数据-取费表'!B21/2,C39*(POWER((1+F22),'数据-取费表'!B21/2)-1)),0)</f>
        <v>0</v>
      </c>
      <c r="D43" s="282"/>
      <c r="E43" s="282"/>
      <c r="F43" s="283"/>
      <c r="G43" s="3255"/>
    </row>
    <row r="44" spans="1:7" ht="13.5" customHeight="1">
      <c r="A44" s="947" t="s">
        <v>793</v>
      </c>
      <c r="B44" s="259" t="s">
        <v>1063</v>
      </c>
      <c r="C44" s="282">
        <f ca="1">ROUND(IF('数据-取费表'!B22&lt;=1,C40*F22*'数据-取费表'!B21/2,C40*(POWER((1+F22),'数据-取费表'!B21/2)-1)),4)</f>
        <v>4.0000000000000002E-4</v>
      </c>
      <c r="D44" s="282"/>
      <c r="E44" s="282"/>
      <c r="F44" s="283"/>
      <c r="G44" s="3256"/>
    </row>
    <row r="45" spans="1:7" s="258" customFormat="1" ht="13.5" customHeight="1">
      <c r="A45" s="944" t="s">
        <v>786</v>
      </c>
      <c r="B45" s="288" t="s">
        <v>112</v>
      </c>
      <c r="C45" s="289">
        <f>C46</f>
        <v>136</v>
      </c>
      <c r="D45" s="279">
        <f>C47</f>
        <v>3.0000000000000001E-3</v>
      </c>
      <c r="E45" s="280" t="s">
        <v>129</v>
      </c>
      <c r="F45" s="290"/>
      <c r="G45" s="291" t="s">
        <v>1069</v>
      </c>
    </row>
    <row r="46" spans="1:7" s="258" customFormat="1" ht="13.5" customHeight="1">
      <c r="A46" s="947" t="s">
        <v>794</v>
      </c>
      <c r="B46" s="292" t="s">
        <v>1062</v>
      </c>
      <c r="C46" s="293">
        <f>ROUND((C33+C39)*F27,0)</f>
        <v>136</v>
      </c>
      <c r="D46" s="307"/>
      <c r="E46" s="280"/>
      <c r="F46" s="290"/>
      <c r="G46" s="291"/>
    </row>
    <row r="47" spans="1:7" s="258" customFormat="1" ht="13.5" customHeight="1">
      <c r="A47" s="947" t="s">
        <v>792</v>
      </c>
      <c r="B47" s="292" t="s">
        <v>1064</v>
      </c>
      <c r="C47" s="282">
        <f>ROUND(C40*F27,4)</f>
        <v>3.0000000000000001E-3</v>
      </c>
      <c r="D47" s="307"/>
      <c r="E47" s="280"/>
      <c r="F47" s="290"/>
      <c r="G47" s="291"/>
    </row>
    <row r="48" spans="1:7" s="258" customFormat="1" ht="13.5" customHeight="1">
      <c r="A48" s="944" t="s">
        <v>787</v>
      </c>
      <c r="B48" s="254" t="s">
        <v>122</v>
      </c>
      <c r="C48" s="306">
        <f>F30</f>
        <v>5.5000000000000007E-2</v>
      </c>
      <c r="D48" s="280" t="s">
        <v>130</v>
      </c>
      <c r="E48" s="276"/>
      <c r="F48" s="281"/>
      <c r="G48" s="278" t="s">
        <v>123</v>
      </c>
    </row>
    <row r="49" spans="1:7" ht="16.5" customHeight="1">
      <c r="A49" s="944" t="s">
        <v>788</v>
      </c>
      <c r="B49" s="254" t="s">
        <v>131</v>
      </c>
      <c r="C49" s="276">
        <f ca="1">ROUND((C33+C39+C41+C45)/(1-C40-D41-D45-C48/(1+'数据-取费表'!B42)),0)</f>
        <v>1149</v>
      </c>
      <c r="D49" s="276"/>
      <c r="E49" s="276"/>
      <c r="F49" s="308"/>
      <c r="G49" s="278" t="s">
        <v>1070</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1034</v>
      </c>
      <c r="D51" s="276"/>
      <c r="E51" s="276"/>
      <c r="F51" s="308"/>
      <c r="G51" s="278" t="s">
        <v>64</v>
      </c>
    </row>
    <row r="52" spans="1:7" s="252" customFormat="1" ht="16.5" thickBot="1">
      <c r="A52" s="309" t="s">
        <v>65</v>
      </c>
      <c r="B52" s="310"/>
      <c r="C52" s="311">
        <f ca="1">C31+C51</f>
        <v>28265</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95" t="s">
        <v>156</v>
      </c>
      <c r="B1" s="3395"/>
      <c r="C1" s="3395"/>
      <c r="D1" s="3395"/>
      <c r="E1" s="3395"/>
      <c r="F1" s="339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96" t="s">
        <v>169</v>
      </c>
      <c r="B2" s="3396"/>
      <c r="C2" s="3396"/>
      <c r="D2" s="3396"/>
      <c r="E2" s="3396"/>
      <c r="F2" s="339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9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9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95" t="s">
        <v>868</v>
      </c>
      <c r="B1" s="3395"/>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43670</v>
      </c>
      <c r="D1" s="1694" t="s">
        <v>1297</v>
      </c>
      <c r="E1" s="1689">
        <f>'数据-取费表'!B22</f>
        <v>1</v>
      </c>
      <c r="F1" s="1694" t="s">
        <v>1298</v>
      </c>
      <c r="G1" s="1690">
        <f ca="1">INDIRECT("d"&amp;$K$1)/100</f>
        <v>4.3499999999999997E-2</v>
      </c>
      <c r="H1" s="1694" t="s">
        <v>1328</v>
      </c>
      <c r="I1" s="1690">
        <f ca="1">F4/100</f>
        <v>1.4999999999999999E-2</v>
      </c>
      <c r="J1" s="1695">
        <f>IF(C1&gt;C13,0,MATCH(C1,C$13:C$100,-1))+IF(SUMIF(C13:C100,C1,D13:D100)=0,13,12)</f>
        <v>13</v>
      </c>
      <c r="K1" s="1695">
        <f ca="1">MATCH(E1,C3:C7,1)+IF(SUMIF(C3:C7,E1,D3:D7)=0,2,1)</f>
        <v>4</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9"/>
  <sheetViews>
    <sheetView workbookViewId="0">
      <selection activeCell="K13" sqref="K13"/>
    </sheetView>
  </sheetViews>
  <sheetFormatPr defaultRowHeight="13.5"/>
  <cols>
    <col min="6" max="6" width="16.75" bestFit="1" customWidth="1"/>
    <col min="12" max="12" width="9.5" bestFit="1" customWidth="1"/>
  </cols>
  <sheetData>
    <row r="1" spans="1:12" ht="21.75">
      <c r="A1" s="3399" t="s">
        <v>3048</v>
      </c>
      <c r="B1" s="3399"/>
      <c r="C1" s="3399"/>
      <c r="D1" s="3399"/>
      <c r="E1" s="3399"/>
      <c r="F1" s="3399"/>
      <c r="G1" s="3400"/>
      <c r="H1" s="3399"/>
      <c r="I1" s="3399"/>
    </row>
    <row r="2" spans="1:12">
      <c r="A2" s="3401" t="s">
        <v>3049</v>
      </c>
      <c r="B2" s="3402" t="s">
        <v>3050</v>
      </c>
      <c r="C2" s="3401" t="s">
        <v>3051</v>
      </c>
      <c r="D2" s="3401" t="s">
        <v>3052</v>
      </c>
      <c r="E2" s="3401" t="s">
        <v>3053</v>
      </c>
      <c r="F2" s="3404" t="s">
        <v>3054</v>
      </c>
      <c r="G2" s="3406" t="s">
        <v>3055</v>
      </c>
      <c r="H2" s="3407" t="s">
        <v>3056</v>
      </c>
      <c r="I2" s="3408" t="s">
        <v>3057</v>
      </c>
    </row>
    <row r="3" spans="1:12">
      <c r="A3" s="3401"/>
      <c r="B3" s="3403"/>
      <c r="C3" s="3401"/>
      <c r="D3" s="3401"/>
      <c r="E3" s="3401"/>
      <c r="F3" s="3405"/>
      <c r="G3" s="3406"/>
      <c r="H3" s="3407"/>
      <c r="I3" s="3408"/>
    </row>
    <row r="4" spans="1:12">
      <c r="A4" s="2953">
        <v>1</v>
      </c>
      <c r="B4" s="2954" t="s">
        <v>3058</v>
      </c>
      <c r="C4" s="2954" t="s">
        <v>3059</v>
      </c>
      <c r="D4" s="2965" t="s">
        <v>3060</v>
      </c>
      <c r="E4" s="2966">
        <v>38.659999999999997</v>
      </c>
      <c r="F4" s="2955" t="s">
        <v>3501</v>
      </c>
      <c r="G4" s="2956">
        <v>20245.89</v>
      </c>
      <c r="H4" s="2957">
        <v>782706.10739999986</v>
      </c>
      <c r="I4" s="2958"/>
      <c r="K4" s="2993" t="s">
        <v>3439</v>
      </c>
      <c r="L4" s="2994">
        <f>SUM(E4:E33)+SUM(E107:E130)+SUM(E199:E202)+SUM(E219:E225)+SUM(E234:E242)+SUM(E253:E273)</f>
        <v>2560.4999999999995</v>
      </c>
    </row>
    <row r="5" spans="1:12">
      <c r="A5" s="2953">
        <v>2</v>
      </c>
      <c r="B5" s="2954" t="s">
        <v>3058</v>
      </c>
      <c r="C5" s="2954" t="s">
        <v>3059</v>
      </c>
      <c r="D5" s="2965" t="s">
        <v>3062</v>
      </c>
      <c r="E5" s="2966">
        <v>41.76</v>
      </c>
      <c r="F5" s="2955" t="s">
        <v>3061</v>
      </c>
      <c r="G5" s="2956">
        <v>20245.89</v>
      </c>
      <c r="H5" s="2957">
        <v>845468.36639999994</v>
      </c>
      <c r="I5" s="2958"/>
      <c r="K5" s="2993" t="s">
        <v>3441</v>
      </c>
      <c r="L5" s="2994">
        <f>SUM(E34:E63)+SUM(E131:E174)+SUM(E203:E207)+SUM(E226:E228)+SUM(E243:E249)+SUM(E274:E290)</f>
        <v>3532.9399999999996</v>
      </c>
    </row>
    <row r="6" spans="1:12">
      <c r="A6" s="2953">
        <v>3</v>
      </c>
      <c r="B6" s="2954" t="s">
        <v>3058</v>
      </c>
      <c r="C6" s="2954" t="s">
        <v>3059</v>
      </c>
      <c r="D6" s="2965" t="s">
        <v>3063</v>
      </c>
      <c r="E6" s="2966">
        <v>6.6</v>
      </c>
      <c r="F6" s="2955" t="s">
        <v>3061</v>
      </c>
      <c r="G6" s="2956">
        <v>20245.89</v>
      </c>
      <c r="H6" s="2957">
        <v>133622.87399999998</v>
      </c>
      <c r="I6" s="2958"/>
      <c r="K6" s="2993" t="s">
        <v>3443</v>
      </c>
      <c r="L6" s="2994">
        <f>SUM(E64:E106)+SUM(E175:E198)+SUM(E208:E218)+SUM(E229:E233)+SUM(E250:E252)+SUM(E291:E299)</f>
        <v>2891.66</v>
      </c>
    </row>
    <row r="7" spans="1:12">
      <c r="A7" s="2953">
        <v>4</v>
      </c>
      <c r="B7" s="2954" t="s">
        <v>3058</v>
      </c>
      <c r="C7" s="2954" t="s">
        <v>3059</v>
      </c>
      <c r="D7" s="2965" t="s">
        <v>3064</v>
      </c>
      <c r="E7" s="2966">
        <v>6.85</v>
      </c>
      <c r="F7" s="2955" t="s">
        <v>3061</v>
      </c>
      <c r="G7" s="2956">
        <v>20245.89</v>
      </c>
      <c r="H7" s="2957">
        <v>138684.34649999999</v>
      </c>
      <c r="I7" s="2958"/>
      <c r="K7" s="2993" t="s">
        <v>3444</v>
      </c>
      <c r="L7" s="2994">
        <f>L4+L5+L6</f>
        <v>8985.0999999999985</v>
      </c>
    </row>
    <row r="8" spans="1:12">
      <c r="A8" s="2953">
        <v>5</v>
      </c>
      <c r="B8" s="2954" t="s">
        <v>3058</v>
      </c>
      <c r="C8" s="2954" t="s">
        <v>3059</v>
      </c>
      <c r="D8" s="2965" t="s">
        <v>3065</v>
      </c>
      <c r="E8" s="2966">
        <v>6.85</v>
      </c>
      <c r="F8" s="2955" t="s">
        <v>3061</v>
      </c>
      <c r="G8" s="2956">
        <v>20245.89</v>
      </c>
      <c r="H8" s="2957">
        <v>138684.34649999999</v>
      </c>
      <c r="I8" s="2958"/>
    </row>
    <row r="9" spans="1:12">
      <c r="A9" s="2953">
        <v>6</v>
      </c>
      <c r="B9" s="2954" t="s">
        <v>3058</v>
      </c>
      <c r="C9" s="2954" t="s">
        <v>3059</v>
      </c>
      <c r="D9" s="2965" t="s">
        <v>3066</v>
      </c>
      <c r="E9" s="2966">
        <v>6.85</v>
      </c>
      <c r="F9" s="2955" t="s">
        <v>3061</v>
      </c>
      <c r="G9" s="2956">
        <v>20245.89</v>
      </c>
      <c r="H9" s="2957">
        <v>138684.34649999999</v>
      </c>
      <c r="I9" s="2958"/>
    </row>
    <row r="10" spans="1:12">
      <c r="A10" s="2953">
        <v>7</v>
      </c>
      <c r="B10" s="2954" t="s">
        <v>3058</v>
      </c>
      <c r="C10" s="2954" t="s">
        <v>3059</v>
      </c>
      <c r="D10" s="2965" t="s">
        <v>3067</v>
      </c>
      <c r="E10" s="2966">
        <v>33.200000000000003</v>
      </c>
      <c r="F10" s="2955" t="s">
        <v>3061</v>
      </c>
      <c r="G10" s="2956">
        <v>20245.89</v>
      </c>
      <c r="H10" s="2957">
        <v>672163.54800000007</v>
      </c>
      <c r="I10" s="2958"/>
    </row>
    <row r="11" spans="1:12">
      <c r="A11" s="2953">
        <v>8</v>
      </c>
      <c r="B11" s="2954" t="s">
        <v>3058</v>
      </c>
      <c r="C11" s="2954" t="s">
        <v>3059</v>
      </c>
      <c r="D11" s="2965" t="s">
        <v>3068</v>
      </c>
      <c r="E11" s="2966">
        <v>33.200000000000003</v>
      </c>
      <c r="F11" s="2955" t="s">
        <v>3061</v>
      </c>
      <c r="G11" s="2956">
        <v>20245.89</v>
      </c>
      <c r="H11" s="2957">
        <v>672163.54800000007</v>
      </c>
      <c r="I11" s="2958"/>
    </row>
    <row r="12" spans="1:12">
      <c r="A12" s="2953">
        <v>9</v>
      </c>
      <c r="B12" s="2954" t="s">
        <v>3058</v>
      </c>
      <c r="C12" s="2954" t="s">
        <v>3059</v>
      </c>
      <c r="D12" s="2965" t="s">
        <v>3069</v>
      </c>
      <c r="E12" s="2966">
        <v>24.9</v>
      </c>
      <c r="F12" s="2955" t="s">
        <v>3061</v>
      </c>
      <c r="G12" s="2956">
        <v>20245.89</v>
      </c>
      <c r="H12" s="2957">
        <v>504122.66099999996</v>
      </c>
      <c r="I12" s="2958"/>
    </row>
    <row r="13" spans="1:12">
      <c r="A13" s="2953">
        <v>10</v>
      </c>
      <c r="B13" s="2954" t="s">
        <v>3058</v>
      </c>
      <c r="C13" s="2954" t="s">
        <v>3059</v>
      </c>
      <c r="D13" s="2965" t="s">
        <v>3070</v>
      </c>
      <c r="E13" s="2966">
        <v>27.84</v>
      </c>
      <c r="F13" s="2955" t="s">
        <v>3061</v>
      </c>
      <c r="G13" s="2956">
        <v>20245.89</v>
      </c>
      <c r="H13" s="2957">
        <v>563645.57759999996</v>
      </c>
      <c r="I13" s="2958"/>
    </row>
    <row r="14" spans="1:12">
      <c r="A14" s="2953">
        <v>11</v>
      </c>
      <c r="B14" s="2954" t="s">
        <v>3058</v>
      </c>
      <c r="C14" s="2954" t="s">
        <v>3059</v>
      </c>
      <c r="D14" s="2965" t="s">
        <v>3071</v>
      </c>
      <c r="E14" s="2967">
        <v>36.92</v>
      </c>
      <c r="F14" s="2955" t="s">
        <v>3061</v>
      </c>
      <c r="G14" s="2956">
        <v>20245.89</v>
      </c>
      <c r="H14" s="2957">
        <v>747478.25880000007</v>
      </c>
      <c r="I14" s="2958"/>
    </row>
    <row r="15" spans="1:12">
      <c r="A15" s="2953">
        <v>12</v>
      </c>
      <c r="B15" s="2954" t="s">
        <v>3058</v>
      </c>
      <c r="C15" s="2954" t="s">
        <v>3059</v>
      </c>
      <c r="D15" s="2965" t="s">
        <v>3072</v>
      </c>
      <c r="E15" s="2966">
        <v>21.58</v>
      </c>
      <c r="F15" s="2955" t="s">
        <v>3061</v>
      </c>
      <c r="G15" s="2956">
        <v>20245.89</v>
      </c>
      <c r="H15" s="2957">
        <v>436906.30619999993</v>
      </c>
      <c r="I15" s="2958"/>
    </row>
    <row r="16" spans="1:12">
      <c r="A16" s="2953">
        <v>13</v>
      </c>
      <c r="B16" s="2954" t="s">
        <v>3058</v>
      </c>
      <c r="C16" s="2954" t="s">
        <v>3059</v>
      </c>
      <c r="D16" s="2965" t="s">
        <v>3073</v>
      </c>
      <c r="E16" s="2967">
        <v>28.3</v>
      </c>
      <c r="F16" s="2955" t="s">
        <v>3061</v>
      </c>
      <c r="G16" s="2956">
        <v>20245.89</v>
      </c>
      <c r="H16" s="2957">
        <v>572958.68700000003</v>
      </c>
      <c r="I16" s="2958"/>
    </row>
    <row r="17" spans="1:9">
      <c r="A17" s="2953">
        <v>14</v>
      </c>
      <c r="B17" s="2954" t="s">
        <v>3058</v>
      </c>
      <c r="C17" s="2954" t="s">
        <v>3059</v>
      </c>
      <c r="D17" s="2965" t="s">
        <v>3074</v>
      </c>
      <c r="E17" s="2967">
        <v>41.77</v>
      </c>
      <c r="F17" s="2955" t="s">
        <v>3061</v>
      </c>
      <c r="G17" s="2956">
        <v>20245.89</v>
      </c>
      <c r="H17" s="2957">
        <v>845670.82530000003</v>
      </c>
      <c r="I17" s="2958"/>
    </row>
    <row r="18" spans="1:9">
      <c r="A18" s="2953">
        <v>15</v>
      </c>
      <c r="B18" s="2954" t="s">
        <v>3058</v>
      </c>
      <c r="C18" s="2954" t="s">
        <v>3059</v>
      </c>
      <c r="D18" s="2965" t="s">
        <v>3075</v>
      </c>
      <c r="E18" s="2966">
        <v>24.9</v>
      </c>
      <c r="F18" s="2955" t="s">
        <v>3061</v>
      </c>
      <c r="G18" s="2956">
        <v>20245.89</v>
      </c>
      <c r="H18" s="2957">
        <v>504122.66099999996</v>
      </c>
      <c r="I18" s="2958"/>
    </row>
    <row r="19" spans="1:9">
      <c r="A19" s="2953">
        <v>16</v>
      </c>
      <c r="B19" s="2954" t="s">
        <v>3058</v>
      </c>
      <c r="C19" s="2954" t="s">
        <v>3059</v>
      </c>
      <c r="D19" s="2965" t="s">
        <v>3076</v>
      </c>
      <c r="E19" s="2965">
        <v>24.9</v>
      </c>
      <c r="F19" s="2955" t="s">
        <v>3061</v>
      </c>
      <c r="G19" s="2956">
        <v>20245.89</v>
      </c>
      <c r="H19" s="2957">
        <v>504122.66099999996</v>
      </c>
      <c r="I19" s="2958"/>
    </row>
    <row r="20" spans="1:9">
      <c r="A20" s="2953">
        <v>17</v>
      </c>
      <c r="B20" s="2954" t="s">
        <v>3058</v>
      </c>
      <c r="C20" s="2954" t="s">
        <v>3059</v>
      </c>
      <c r="D20" s="2965" t="s">
        <v>3077</v>
      </c>
      <c r="E20" s="2965">
        <v>24.9</v>
      </c>
      <c r="F20" s="2955" t="s">
        <v>3061</v>
      </c>
      <c r="G20" s="2956">
        <v>20245.89</v>
      </c>
      <c r="H20" s="2957">
        <v>504122.66099999996</v>
      </c>
      <c r="I20" s="2958"/>
    </row>
    <row r="21" spans="1:9">
      <c r="A21" s="2953">
        <v>18</v>
      </c>
      <c r="B21" s="2954" t="s">
        <v>3058</v>
      </c>
      <c r="C21" s="2954" t="s">
        <v>3059</v>
      </c>
      <c r="D21" s="2965" t="s">
        <v>3078</v>
      </c>
      <c r="E21" s="2965">
        <v>24.9</v>
      </c>
      <c r="F21" s="2955" t="s">
        <v>3061</v>
      </c>
      <c r="G21" s="2956">
        <v>20245.89</v>
      </c>
      <c r="H21" s="2957">
        <v>504122.66099999996</v>
      </c>
      <c r="I21" s="2958"/>
    </row>
    <row r="22" spans="1:9">
      <c r="A22" s="2953">
        <v>19</v>
      </c>
      <c r="B22" s="2954" t="s">
        <v>3058</v>
      </c>
      <c r="C22" s="2954" t="s">
        <v>3059</v>
      </c>
      <c r="D22" s="2965" t="s">
        <v>3079</v>
      </c>
      <c r="E22" s="2965">
        <v>33.49</v>
      </c>
      <c r="F22" s="2955" t="s">
        <v>3061</v>
      </c>
      <c r="G22" s="2956">
        <v>20245.89</v>
      </c>
      <c r="H22" s="2957">
        <v>678034.85609999998</v>
      </c>
      <c r="I22" s="2958"/>
    </row>
    <row r="23" spans="1:9">
      <c r="A23" s="2953">
        <v>20</v>
      </c>
      <c r="B23" s="2954" t="s">
        <v>3058</v>
      </c>
      <c r="C23" s="2954" t="s">
        <v>3059</v>
      </c>
      <c r="D23" s="2965" t="s">
        <v>3080</v>
      </c>
      <c r="E23" s="2965">
        <v>39.369999999999997</v>
      </c>
      <c r="F23" s="2955" t="s">
        <v>3061</v>
      </c>
      <c r="G23" s="2956">
        <v>20245.89</v>
      </c>
      <c r="H23" s="2957">
        <v>797080.68929999997</v>
      </c>
      <c r="I23" s="2958"/>
    </row>
    <row r="24" spans="1:9">
      <c r="A24" s="2953">
        <v>21</v>
      </c>
      <c r="B24" s="2954" t="s">
        <v>3058</v>
      </c>
      <c r="C24" s="2954" t="s">
        <v>3059</v>
      </c>
      <c r="D24" s="2965" t="s">
        <v>3081</v>
      </c>
      <c r="E24" s="2965">
        <v>45.78</v>
      </c>
      <c r="F24" s="2955" t="s">
        <v>3061</v>
      </c>
      <c r="G24" s="2956">
        <v>20245.89</v>
      </c>
      <c r="H24" s="2957">
        <v>926856.84420000005</v>
      </c>
      <c r="I24" s="2958"/>
    </row>
    <row r="25" spans="1:9">
      <c r="A25" s="2953">
        <v>22</v>
      </c>
      <c r="B25" s="2954" t="s">
        <v>3058</v>
      </c>
      <c r="C25" s="2954" t="s">
        <v>3059</v>
      </c>
      <c r="D25" s="2965" t="s">
        <v>3082</v>
      </c>
      <c r="E25" s="2967">
        <v>30.65</v>
      </c>
      <c r="F25" s="2955" t="s">
        <v>3061</v>
      </c>
      <c r="G25" s="2956">
        <v>20245.89</v>
      </c>
      <c r="H25" s="2957">
        <v>620536.5284999999</v>
      </c>
      <c r="I25" s="2958"/>
    </row>
    <row r="26" spans="1:9">
      <c r="A26" s="2953">
        <v>23</v>
      </c>
      <c r="B26" s="2954" t="s">
        <v>3058</v>
      </c>
      <c r="C26" s="2954" t="s">
        <v>3059</v>
      </c>
      <c r="D26" s="2965" t="s">
        <v>3083</v>
      </c>
      <c r="E26" s="2967">
        <v>30.65</v>
      </c>
      <c r="F26" s="2955" t="s">
        <v>3061</v>
      </c>
      <c r="G26" s="2956">
        <v>20245.89</v>
      </c>
      <c r="H26" s="2957">
        <v>620536.5284999999</v>
      </c>
      <c r="I26" s="2958"/>
    </row>
    <row r="27" spans="1:9">
      <c r="A27" s="2953">
        <v>24</v>
      </c>
      <c r="B27" s="2954" t="s">
        <v>3058</v>
      </c>
      <c r="C27" s="2954" t="s">
        <v>3059</v>
      </c>
      <c r="D27" s="2965" t="s">
        <v>3084</v>
      </c>
      <c r="E27" s="2967">
        <v>30.65</v>
      </c>
      <c r="F27" s="2955" t="s">
        <v>3061</v>
      </c>
      <c r="G27" s="2956">
        <v>20245.89</v>
      </c>
      <c r="H27" s="2957">
        <v>620536.5284999999</v>
      </c>
      <c r="I27" s="2958"/>
    </row>
    <row r="28" spans="1:9">
      <c r="A28" s="2953">
        <v>25</v>
      </c>
      <c r="B28" s="2954" t="s">
        <v>3058</v>
      </c>
      <c r="C28" s="2954" t="s">
        <v>3059</v>
      </c>
      <c r="D28" s="2965" t="s">
        <v>3085</v>
      </c>
      <c r="E28" s="2967">
        <v>30.65</v>
      </c>
      <c r="F28" s="2955" t="s">
        <v>3061</v>
      </c>
      <c r="G28" s="2956">
        <v>20245.89</v>
      </c>
      <c r="H28" s="2957">
        <v>620536.5284999999</v>
      </c>
      <c r="I28" s="2958"/>
    </row>
    <row r="29" spans="1:9">
      <c r="A29" s="2953">
        <v>26</v>
      </c>
      <c r="B29" s="2954" t="s">
        <v>3058</v>
      </c>
      <c r="C29" s="2954" t="s">
        <v>3059</v>
      </c>
      <c r="D29" s="2965" t="s">
        <v>3086</v>
      </c>
      <c r="E29" s="2965">
        <v>42.39</v>
      </c>
      <c r="F29" s="2955" t="s">
        <v>3061</v>
      </c>
      <c r="G29" s="2956">
        <v>20245.89</v>
      </c>
      <c r="H29" s="2957">
        <v>858223.27709999995</v>
      </c>
      <c r="I29" s="2958"/>
    </row>
    <row r="30" spans="1:9">
      <c r="A30" s="2953">
        <v>27</v>
      </c>
      <c r="B30" s="2954" t="s">
        <v>3058</v>
      </c>
      <c r="C30" s="2954" t="s">
        <v>3059</v>
      </c>
      <c r="D30" s="2967" t="s">
        <v>3087</v>
      </c>
      <c r="E30" s="2967">
        <v>17.14</v>
      </c>
      <c r="F30" s="2955" t="s">
        <v>3061</v>
      </c>
      <c r="G30" s="2956">
        <v>20245.89</v>
      </c>
      <c r="H30" s="2957">
        <v>347014.55459999997</v>
      </c>
      <c r="I30" s="2958"/>
    </row>
    <row r="31" spans="1:9">
      <c r="A31" s="2953">
        <v>28</v>
      </c>
      <c r="B31" s="2954" t="s">
        <v>3058</v>
      </c>
      <c r="C31" s="2954" t="s">
        <v>3059</v>
      </c>
      <c r="D31" s="2967" t="s">
        <v>3088</v>
      </c>
      <c r="E31" s="2967">
        <v>13.66</v>
      </c>
      <c r="F31" s="2955" t="s">
        <v>3061</v>
      </c>
      <c r="G31" s="2956">
        <v>20245.89</v>
      </c>
      <c r="H31" s="2957">
        <v>276558.85739999998</v>
      </c>
      <c r="I31" s="2958"/>
    </row>
    <row r="32" spans="1:9">
      <c r="A32" s="2953">
        <v>29</v>
      </c>
      <c r="B32" s="2954" t="s">
        <v>3058</v>
      </c>
      <c r="C32" s="2954" t="s">
        <v>3059</v>
      </c>
      <c r="D32" s="2967" t="s">
        <v>3089</v>
      </c>
      <c r="E32" s="2967">
        <v>14.38</v>
      </c>
      <c r="F32" s="2955" t="s">
        <v>3061</v>
      </c>
      <c r="G32" s="2956">
        <v>20245.89</v>
      </c>
      <c r="H32" s="2957">
        <v>291135.8982</v>
      </c>
      <c r="I32" s="2958"/>
    </row>
    <row r="33" spans="1:9">
      <c r="A33" s="2953">
        <v>30</v>
      </c>
      <c r="B33" s="2954" t="s">
        <v>3058</v>
      </c>
      <c r="C33" s="2954" t="s">
        <v>3059</v>
      </c>
      <c r="D33" s="2967" t="s">
        <v>3090</v>
      </c>
      <c r="E33" s="2967">
        <v>12.23</v>
      </c>
      <c r="F33" s="2955" t="s">
        <v>3061</v>
      </c>
      <c r="G33" s="2956">
        <v>20245.89</v>
      </c>
      <c r="H33" s="2957">
        <v>247607.2347</v>
      </c>
      <c r="I33" s="2958"/>
    </row>
    <row r="34" spans="1:9">
      <c r="A34" s="2953">
        <v>31</v>
      </c>
      <c r="B34" s="2954" t="s">
        <v>3058</v>
      </c>
      <c r="C34" s="2954" t="s">
        <v>3059</v>
      </c>
      <c r="D34" s="2968" t="s">
        <v>3091</v>
      </c>
      <c r="E34" s="2969">
        <v>53.38</v>
      </c>
      <c r="F34" s="2955" t="s">
        <v>3061</v>
      </c>
      <c r="G34" s="2956">
        <v>20245.89</v>
      </c>
      <c r="H34" s="2957">
        <v>1080725.6082000001</v>
      </c>
      <c r="I34" s="2958"/>
    </row>
    <row r="35" spans="1:9">
      <c r="A35" s="2953">
        <v>32</v>
      </c>
      <c r="B35" s="2954" t="s">
        <v>3058</v>
      </c>
      <c r="C35" s="2954" t="s">
        <v>3059</v>
      </c>
      <c r="D35" s="2968" t="s">
        <v>3092</v>
      </c>
      <c r="E35" s="2969">
        <v>26.94</v>
      </c>
      <c r="F35" s="2955" t="s">
        <v>3061</v>
      </c>
      <c r="G35" s="2956">
        <v>20245.89</v>
      </c>
      <c r="H35" s="2957">
        <v>545424.27659999998</v>
      </c>
      <c r="I35" s="2958"/>
    </row>
    <row r="36" spans="1:9">
      <c r="A36" s="2953">
        <v>33</v>
      </c>
      <c r="B36" s="2954" t="s">
        <v>3058</v>
      </c>
      <c r="C36" s="2954" t="s">
        <v>3059</v>
      </c>
      <c r="D36" s="2968" t="s">
        <v>3093</v>
      </c>
      <c r="E36" s="2969">
        <v>26.94</v>
      </c>
      <c r="F36" s="2955" t="s">
        <v>3061</v>
      </c>
      <c r="G36" s="2956">
        <v>20245.89</v>
      </c>
      <c r="H36" s="2957">
        <v>545424.27659999998</v>
      </c>
      <c r="I36" s="2958"/>
    </row>
    <row r="37" spans="1:9">
      <c r="A37" s="2953">
        <v>34</v>
      </c>
      <c r="B37" s="2954" t="s">
        <v>3058</v>
      </c>
      <c r="C37" s="2954" t="s">
        <v>3059</v>
      </c>
      <c r="D37" s="2968" t="s">
        <v>3094</v>
      </c>
      <c r="E37" s="2969">
        <v>43.51</v>
      </c>
      <c r="F37" s="2955" t="s">
        <v>3061</v>
      </c>
      <c r="G37" s="2956">
        <v>20245.89</v>
      </c>
      <c r="H37" s="2957">
        <v>880898.67389999994</v>
      </c>
      <c r="I37" s="2958"/>
    </row>
    <row r="38" spans="1:9">
      <c r="A38" s="2953">
        <v>35</v>
      </c>
      <c r="B38" s="2954" t="s">
        <v>3058</v>
      </c>
      <c r="C38" s="2954" t="s">
        <v>3059</v>
      </c>
      <c r="D38" s="2968" t="s">
        <v>3095</v>
      </c>
      <c r="E38" s="2969">
        <v>36.11</v>
      </c>
      <c r="F38" s="2955" t="s">
        <v>3061</v>
      </c>
      <c r="G38" s="2956">
        <v>20245.89</v>
      </c>
      <c r="H38" s="2957">
        <v>731079.08789999993</v>
      </c>
      <c r="I38" s="2958"/>
    </row>
    <row r="39" spans="1:9">
      <c r="A39" s="2953">
        <v>36</v>
      </c>
      <c r="B39" s="2954" t="s">
        <v>3058</v>
      </c>
      <c r="C39" s="2954" t="s">
        <v>3059</v>
      </c>
      <c r="D39" s="2968" t="s">
        <v>3096</v>
      </c>
      <c r="E39" s="2969">
        <v>29.57</v>
      </c>
      <c r="F39" s="2955" t="s">
        <v>3061</v>
      </c>
      <c r="G39" s="2956">
        <v>20245.89</v>
      </c>
      <c r="H39" s="2957">
        <v>598670.96730000002</v>
      </c>
      <c r="I39" s="2958"/>
    </row>
    <row r="40" spans="1:9">
      <c r="A40" s="2953">
        <v>37</v>
      </c>
      <c r="B40" s="2954" t="s">
        <v>3058</v>
      </c>
      <c r="C40" s="2954" t="s">
        <v>3059</v>
      </c>
      <c r="D40" s="2968" t="s">
        <v>3097</v>
      </c>
      <c r="E40" s="2969">
        <v>26.94</v>
      </c>
      <c r="F40" s="2955" t="s">
        <v>3061</v>
      </c>
      <c r="G40" s="2956">
        <v>20245.89</v>
      </c>
      <c r="H40" s="2957">
        <v>545424.27659999998</v>
      </c>
      <c r="I40" s="2958"/>
    </row>
    <row r="41" spans="1:9">
      <c r="A41" s="2953">
        <v>38</v>
      </c>
      <c r="B41" s="2954" t="s">
        <v>3058</v>
      </c>
      <c r="C41" s="2954" t="s">
        <v>3059</v>
      </c>
      <c r="D41" s="2968" t="s">
        <v>3098</v>
      </c>
      <c r="E41" s="2969">
        <v>26.79</v>
      </c>
      <c r="F41" s="2955" t="s">
        <v>3061</v>
      </c>
      <c r="G41" s="2956">
        <v>20245.89</v>
      </c>
      <c r="H41" s="2957">
        <v>542387.39309999999</v>
      </c>
      <c r="I41" s="2958"/>
    </row>
    <row r="42" spans="1:9">
      <c r="A42" s="2953">
        <v>39</v>
      </c>
      <c r="B42" s="2954" t="s">
        <v>3058</v>
      </c>
      <c r="C42" s="2954" t="s">
        <v>3059</v>
      </c>
      <c r="D42" s="2968" t="s">
        <v>3099</v>
      </c>
      <c r="E42" s="2969">
        <v>26.79</v>
      </c>
      <c r="F42" s="2955" t="s">
        <v>3061</v>
      </c>
      <c r="G42" s="2956">
        <v>20245.89</v>
      </c>
      <c r="H42" s="2957">
        <v>542387.39309999999</v>
      </c>
      <c r="I42" s="2958"/>
    </row>
    <row r="43" spans="1:9">
      <c r="A43" s="2953">
        <v>40</v>
      </c>
      <c r="B43" s="2954" t="s">
        <v>3058</v>
      </c>
      <c r="C43" s="2954" t="s">
        <v>3059</v>
      </c>
      <c r="D43" s="2968" t="s">
        <v>3100</v>
      </c>
      <c r="E43" s="2969">
        <v>26.83</v>
      </c>
      <c r="F43" s="2955" t="s">
        <v>3061</v>
      </c>
      <c r="G43" s="2956">
        <v>20245.89</v>
      </c>
      <c r="H43" s="2957">
        <v>543197.22869999998</v>
      </c>
      <c r="I43" s="2958"/>
    </row>
    <row r="44" spans="1:9">
      <c r="A44" s="2953">
        <v>41</v>
      </c>
      <c r="B44" s="2954" t="s">
        <v>3058</v>
      </c>
      <c r="C44" s="2954" t="s">
        <v>3059</v>
      </c>
      <c r="D44" s="2968" t="s">
        <v>3101</v>
      </c>
      <c r="E44" s="2969">
        <v>35.42</v>
      </c>
      <c r="F44" s="2955" t="s">
        <v>3061</v>
      </c>
      <c r="G44" s="2956">
        <v>20245.89</v>
      </c>
      <c r="H44" s="2957">
        <v>717109.42379999999</v>
      </c>
      <c r="I44" s="2958"/>
    </row>
    <row r="45" spans="1:9">
      <c r="A45" s="2953">
        <v>42</v>
      </c>
      <c r="B45" s="2954" t="s">
        <v>3058</v>
      </c>
      <c r="C45" s="2954" t="s">
        <v>3059</v>
      </c>
      <c r="D45" s="2968" t="s">
        <v>3102</v>
      </c>
      <c r="E45" s="2969">
        <v>27.71</v>
      </c>
      <c r="F45" s="2955" t="s">
        <v>3061</v>
      </c>
      <c r="G45" s="2956">
        <v>20245.89</v>
      </c>
      <c r="H45" s="2957">
        <v>561013.61190000002</v>
      </c>
      <c r="I45" s="2958"/>
    </row>
    <row r="46" spans="1:9">
      <c r="A46" s="2953">
        <v>43</v>
      </c>
      <c r="B46" s="2954" t="s">
        <v>3058</v>
      </c>
      <c r="C46" s="2954" t="s">
        <v>3059</v>
      </c>
      <c r="D46" s="2968" t="s">
        <v>3103</v>
      </c>
      <c r="E46" s="2969">
        <v>27.71</v>
      </c>
      <c r="F46" s="2955" t="s">
        <v>3061</v>
      </c>
      <c r="G46" s="2956">
        <v>20245.89</v>
      </c>
      <c r="H46" s="2957">
        <v>561013.61190000002</v>
      </c>
      <c r="I46" s="2958"/>
    </row>
    <row r="47" spans="1:9">
      <c r="A47" s="2953">
        <v>44</v>
      </c>
      <c r="B47" s="2954" t="s">
        <v>3058</v>
      </c>
      <c r="C47" s="2954" t="s">
        <v>3059</v>
      </c>
      <c r="D47" s="2968" t="s">
        <v>3104</v>
      </c>
      <c r="E47" s="2969">
        <v>27</v>
      </c>
      <c r="F47" s="2955" t="s">
        <v>3061</v>
      </c>
      <c r="G47" s="2956">
        <v>20245.89</v>
      </c>
      <c r="H47" s="2957">
        <v>546639.03</v>
      </c>
      <c r="I47" s="2958"/>
    </row>
    <row r="48" spans="1:9">
      <c r="A48" s="2953">
        <v>45</v>
      </c>
      <c r="B48" s="2954" t="s">
        <v>3058</v>
      </c>
      <c r="C48" s="2954" t="s">
        <v>3059</v>
      </c>
      <c r="D48" s="2968" t="s">
        <v>3105</v>
      </c>
      <c r="E48" s="2969">
        <v>26.9</v>
      </c>
      <c r="F48" s="2955" t="s">
        <v>3061</v>
      </c>
      <c r="G48" s="2956">
        <v>20245.89</v>
      </c>
      <c r="H48" s="2957">
        <v>544614.44099999999</v>
      </c>
      <c r="I48" s="2958"/>
    </row>
    <row r="49" spans="1:9">
      <c r="A49" s="2953">
        <v>46</v>
      </c>
      <c r="B49" s="2954" t="s">
        <v>3058</v>
      </c>
      <c r="C49" s="2954" t="s">
        <v>3059</v>
      </c>
      <c r="D49" s="2968" t="s">
        <v>3106</v>
      </c>
      <c r="E49" s="2969">
        <v>33.67</v>
      </c>
      <c r="F49" s="2955" t="s">
        <v>3061</v>
      </c>
      <c r="G49" s="2956">
        <v>20245.89</v>
      </c>
      <c r="H49" s="2957">
        <v>681679.11629999999</v>
      </c>
      <c r="I49" s="2958"/>
    </row>
    <row r="50" spans="1:9">
      <c r="A50" s="2953">
        <v>47</v>
      </c>
      <c r="B50" s="2954" t="s">
        <v>3058</v>
      </c>
      <c r="C50" s="2954" t="s">
        <v>3059</v>
      </c>
      <c r="D50" s="2968" t="s">
        <v>3107</v>
      </c>
      <c r="E50" s="2969">
        <v>36.26</v>
      </c>
      <c r="F50" s="2955" t="s">
        <v>3061</v>
      </c>
      <c r="G50" s="2956">
        <v>20245.89</v>
      </c>
      <c r="H50" s="2957">
        <v>734115.97139999992</v>
      </c>
      <c r="I50" s="2958"/>
    </row>
    <row r="51" spans="1:9">
      <c r="A51" s="2953">
        <v>48</v>
      </c>
      <c r="B51" s="2954" t="s">
        <v>3058</v>
      </c>
      <c r="C51" s="2954" t="s">
        <v>3059</v>
      </c>
      <c r="D51" s="2968" t="s">
        <v>3108</v>
      </c>
      <c r="E51" s="2969">
        <v>27.71</v>
      </c>
      <c r="F51" s="2955" t="s">
        <v>3061</v>
      </c>
      <c r="G51" s="2956">
        <v>20245.89</v>
      </c>
      <c r="H51" s="2957">
        <v>561013.61190000002</v>
      </c>
      <c r="I51" s="2958"/>
    </row>
    <row r="52" spans="1:9">
      <c r="A52" s="2953">
        <v>49</v>
      </c>
      <c r="B52" s="2954" t="s">
        <v>3058</v>
      </c>
      <c r="C52" s="2954" t="s">
        <v>3059</v>
      </c>
      <c r="D52" s="2968" t="s">
        <v>3109</v>
      </c>
      <c r="E52" s="2969">
        <v>23.51</v>
      </c>
      <c r="F52" s="2955" t="s">
        <v>3061</v>
      </c>
      <c r="G52" s="2956">
        <v>20245.89</v>
      </c>
      <c r="H52" s="2957">
        <v>475980.87390000001</v>
      </c>
      <c r="I52" s="2958"/>
    </row>
    <row r="53" spans="1:9">
      <c r="A53" s="2953">
        <v>50</v>
      </c>
      <c r="B53" s="2954" t="s">
        <v>3058</v>
      </c>
      <c r="C53" s="2954" t="s">
        <v>3059</v>
      </c>
      <c r="D53" s="2968" t="s">
        <v>3110</v>
      </c>
      <c r="E53" s="2969">
        <v>26.94</v>
      </c>
      <c r="F53" s="2955" t="s">
        <v>3061</v>
      </c>
      <c r="G53" s="2956">
        <v>20245.89</v>
      </c>
      <c r="H53" s="2957">
        <v>545424.27659999998</v>
      </c>
      <c r="I53" s="2958"/>
    </row>
    <row r="54" spans="1:9">
      <c r="A54" s="2953">
        <v>51</v>
      </c>
      <c r="B54" s="2954" t="s">
        <v>3058</v>
      </c>
      <c r="C54" s="2954" t="s">
        <v>3059</v>
      </c>
      <c r="D54" s="2968" t="s">
        <v>3111</v>
      </c>
      <c r="E54" s="2969">
        <v>26.17</v>
      </c>
      <c r="F54" s="2955" t="s">
        <v>3061</v>
      </c>
      <c r="G54" s="2956">
        <v>20245.89</v>
      </c>
      <c r="H54" s="2957">
        <v>529834.94130000006</v>
      </c>
      <c r="I54" s="2958"/>
    </row>
    <row r="55" spans="1:9">
      <c r="A55" s="2953">
        <v>52</v>
      </c>
      <c r="B55" s="2954" t="s">
        <v>3058</v>
      </c>
      <c r="C55" s="2954" t="s">
        <v>3059</v>
      </c>
      <c r="D55" s="2968" t="s">
        <v>3112</v>
      </c>
      <c r="E55" s="2969">
        <v>51.26</v>
      </c>
      <c r="F55" s="2955" t="s">
        <v>3061</v>
      </c>
      <c r="G55" s="2956">
        <v>20245.89</v>
      </c>
      <c r="H55" s="2957">
        <v>1037804.3213999999</v>
      </c>
      <c r="I55" s="2958"/>
    </row>
    <row r="56" spans="1:9">
      <c r="A56" s="2953">
        <v>53</v>
      </c>
      <c r="B56" s="2954" t="s">
        <v>3058</v>
      </c>
      <c r="C56" s="2954" t="s">
        <v>3059</v>
      </c>
      <c r="D56" s="2968" t="s">
        <v>3113</v>
      </c>
      <c r="E56" s="2969">
        <v>53.04</v>
      </c>
      <c r="F56" s="2955" t="s">
        <v>3061</v>
      </c>
      <c r="G56" s="2956">
        <v>20245.89</v>
      </c>
      <c r="H56" s="2957">
        <v>1073842.0056</v>
      </c>
      <c r="I56" s="2958"/>
    </row>
    <row r="57" spans="1:9">
      <c r="A57" s="2953">
        <v>54</v>
      </c>
      <c r="B57" s="2954" t="s">
        <v>3058</v>
      </c>
      <c r="C57" s="2954" t="s">
        <v>3059</v>
      </c>
      <c r="D57" s="2968" t="s">
        <v>3114</v>
      </c>
      <c r="E57" s="2969">
        <v>26.83</v>
      </c>
      <c r="F57" s="2955" t="s">
        <v>3061</v>
      </c>
      <c r="G57" s="2956">
        <v>20245.89</v>
      </c>
      <c r="H57" s="2957">
        <v>543197.22869999998</v>
      </c>
      <c r="I57" s="2958"/>
    </row>
    <row r="58" spans="1:9">
      <c r="A58" s="2953">
        <v>55</v>
      </c>
      <c r="B58" s="2954" t="s">
        <v>3058</v>
      </c>
      <c r="C58" s="2954" t="s">
        <v>3059</v>
      </c>
      <c r="D58" s="2968" t="s">
        <v>3115</v>
      </c>
      <c r="E58" s="2969">
        <v>26.83</v>
      </c>
      <c r="F58" s="2955" t="s">
        <v>3061</v>
      </c>
      <c r="G58" s="2956">
        <v>20245.89</v>
      </c>
      <c r="H58" s="2957">
        <v>543197.22869999998</v>
      </c>
      <c r="I58" s="2958"/>
    </row>
    <row r="59" spans="1:9">
      <c r="A59" s="2953">
        <v>56</v>
      </c>
      <c r="B59" s="2954" t="s">
        <v>3058</v>
      </c>
      <c r="C59" s="2954" t="s">
        <v>3059</v>
      </c>
      <c r="D59" s="2968" t="s">
        <v>3116</v>
      </c>
      <c r="E59" s="2969">
        <v>26.77</v>
      </c>
      <c r="F59" s="2955" t="s">
        <v>3061</v>
      </c>
      <c r="G59" s="2956">
        <v>20245.89</v>
      </c>
      <c r="H59" s="2957">
        <v>541982.47529999993</v>
      </c>
      <c r="I59" s="2958"/>
    </row>
    <row r="60" spans="1:9">
      <c r="A60" s="2953">
        <v>57</v>
      </c>
      <c r="B60" s="2954" t="s">
        <v>3058</v>
      </c>
      <c r="C60" s="2954" t="s">
        <v>3059</v>
      </c>
      <c r="D60" s="2968" t="s">
        <v>3117</v>
      </c>
      <c r="E60" s="2969">
        <v>26.83</v>
      </c>
      <c r="F60" s="2955" t="s">
        <v>3061</v>
      </c>
      <c r="G60" s="2956">
        <v>20245.89</v>
      </c>
      <c r="H60" s="2957">
        <v>543197.22869999998</v>
      </c>
      <c r="I60" s="2958"/>
    </row>
    <row r="61" spans="1:9">
      <c r="A61" s="2953">
        <v>58</v>
      </c>
      <c r="B61" s="2954" t="s">
        <v>3058</v>
      </c>
      <c r="C61" s="2954" t="s">
        <v>3059</v>
      </c>
      <c r="D61" s="2968" t="s">
        <v>3118</v>
      </c>
      <c r="E61" s="2969">
        <v>33.159999999999997</v>
      </c>
      <c r="F61" s="2955" t="s">
        <v>3061</v>
      </c>
      <c r="G61" s="2956">
        <v>20245.89</v>
      </c>
      <c r="H61" s="2957">
        <v>671353.71239999996</v>
      </c>
      <c r="I61" s="2958"/>
    </row>
    <row r="62" spans="1:9">
      <c r="A62" s="2953">
        <v>59</v>
      </c>
      <c r="B62" s="2954" t="s">
        <v>3058</v>
      </c>
      <c r="C62" s="2954" t="s">
        <v>3059</v>
      </c>
      <c r="D62" s="2968" t="s">
        <v>3119</v>
      </c>
      <c r="E62" s="2969">
        <v>33.159999999999997</v>
      </c>
      <c r="F62" s="2955" t="s">
        <v>3061</v>
      </c>
      <c r="G62" s="2956">
        <v>20245.89</v>
      </c>
      <c r="H62" s="2957">
        <v>671353.71239999996</v>
      </c>
      <c r="I62" s="2958"/>
    </row>
    <row r="63" spans="1:9">
      <c r="A63" s="2953">
        <v>60</v>
      </c>
      <c r="B63" s="2955" t="s">
        <v>3058</v>
      </c>
      <c r="C63" s="2955" t="s">
        <v>3059</v>
      </c>
      <c r="D63" s="2970" t="s">
        <v>3120</v>
      </c>
      <c r="E63" s="2971">
        <v>45.06</v>
      </c>
      <c r="F63" s="2955" t="s">
        <v>3061</v>
      </c>
      <c r="G63" s="2956">
        <v>20245.89</v>
      </c>
      <c r="H63" s="2957">
        <v>912279.80339999998</v>
      </c>
      <c r="I63" s="2958"/>
    </row>
    <row r="64" spans="1:9">
      <c r="A64" s="2953">
        <v>61</v>
      </c>
      <c r="B64" s="2954" t="s">
        <v>3058</v>
      </c>
      <c r="C64" s="2954" t="s">
        <v>3059</v>
      </c>
      <c r="D64" s="2972" t="s">
        <v>3121</v>
      </c>
      <c r="E64" s="2973">
        <v>37.89</v>
      </c>
      <c r="F64" s="2955" t="s">
        <v>3061</v>
      </c>
      <c r="G64" s="2956">
        <v>20245.89</v>
      </c>
      <c r="H64" s="2957">
        <v>767116.77209999994</v>
      </c>
      <c r="I64" s="2958"/>
    </row>
    <row r="65" spans="1:9">
      <c r="A65" s="2953">
        <v>62</v>
      </c>
      <c r="B65" s="2954" t="s">
        <v>3058</v>
      </c>
      <c r="C65" s="2954" t="s">
        <v>3059</v>
      </c>
      <c r="D65" s="2972" t="s">
        <v>3122</v>
      </c>
      <c r="E65" s="2973">
        <v>27.95</v>
      </c>
      <c r="F65" s="2955" t="s">
        <v>3061</v>
      </c>
      <c r="G65" s="2956">
        <v>20245.89</v>
      </c>
      <c r="H65" s="2957">
        <v>565872.62549999997</v>
      </c>
      <c r="I65" s="2958"/>
    </row>
    <row r="66" spans="1:9">
      <c r="A66" s="2953">
        <v>63</v>
      </c>
      <c r="B66" s="2954" t="s">
        <v>3058</v>
      </c>
      <c r="C66" s="2954" t="s">
        <v>3059</v>
      </c>
      <c r="D66" s="2972" t="s">
        <v>3123</v>
      </c>
      <c r="E66" s="2973">
        <v>32.07</v>
      </c>
      <c r="F66" s="2955" t="s">
        <v>3061</v>
      </c>
      <c r="G66" s="2956">
        <v>20245.89</v>
      </c>
      <c r="H66" s="2957">
        <v>649285.6923</v>
      </c>
      <c r="I66" s="2958"/>
    </row>
    <row r="67" spans="1:9">
      <c r="A67" s="2953">
        <v>64</v>
      </c>
      <c r="B67" s="2954" t="s">
        <v>3058</v>
      </c>
      <c r="C67" s="2954" t="s">
        <v>3059</v>
      </c>
      <c r="D67" s="2972" t="s">
        <v>3124</v>
      </c>
      <c r="E67" s="2973">
        <v>27.95</v>
      </c>
      <c r="F67" s="2955" t="s">
        <v>3061</v>
      </c>
      <c r="G67" s="2956">
        <v>20245.89</v>
      </c>
      <c r="H67" s="2957">
        <v>565872.62549999997</v>
      </c>
      <c r="I67" s="2958"/>
    </row>
    <row r="68" spans="1:9">
      <c r="A68" s="2953">
        <v>65</v>
      </c>
      <c r="B68" s="2954" t="s">
        <v>3058</v>
      </c>
      <c r="C68" s="2954" t="s">
        <v>3059</v>
      </c>
      <c r="D68" s="2972" t="s">
        <v>3125</v>
      </c>
      <c r="E68" s="2973">
        <v>34.200000000000003</v>
      </c>
      <c r="F68" s="2955" t="s">
        <v>3061</v>
      </c>
      <c r="G68" s="2956">
        <v>20245.89</v>
      </c>
      <c r="H68" s="2957">
        <v>692409.43800000008</v>
      </c>
      <c r="I68" s="2958"/>
    </row>
    <row r="69" spans="1:9">
      <c r="A69" s="2953">
        <v>66</v>
      </c>
      <c r="B69" s="2954" t="s">
        <v>3058</v>
      </c>
      <c r="C69" s="2954" t="s">
        <v>3059</v>
      </c>
      <c r="D69" s="2972" t="s">
        <v>3126</v>
      </c>
      <c r="E69" s="2973">
        <v>32.119999999999997</v>
      </c>
      <c r="F69" s="2955" t="s">
        <v>3061</v>
      </c>
      <c r="G69" s="2956">
        <v>20245.89</v>
      </c>
      <c r="H69" s="2957">
        <v>650297.98679999996</v>
      </c>
      <c r="I69" s="2958"/>
    </row>
    <row r="70" spans="1:9">
      <c r="A70" s="2953">
        <v>67</v>
      </c>
      <c r="B70" s="2954" t="s">
        <v>3058</v>
      </c>
      <c r="C70" s="2954" t="s">
        <v>3059</v>
      </c>
      <c r="D70" s="2972" t="s">
        <v>3127</v>
      </c>
      <c r="E70" s="2973">
        <v>34.200000000000003</v>
      </c>
      <c r="F70" s="2955" t="s">
        <v>3061</v>
      </c>
      <c r="G70" s="2956">
        <v>20245.89</v>
      </c>
      <c r="H70" s="2957">
        <v>692409.43800000008</v>
      </c>
      <c r="I70" s="2958"/>
    </row>
    <row r="71" spans="1:9">
      <c r="A71" s="2953">
        <v>68</v>
      </c>
      <c r="B71" s="2954" t="s">
        <v>3058</v>
      </c>
      <c r="C71" s="2954" t="s">
        <v>3059</v>
      </c>
      <c r="D71" s="2972" t="s">
        <v>3128</v>
      </c>
      <c r="E71" s="2973">
        <v>18.920000000000002</v>
      </c>
      <c r="F71" s="2955" t="s">
        <v>3061</v>
      </c>
      <c r="G71" s="2956">
        <v>20245.89</v>
      </c>
      <c r="H71" s="2957">
        <v>383052.23880000005</v>
      </c>
      <c r="I71" s="2958"/>
    </row>
    <row r="72" spans="1:9">
      <c r="A72" s="2953">
        <v>69</v>
      </c>
      <c r="B72" s="2954" t="s">
        <v>3058</v>
      </c>
      <c r="C72" s="2954" t="s">
        <v>3059</v>
      </c>
      <c r="D72" s="2972" t="s">
        <v>3129</v>
      </c>
      <c r="E72" s="2973">
        <v>37.47</v>
      </c>
      <c r="F72" s="2955" t="s">
        <v>3061</v>
      </c>
      <c r="G72" s="2956">
        <v>20245.89</v>
      </c>
      <c r="H72" s="2957">
        <v>758613.49829999998</v>
      </c>
      <c r="I72" s="2958"/>
    </row>
    <row r="73" spans="1:9">
      <c r="A73" s="2953">
        <v>70</v>
      </c>
      <c r="B73" s="2954" t="s">
        <v>3058</v>
      </c>
      <c r="C73" s="2954" t="s">
        <v>3059</v>
      </c>
      <c r="D73" s="2972" t="s">
        <v>3130</v>
      </c>
      <c r="E73" s="2973">
        <v>32.06</v>
      </c>
      <c r="F73" s="2955" t="s">
        <v>3061</v>
      </c>
      <c r="G73" s="2956">
        <v>20245.89</v>
      </c>
      <c r="H73" s="2957">
        <v>649083.23340000003</v>
      </c>
      <c r="I73" s="2958"/>
    </row>
    <row r="74" spans="1:9">
      <c r="A74" s="2953">
        <v>71</v>
      </c>
      <c r="B74" s="2954" t="s">
        <v>3058</v>
      </c>
      <c r="C74" s="2954" t="s">
        <v>3059</v>
      </c>
      <c r="D74" s="2972" t="s">
        <v>3131</v>
      </c>
      <c r="E74" s="2973">
        <v>33.380000000000003</v>
      </c>
      <c r="F74" s="2955" t="s">
        <v>3061</v>
      </c>
      <c r="G74" s="2956">
        <v>20245.89</v>
      </c>
      <c r="H74" s="2957">
        <v>675807.80820000009</v>
      </c>
      <c r="I74" s="2958"/>
    </row>
    <row r="75" spans="1:9">
      <c r="A75" s="2953">
        <v>72</v>
      </c>
      <c r="B75" s="2954" t="s">
        <v>3058</v>
      </c>
      <c r="C75" s="2954" t="s">
        <v>3059</v>
      </c>
      <c r="D75" s="2972" t="s">
        <v>3132</v>
      </c>
      <c r="E75" s="2973">
        <v>42.85</v>
      </c>
      <c r="F75" s="2955" t="s">
        <v>3061</v>
      </c>
      <c r="G75" s="2956">
        <v>20245.89</v>
      </c>
      <c r="H75" s="2957">
        <v>867536.38650000002</v>
      </c>
      <c r="I75" s="2958"/>
    </row>
    <row r="76" spans="1:9">
      <c r="A76" s="2953">
        <v>73</v>
      </c>
      <c r="B76" s="2954" t="s">
        <v>3058</v>
      </c>
      <c r="C76" s="2954" t="s">
        <v>3059</v>
      </c>
      <c r="D76" s="2972" t="s">
        <v>3133</v>
      </c>
      <c r="E76" s="2973">
        <v>16.579999999999998</v>
      </c>
      <c r="F76" s="2955" t="s">
        <v>3061</v>
      </c>
      <c r="G76" s="2956">
        <v>20245.89</v>
      </c>
      <c r="H76" s="2957">
        <v>335676.85619999998</v>
      </c>
      <c r="I76" s="2958"/>
    </row>
    <row r="77" spans="1:9">
      <c r="A77" s="2953">
        <v>74</v>
      </c>
      <c r="B77" s="2954" t="s">
        <v>3058</v>
      </c>
      <c r="C77" s="2954" t="s">
        <v>3059</v>
      </c>
      <c r="D77" s="2972" t="s">
        <v>3134</v>
      </c>
      <c r="E77" s="2973">
        <v>29.12</v>
      </c>
      <c r="F77" s="2955" t="s">
        <v>3061</v>
      </c>
      <c r="G77" s="2956">
        <v>20245.89</v>
      </c>
      <c r="H77" s="2957">
        <v>589560.31680000003</v>
      </c>
      <c r="I77" s="2958"/>
    </row>
    <row r="78" spans="1:9">
      <c r="A78" s="2953">
        <v>75</v>
      </c>
      <c r="B78" s="2954" t="s">
        <v>3058</v>
      </c>
      <c r="C78" s="2954" t="s">
        <v>3059</v>
      </c>
      <c r="D78" s="2972" t="s">
        <v>3135</v>
      </c>
      <c r="E78" s="2973">
        <v>7.66</v>
      </c>
      <c r="F78" s="2955" t="s">
        <v>3061</v>
      </c>
      <c r="G78" s="2956">
        <v>20245.89</v>
      </c>
      <c r="H78" s="2957">
        <v>155083.51740000001</v>
      </c>
      <c r="I78" s="2958"/>
    </row>
    <row r="79" spans="1:9">
      <c r="A79" s="2953">
        <v>76</v>
      </c>
      <c r="B79" s="2954" t="s">
        <v>3058</v>
      </c>
      <c r="C79" s="2954" t="s">
        <v>3059</v>
      </c>
      <c r="D79" s="2972" t="s">
        <v>3136</v>
      </c>
      <c r="E79" s="2973">
        <v>26</v>
      </c>
      <c r="F79" s="2955" t="s">
        <v>3061</v>
      </c>
      <c r="G79" s="2956">
        <v>20245.89</v>
      </c>
      <c r="H79" s="2957">
        <v>526393.14</v>
      </c>
      <c r="I79" s="2958"/>
    </row>
    <row r="80" spans="1:9">
      <c r="A80" s="2953">
        <v>77</v>
      </c>
      <c r="B80" s="2954" t="s">
        <v>3058</v>
      </c>
      <c r="C80" s="2954" t="s">
        <v>3059</v>
      </c>
      <c r="D80" s="2972" t="s">
        <v>3137</v>
      </c>
      <c r="E80" s="2973">
        <v>50.8</v>
      </c>
      <c r="F80" s="2955" t="s">
        <v>3061</v>
      </c>
      <c r="G80" s="2956">
        <v>20245.89</v>
      </c>
      <c r="H80" s="2957">
        <v>1028491.2119999999</v>
      </c>
      <c r="I80" s="2958"/>
    </row>
    <row r="81" spans="1:9">
      <c r="A81" s="2953">
        <v>78</v>
      </c>
      <c r="B81" s="2954" t="s">
        <v>3058</v>
      </c>
      <c r="C81" s="2954" t="s">
        <v>3059</v>
      </c>
      <c r="D81" s="2972" t="s">
        <v>3138</v>
      </c>
      <c r="E81" s="2973">
        <v>55.07</v>
      </c>
      <c r="F81" s="2955" t="s">
        <v>3061</v>
      </c>
      <c r="G81" s="2956">
        <v>20245.89</v>
      </c>
      <c r="H81" s="2957">
        <v>1114941.1623</v>
      </c>
      <c r="I81" s="2958"/>
    </row>
    <row r="82" spans="1:9">
      <c r="A82" s="2953">
        <v>79</v>
      </c>
      <c r="B82" s="2954" t="s">
        <v>3058</v>
      </c>
      <c r="C82" s="2954" t="s">
        <v>3059</v>
      </c>
      <c r="D82" s="2972" t="s">
        <v>3139</v>
      </c>
      <c r="E82" s="2973">
        <v>30.96</v>
      </c>
      <c r="F82" s="2955" t="s">
        <v>3061</v>
      </c>
      <c r="G82" s="2956">
        <v>20245.89</v>
      </c>
      <c r="H82" s="2957">
        <v>626812.75439999998</v>
      </c>
      <c r="I82" s="2958"/>
    </row>
    <row r="83" spans="1:9">
      <c r="A83" s="2953">
        <v>80</v>
      </c>
      <c r="B83" s="2954" t="s">
        <v>3058</v>
      </c>
      <c r="C83" s="2954" t="s">
        <v>3059</v>
      </c>
      <c r="D83" s="2972" t="s">
        <v>3140</v>
      </c>
      <c r="E83" s="2973">
        <v>22.56</v>
      </c>
      <c r="F83" s="2955" t="s">
        <v>3061</v>
      </c>
      <c r="G83" s="2956">
        <v>20245.89</v>
      </c>
      <c r="H83" s="2957">
        <v>456747.27839999995</v>
      </c>
      <c r="I83" s="2958"/>
    </row>
    <row r="84" spans="1:9">
      <c r="A84" s="2953">
        <v>81</v>
      </c>
      <c r="B84" s="2954" t="s">
        <v>3058</v>
      </c>
      <c r="C84" s="2954" t="s">
        <v>3059</v>
      </c>
      <c r="D84" s="2972" t="s">
        <v>3141</v>
      </c>
      <c r="E84" s="2973">
        <v>22.95</v>
      </c>
      <c r="F84" s="2955" t="s">
        <v>3061</v>
      </c>
      <c r="G84" s="2956">
        <v>20245.89</v>
      </c>
      <c r="H84" s="2957">
        <v>464643.17549999995</v>
      </c>
      <c r="I84" s="2958"/>
    </row>
    <row r="85" spans="1:9">
      <c r="A85" s="2953">
        <v>82</v>
      </c>
      <c r="B85" s="2954" t="s">
        <v>3058</v>
      </c>
      <c r="C85" s="2954" t="s">
        <v>3059</v>
      </c>
      <c r="D85" s="2972" t="s">
        <v>3142</v>
      </c>
      <c r="E85" s="2973">
        <v>25.41</v>
      </c>
      <c r="F85" s="2955" t="s">
        <v>3061</v>
      </c>
      <c r="G85" s="2956">
        <v>20245.89</v>
      </c>
      <c r="H85" s="2957">
        <v>514448.0649</v>
      </c>
      <c r="I85" s="2958"/>
    </row>
    <row r="86" spans="1:9">
      <c r="A86" s="2953">
        <v>83</v>
      </c>
      <c r="B86" s="2954" t="s">
        <v>3058</v>
      </c>
      <c r="C86" s="2954" t="s">
        <v>3059</v>
      </c>
      <c r="D86" s="2972" t="s">
        <v>3143</v>
      </c>
      <c r="E86" s="2973">
        <v>25.41</v>
      </c>
      <c r="F86" s="2955" t="s">
        <v>3061</v>
      </c>
      <c r="G86" s="2956">
        <v>20245.89</v>
      </c>
      <c r="H86" s="2957">
        <v>514448.0649</v>
      </c>
      <c r="I86" s="2958"/>
    </row>
    <row r="87" spans="1:9">
      <c r="A87" s="2953">
        <v>84</v>
      </c>
      <c r="B87" s="2954" t="s">
        <v>3058</v>
      </c>
      <c r="C87" s="2954" t="s">
        <v>3059</v>
      </c>
      <c r="D87" s="2972" t="s">
        <v>3144</v>
      </c>
      <c r="E87" s="2973">
        <v>29.47</v>
      </c>
      <c r="F87" s="2955" t="s">
        <v>3061</v>
      </c>
      <c r="G87" s="2956">
        <v>20245.89</v>
      </c>
      <c r="H87" s="2957">
        <v>596646.37829999998</v>
      </c>
      <c r="I87" s="2958"/>
    </row>
    <row r="88" spans="1:9">
      <c r="A88" s="2953">
        <v>85</v>
      </c>
      <c r="B88" s="2954" t="s">
        <v>3058</v>
      </c>
      <c r="C88" s="2954" t="s">
        <v>3059</v>
      </c>
      <c r="D88" s="2972" t="s">
        <v>3145</v>
      </c>
      <c r="E88" s="2973">
        <v>26.97</v>
      </c>
      <c r="F88" s="2955" t="s">
        <v>3061</v>
      </c>
      <c r="G88" s="2956">
        <v>20245.89</v>
      </c>
      <c r="H88" s="2957">
        <v>546031.65330000001</v>
      </c>
      <c r="I88" s="2958"/>
    </row>
    <row r="89" spans="1:9">
      <c r="A89" s="2953">
        <v>86</v>
      </c>
      <c r="B89" s="2954" t="s">
        <v>3058</v>
      </c>
      <c r="C89" s="2954" t="s">
        <v>3059</v>
      </c>
      <c r="D89" s="2972" t="s">
        <v>3146</v>
      </c>
      <c r="E89" s="2973">
        <v>25.31</v>
      </c>
      <c r="F89" s="2955" t="s">
        <v>3061</v>
      </c>
      <c r="G89" s="2956">
        <v>20245.89</v>
      </c>
      <c r="H89" s="2957">
        <v>512423.47589999996</v>
      </c>
      <c r="I89" s="2958"/>
    </row>
    <row r="90" spans="1:9">
      <c r="A90" s="2953">
        <v>87</v>
      </c>
      <c r="B90" s="2954" t="s">
        <v>3058</v>
      </c>
      <c r="C90" s="2954" t="s">
        <v>3059</v>
      </c>
      <c r="D90" s="2972" t="s">
        <v>3147</v>
      </c>
      <c r="E90" s="2973">
        <v>25.31</v>
      </c>
      <c r="F90" s="2955" t="s">
        <v>3061</v>
      </c>
      <c r="G90" s="2956">
        <v>20245.89</v>
      </c>
      <c r="H90" s="2957">
        <v>512423.47589999996</v>
      </c>
      <c r="I90" s="2958"/>
    </row>
    <row r="91" spans="1:9">
      <c r="A91" s="2953">
        <v>88</v>
      </c>
      <c r="B91" s="2954" t="s">
        <v>3058</v>
      </c>
      <c r="C91" s="2954" t="s">
        <v>3059</v>
      </c>
      <c r="D91" s="2972" t="s">
        <v>3148</v>
      </c>
      <c r="E91" s="2973">
        <v>25.31</v>
      </c>
      <c r="F91" s="2955" t="s">
        <v>3061</v>
      </c>
      <c r="G91" s="2956">
        <v>20245.89</v>
      </c>
      <c r="H91" s="2957">
        <v>512423.47589999996</v>
      </c>
      <c r="I91" s="2958"/>
    </row>
    <row r="92" spans="1:9">
      <c r="A92" s="2953">
        <v>89</v>
      </c>
      <c r="B92" s="2954" t="s">
        <v>3058</v>
      </c>
      <c r="C92" s="2954" t="s">
        <v>3059</v>
      </c>
      <c r="D92" s="2972" t="s">
        <v>3149</v>
      </c>
      <c r="E92" s="2973">
        <v>26.77</v>
      </c>
      <c r="F92" s="2955" t="s">
        <v>3061</v>
      </c>
      <c r="G92" s="2956">
        <v>20245.89</v>
      </c>
      <c r="H92" s="2957">
        <v>541982.47529999993</v>
      </c>
      <c r="I92" s="2958"/>
    </row>
    <row r="93" spans="1:9">
      <c r="A93" s="2953">
        <v>90</v>
      </c>
      <c r="B93" s="2954" t="s">
        <v>3058</v>
      </c>
      <c r="C93" s="2954" t="s">
        <v>3059</v>
      </c>
      <c r="D93" s="2972" t="s">
        <v>3150</v>
      </c>
      <c r="E93" s="2973">
        <v>26.77</v>
      </c>
      <c r="F93" s="2955" t="s">
        <v>3061</v>
      </c>
      <c r="G93" s="2956">
        <v>20245.89</v>
      </c>
      <c r="H93" s="2957">
        <v>541982.47529999993</v>
      </c>
      <c r="I93" s="2958"/>
    </row>
    <row r="94" spans="1:9">
      <c r="A94" s="2953">
        <v>91</v>
      </c>
      <c r="B94" s="2954" t="s">
        <v>3058</v>
      </c>
      <c r="C94" s="2954" t="s">
        <v>3059</v>
      </c>
      <c r="D94" s="2972" t="s">
        <v>3151</v>
      </c>
      <c r="E94" s="2973">
        <v>26.77</v>
      </c>
      <c r="F94" s="2955" t="s">
        <v>3061</v>
      </c>
      <c r="G94" s="2956">
        <v>20245.89</v>
      </c>
      <c r="H94" s="2957">
        <v>541982.47529999993</v>
      </c>
      <c r="I94" s="2958"/>
    </row>
    <row r="95" spans="1:9">
      <c r="A95" s="2953">
        <v>92</v>
      </c>
      <c r="B95" s="2954" t="s">
        <v>3058</v>
      </c>
      <c r="C95" s="2954" t="s">
        <v>3059</v>
      </c>
      <c r="D95" s="2972" t="s">
        <v>3152</v>
      </c>
      <c r="E95" s="2973">
        <v>26.77</v>
      </c>
      <c r="F95" s="2955" t="s">
        <v>3061</v>
      </c>
      <c r="G95" s="2956">
        <v>20245.89</v>
      </c>
      <c r="H95" s="2957">
        <v>541982.47529999993</v>
      </c>
      <c r="I95" s="2958"/>
    </row>
    <row r="96" spans="1:9">
      <c r="A96" s="2953">
        <v>93</v>
      </c>
      <c r="B96" s="2954" t="s">
        <v>3058</v>
      </c>
      <c r="C96" s="2954" t="s">
        <v>3059</v>
      </c>
      <c r="D96" s="2972" t="s">
        <v>3153</v>
      </c>
      <c r="E96" s="2973">
        <v>26.77</v>
      </c>
      <c r="F96" s="2955" t="s">
        <v>3061</v>
      </c>
      <c r="G96" s="2956">
        <v>20245.89</v>
      </c>
      <c r="H96" s="2957">
        <v>541982.47529999993</v>
      </c>
      <c r="I96" s="2958"/>
    </row>
    <row r="97" spans="1:9">
      <c r="A97" s="2953">
        <v>94</v>
      </c>
      <c r="B97" s="2954" t="s">
        <v>3058</v>
      </c>
      <c r="C97" s="2954" t="s">
        <v>3059</v>
      </c>
      <c r="D97" s="2972" t="s">
        <v>3154</v>
      </c>
      <c r="E97" s="2973">
        <v>26.05</v>
      </c>
      <c r="F97" s="2955" t="s">
        <v>3061</v>
      </c>
      <c r="G97" s="2956">
        <v>20245.89</v>
      </c>
      <c r="H97" s="2957">
        <v>527405.43449999997</v>
      </c>
      <c r="I97" s="2958"/>
    </row>
    <row r="98" spans="1:9">
      <c r="A98" s="2953">
        <v>95</v>
      </c>
      <c r="B98" s="2954" t="s">
        <v>3058</v>
      </c>
      <c r="C98" s="2954" t="s">
        <v>3059</v>
      </c>
      <c r="D98" s="2972" t="s">
        <v>3155</v>
      </c>
      <c r="E98" s="2973">
        <v>25.25</v>
      </c>
      <c r="F98" s="2955" t="s">
        <v>3061</v>
      </c>
      <c r="G98" s="2956">
        <v>20245.89</v>
      </c>
      <c r="H98" s="2957">
        <v>511208.72249999997</v>
      </c>
      <c r="I98" s="2958"/>
    </row>
    <row r="99" spans="1:9">
      <c r="A99" s="2953">
        <v>96</v>
      </c>
      <c r="B99" s="2954" t="s">
        <v>3058</v>
      </c>
      <c r="C99" s="2954" t="s">
        <v>3059</v>
      </c>
      <c r="D99" s="2972" t="s">
        <v>3156</v>
      </c>
      <c r="E99" s="2973">
        <v>25.31</v>
      </c>
      <c r="F99" s="2955" t="s">
        <v>3061</v>
      </c>
      <c r="G99" s="2956">
        <v>20245.89</v>
      </c>
      <c r="H99" s="2957">
        <v>512423.47589999996</v>
      </c>
      <c r="I99" s="2958"/>
    </row>
    <row r="100" spans="1:9">
      <c r="A100" s="2953">
        <v>97</v>
      </c>
      <c r="B100" s="2954" t="s">
        <v>3058</v>
      </c>
      <c r="C100" s="2954" t="s">
        <v>3059</v>
      </c>
      <c r="D100" s="2972" t="s">
        <v>3157</v>
      </c>
      <c r="E100" s="2973">
        <v>25.31</v>
      </c>
      <c r="F100" s="2955" t="s">
        <v>3061</v>
      </c>
      <c r="G100" s="2956">
        <v>20245.89</v>
      </c>
      <c r="H100" s="2957">
        <v>512423.47589999996</v>
      </c>
      <c r="I100" s="2958"/>
    </row>
    <row r="101" spans="1:9">
      <c r="A101" s="2953">
        <v>98</v>
      </c>
      <c r="B101" s="2954" t="s">
        <v>3058</v>
      </c>
      <c r="C101" s="2954" t="s">
        <v>3059</v>
      </c>
      <c r="D101" s="2972" t="s">
        <v>3158</v>
      </c>
      <c r="E101" s="2973">
        <v>31.11</v>
      </c>
      <c r="F101" s="2955" t="s">
        <v>3061</v>
      </c>
      <c r="G101" s="2956">
        <v>20245.89</v>
      </c>
      <c r="H101" s="2957">
        <v>629849.63789999997</v>
      </c>
      <c r="I101" s="2958"/>
    </row>
    <row r="102" spans="1:9">
      <c r="A102" s="2953">
        <v>99</v>
      </c>
      <c r="B102" s="2954" t="s">
        <v>3058</v>
      </c>
      <c r="C102" s="2954" t="s">
        <v>3059</v>
      </c>
      <c r="D102" s="2972" t="s">
        <v>3159</v>
      </c>
      <c r="E102" s="2973">
        <v>33.299999999999997</v>
      </c>
      <c r="F102" s="2955" t="s">
        <v>3061</v>
      </c>
      <c r="G102" s="2956">
        <v>20245.89</v>
      </c>
      <c r="H102" s="2957">
        <v>674188.13699999987</v>
      </c>
      <c r="I102" s="2958"/>
    </row>
    <row r="103" spans="1:9">
      <c r="A103" s="2953">
        <v>100</v>
      </c>
      <c r="B103" s="2954" t="s">
        <v>3058</v>
      </c>
      <c r="C103" s="2954" t="s">
        <v>3059</v>
      </c>
      <c r="D103" s="2972" t="s">
        <v>3160</v>
      </c>
      <c r="E103" s="2973">
        <v>60.1</v>
      </c>
      <c r="F103" s="2955" t="s">
        <v>3061</v>
      </c>
      <c r="G103" s="2956">
        <v>20245.89</v>
      </c>
      <c r="H103" s="2957">
        <v>1216777.9890000001</v>
      </c>
      <c r="I103" s="2958"/>
    </row>
    <row r="104" spans="1:9">
      <c r="A104" s="2953">
        <v>101</v>
      </c>
      <c r="B104" s="2954" t="s">
        <v>3058</v>
      </c>
      <c r="C104" s="2954" t="s">
        <v>3059</v>
      </c>
      <c r="D104" s="2972" t="s">
        <v>3161</v>
      </c>
      <c r="E104" s="2973">
        <v>26.42</v>
      </c>
      <c r="F104" s="2955" t="s">
        <v>3061</v>
      </c>
      <c r="G104" s="2956">
        <v>20245.89</v>
      </c>
      <c r="H104" s="2957">
        <v>534896.41379999998</v>
      </c>
      <c r="I104" s="2958"/>
    </row>
    <row r="105" spans="1:9">
      <c r="A105" s="2953">
        <v>102</v>
      </c>
      <c r="B105" s="2954" t="s">
        <v>3058</v>
      </c>
      <c r="C105" s="2954" t="s">
        <v>3059</v>
      </c>
      <c r="D105" s="2972" t="s">
        <v>3162</v>
      </c>
      <c r="E105" s="2973">
        <v>26.42</v>
      </c>
      <c r="F105" s="2955" t="s">
        <v>3061</v>
      </c>
      <c r="G105" s="2956">
        <v>20245.89</v>
      </c>
      <c r="H105" s="2957">
        <v>534896.41379999998</v>
      </c>
      <c r="I105" s="2958"/>
    </row>
    <row r="106" spans="1:9">
      <c r="A106" s="2953">
        <v>103</v>
      </c>
      <c r="B106" s="2954" t="s">
        <v>3058</v>
      </c>
      <c r="C106" s="2954" t="s">
        <v>3059</v>
      </c>
      <c r="D106" s="2972" t="s">
        <v>3163</v>
      </c>
      <c r="E106" s="2973">
        <v>26.42</v>
      </c>
      <c r="F106" s="2955" t="s">
        <v>3061</v>
      </c>
      <c r="G106" s="2956">
        <v>20245.89</v>
      </c>
      <c r="H106" s="2957">
        <v>534896.41379999998</v>
      </c>
      <c r="I106" s="2958"/>
    </row>
    <row r="107" spans="1:9">
      <c r="A107" s="2953">
        <v>104</v>
      </c>
      <c r="B107" s="2954" t="s">
        <v>3058</v>
      </c>
      <c r="C107" s="2954" t="s">
        <v>3059</v>
      </c>
      <c r="D107" s="2965" t="s">
        <v>3164</v>
      </c>
      <c r="E107" s="2966">
        <v>35.69</v>
      </c>
      <c r="F107" s="2955" t="s">
        <v>3061</v>
      </c>
      <c r="G107" s="2956">
        <v>20245.89</v>
      </c>
      <c r="H107" s="2957">
        <v>722575.81409999996</v>
      </c>
      <c r="I107" s="2958"/>
    </row>
    <row r="108" spans="1:9">
      <c r="A108" s="2953">
        <v>105</v>
      </c>
      <c r="B108" s="2954" t="s">
        <v>3058</v>
      </c>
      <c r="C108" s="2954" t="s">
        <v>3059</v>
      </c>
      <c r="D108" s="2965" t="s">
        <v>3165</v>
      </c>
      <c r="E108" s="2966">
        <v>33.43</v>
      </c>
      <c r="F108" s="2955" t="s">
        <v>3061</v>
      </c>
      <c r="G108" s="2956">
        <v>20245.89</v>
      </c>
      <c r="H108" s="2957">
        <v>676820.10269999993</v>
      </c>
      <c r="I108" s="2958"/>
    </row>
    <row r="109" spans="1:9">
      <c r="A109" s="2953">
        <v>106</v>
      </c>
      <c r="B109" s="2954" t="s">
        <v>3058</v>
      </c>
      <c r="C109" s="2954" t="s">
        <v>3059</v>
      </c>
      <c r="D109" s="2965" t="s">
        <v>3166</v>
      </c>
      <c r="E109" s="2966">
        <v>41.76</v>
      </c>
      <c r="F109" s="2955" t="s">
        <v>3061</v>
      </c>
      <c r="G109" s="2956">
        <v>20245.89</v>
      </c>
      <c r="H109" s="2957">
        <v>845468.36639999994</v>
      </c>
      <c r="I109" s="2958"/>
    </row>
    <row r="110" spans="1:9">
      <c r="A110" s="2953">
        <v>107</v>
      </c>
      <c r="B110" s="2955" t="s">
        <v>3058</v>
      </c>
      <c r="C110" s="2955" t="s">
        <v>3059</v>
      </c>
      <c r="D110" s="2976" t="s">
        <v>3167</v>
      </c>
      <c r="E110" s="2966">
        <v>32.229999999999997</v>
      </c>
      <c r="F110" s="2955" t="s">
        <v>3061</v>
      </c>
      <c r="G110" s="2956">
        <v>20245.89</v>
      </c>
      <c r="H110" s="2957">
        <v>652525.03469999996</v>
      </c>
      <c r="I110" s="2958"/>
    </row>
    <row r="111" spans="1:9">
      <c r="A111" s="2953">
        <v>108</v>
      </c>
      <c r="B111" s="2955" t="s">
        <v>3058</v>
      </c>
      <c r="C111" s="2955" t="s">
        <v>3059</v>
      </c>
      <c r="D111" s="2976" t="s">
        <v>3168</v>
      </c>
      <c r="E111" s="2966">
        <v>23.97</v>
      </c>
      <c r="F111" s="2955" t="s">
        <v>3061</v>
      </c>
      <c r="G111" s="2956">
        <v>20245.89</v>
      </c>
      <c r="H111" s="2957">
        <v>485293.98329999996</v>
      </c>
      <c r="I111" s="2958"/>
    </row>
    <row r="112" spans="1:9">
      <c r="A112" s="2953">
        <v>109</v>
      </c>
      <c r="B112" s="2954" t="s">
        <v>3058</v>
      </c>
      <c r="C112" s="2954" t="s">
        <v>3059</v>
      </c>
      <c r="D112" s="2965" t="s">
        <v>3169</v>
      </c>
      <c r="E112" s="2966">
        <v>22.14</v>
      </c>
      <c r="F112" s="2955" t="s">
        <v>3061</v>
      </c>
      <c r="G112" s="2956">
        <v>20245.89</v>
      </c>
      <c r="H112" s="2957">
        <v>448244.00459999999</v>
      </c>
      <c r="I112" s="2958"/>
    </row>
    <row r="113" spans="1:9">
      <c r="A113" s="2953">
        <v>110</v>
      </c>
      <c r="B113" s="2954" t="s">
        <v>3058</v>
      </c>
      <c r="C113" s="2954" t="s">
        <v>3059</v>
      </c>
      <c r="D113" s="2965" t="s">
        <v>3170</v>
      </c>
      <c r="E113" s="2966">
        <v>27.84</v>
      </c>
      <c r="F113" s="2955" t="s">
        <v>3061</v>
      </c>
      <c r="G113" s="2956">
        <v>20245.89</v>
      </c>
      <c r="H113" s="2957">
        <v>563645.57759999996</v>
      </c>
      <c r="I113" s="2958"/>
    </row>
    <row r="114" spans="1:9">
      <c r="A114" s="2953">
        <v>111</v>
      </c>
      <c r="B114" s="2954" t="s">
        <v>3058</v>
      </c>
      <c r="C114" s="2954" t="s">
        <v>3059</v>
      </c>
      <c r="D114" s="2965" t="s">
        <v>3171</v>
      </c>
      <c r="E114" s="2967">
        <v>27.58</v>
      </c>
      <c r="F114" s="2955" t="s">
        <v>3061</v>
      </c>
      <c r="G114" s="2956">
        <v>20245.89</v>
      </c>
      <c r="H114" s="2957">
        <v>558381.64619999996</v>
      </c>
      <c r="I114" s="2958"/>
    </row>
    <row r="115" spans="1:9">
      <c r="A115" s="2953">
        <v>112</v>
      </c>
      <c r="B115" s="2954" t="s">
        <v>3058</v>
      </c>
      <c r="C115" s="2954" t="s">
        <v>3059</v>
      </c>
      <c r="D115" s="2965" t="s">
        <v>3172</v>
      </c>
      <c r="E115" s="2967">
        <v>27.58</v>
      </c>
      <c r="F115" s="2955" t="s">
        <v>3061</v>
      </c>
      <c r="G115" s="2956">
        <v>20245.89</v>
      </c>
      <c r="H115" s="2957">
        <v>558381.64619999996</v>
      </c>
      <c r="I115" s="2958"/>
    </row>
    <row r="116" spans="1:9">
      <c r="A116" s="2953">
        <v>113</v>
      </c>
      <c r="B116" s="2954" t="s">
        <v>3058</v>
      </c>
      <c r="C116" s="2954" t="s">
        <v>3059</v>
      </c>
      <c r="D116" s="2965" t="s">
        <v>3173</v>
      </c>
      <c r="E116" s="2967">
        <v>32.229999999999997</v>
      </c>
      <c r="F116" s="2955" t="s">
        <v>3061</v>
      </c>
      <c r="G116" s="2956">
        <v>20245.89</v>
      </c>
      <c r="H116" s="2957">
        <v>652525.03469999996</v>
      </c>
      <c r="I116" s="2958"/>
    </row>
    <row r="117" spans="1:9">
      <c r="A117" s="2953">
        <v>114</v>
      </c>
      <c r="B117" s="2954" t="s">
        <v>3058</v>
      </c>
      <c r="C117" s="2954" t="s">
        <v>3059</v>
      </c>
      <c r="D117" s="2965" t="s">
        <v>3174</v>
      </c>
      <c r="E117" s="2965">
        <v>24.9</v>
      </c>
      <c r="F117" s="2955" t="s">
        <v>3061</v>
      </c>
      <c r="G117" s="2956">
        <v>20245.89</v>
      </c>
      <c r="H117" s="2957">
        <v>504122.66099999996</v>
      </c>
      <c r="I117" s="2958"/>
    </row>
    <row r="118" spans="1:9">
      <c r="A118" s="2953">
        <v>115</v>
      </c>
      <c r="B118" s="2954" t="s">
        <v>3058</v>
      </c>
      <c r="C118" s="2954" t="s">
        <v>3059</v>
      </c>
      <c r="D118" s="2965" t="s">
        <v>3175</v>
      </c>
      <c r="E118" s="2965">
        <v>24.9</v>
      </c>
      <c r="F118" s="2955" t="s">
        <v>3061</v>
      </c>
      <c r="G118" s="2956">
        <v>20245.89</v>
      </c>
      <c r="H118" s="2957">
        <v>504122.66099999996</v>
      </c>
      <c r="I118" s="2958"/>
    </row>
    <row r="119" spans="1:9">
      <c r="A119" s="2953">
        <v>116</v>
      </c>
      <c r="B119" s="2954" t="s">
        <v>3058</v>
      </c>
      <c r="C119" s="2954" t="s">
        <v>3059</v>
      </c>
      <c r="D119" s="2965" t="s">
        <v>3176</v>
      </c>
      <c r="E119" s="2965">
        <v>33.49</v>
      </c>
      <c r="F119" s="2955" t="s">
        <v>3061</v>
      </c>
      <c r="G119" s="2956">
        <v>20245.89</v>
      </c>
      <c r="H119" s="2957">
        <v>678034.85609999998</v>
      </c>
      <c r="I119" s="2958"/>
    </row>
    <row r="120" spans="1:9">
      <c r="A120" s="2953">
        <v>117</v>
      </c>
      <c r="B120" s="2954" t="s">
        <v>3058</v>
      </c>
      <c r="C120" s="2954" t="s">
        <v>3059</v>
      </c>
      <c r="D120" s="2965" t="s">
        <v>3177</v>
      </c>
      <c r="E120" s="2965">
        <v>27.8</v>
      </c>
      <c r="F120" s="2955" t="s">
        <v>3061</v>
      </c>
      <c r="G120" s="2956">
        <v>20245.89</v>
      </c>
      <c r="H120" s="2957">
        <v>562835.74199999997</v>
      </c>
      <c r="I120" s="2958"/>
    </row>
    <row r="121" spans="1:9">
      <c r="A121" s="2953">
        <v>118</v>
      </c>
      <c r="B121" s="2954" t="s">
        <v>3058</v>
      </c>
      <c r="C121" s="2954" t="s">
        <v>3059</v>
      </c>
      <c r="D121" s="2965" t="s">
        <v>3178</v>
      </c>
      <c r="E121" s="2965">
        <v>34.03</v>
      </c>
      <c r="F121" s="2955" t="s">
        <v>3061</v>
      </c>
      <c r="G121" s="2956">
        <v>20245.89</v>
      </c>
      <c r="H121" s="2957">
        <v>688967.63670000003</v>
      </c>
      <c r="I121" s="2958"/>
    </row>
    <row r="122" spans="1:9">
      <c r="A122" s="2953">
        <v>119</v>
      </c>
      <c r="B122" s="2954" t="s">
        <v>3058</v>
      </c>
      <c r="C122" s="2954" t="s">
        <v>3059</v>
      </c>
      <c r="D122" s="2965" t="s">
        <v>3179</v>
      </c>
      <c r="E122" s="2965">
        <v>31.63</v>
      </c>
      <c r="F122" s="2955" t="s">
        <v>3061</v>
      </c>
      <c r="G122" s="2956">
        <v>20245.89</v>
      </c>
      <c r="H122" s="2957">
        <v>640377.50069999998</v>
      </c>
      <c r="I122" s="2958"/>
    </row>
    <row r="123" spans="1:9">
      <c r="A123" s="2953">
        <v>120</v>
      </c>
      <c r="B123" s="2955" t="s">
        <v>3058</v>
      </c>
      <c r="C123" s="2955" t="s">
        <v>3059</v>
      </c>
      <c r="D123" s="2976" t="s">
        <v>3180</v>
      </c>
      <c r="E123" s="2976">
        <v>9.41</v>
      </c>
      <c r="F123" s="2955" t="s">
        <v>3061</v>
      </c>
      <c r="G123" s="2956">
        <v>20245.89</v>
      </c>
      <c r="H123" s="2957">
        <v>190513.82490000001</v>
      </c>
      <c r="I123" s="2958"/>
    </row>
    <row r="124" spans="1:9">
      <c r="A124" s="2953">
        <v>121</v>
      </c>
      <c r="B124" s="2954" t="s">
        <v>3058</v>
      </c>
      <c r="C124" s="2954" t="s">
        <v>3059</v>
      </c>
      <c r="D124" s="2965" t="s">
        <v>3181</v>
      </c>
      <c r="E124" s="2965">
        <v>25.1</v>
      </c>
      <c r="F124" s="2955" t="s">
        <v>3061</v>
      </c>
      <c r="G124" s="2956">
        <v>20245.89</v>
      </c>
      <c r="H124" s="2957">
        <v>508171.83900000004</v>
      </c>
      <c r="I124" s="2958"/>
    </row>
    <row r="125" spans="1:9">
      <c r="A125" s="2953">
        <v>122</v>
      </c>
      <c r="B125" s="2954" t="s">
        <v>3058</v>
      </c>
      <c r="C125" s="2954" t="s">
        <v>3059</v>
      </c>
      <c r="D125" s="2965" t="s">
        <v>3182</v>
      </c>
      <c r="E125" s="2967">
        <v>20.55</v>
      </c>
      <c r="F125" s="2955" t="s">
        <v>3061</v>
      </c>
      <c r="G125" s="2956">
        <v>20245.89</v>
      </c>
      <c r="H125" s="2957">
        <v>416053.03950000001</v>
      </c>
      <c r="I125" s="2958"/>
    </row>
    <row r="126" spans="1:9">
      <c r="A126" s="2953">
        <v>123</v>
      </c>
      <c r="B126" s="2954" t="s">
        <v>3058</v>
      </c>
      <c r="C126" s="2954" t="s">
        <v>3059</v>
      </c>
      <c r="D126" s="2965" t="s">
        <v>3183</v>
      </c>
      <c r="E126" s="2965">
        <v>23.61</v>
      </c>
      <c r="F126" s="2955" t="s">
        <v>3061</v>
      </c>
      <c r="G126" s="2956">
        <v>20245.89</v>
      </c>
      <c r="H126" s="2957">
        <v>478005.46289999998</v>
      </c>
      <c r="I126" s="2958"/>
    </row>
    <row r="127" spans="1:9">
      <c r="A127" s="2953">
        <v>124</v>
      </c>
      <c r="B127" s="2954" t="s">
        <v>3058</v>
      </c>
      <c r="C127" s="2954" t="s">
        <v>3059</v>
      </c>
      <c r="D127" s="2965" t="s">
        <v>3184</v>
      </c>
      <c r="E127" s="2965">
        <v>38.61</v>
      </c>
      <c r="F127" s="2955" t="s">
        <v>3061</v>
      </c>
      <c r="G127" s="2956">
        <v>20245.89</v>
      </c>
      <c r="H127" s="2957">
        <v>781693.81290000002</v>
      </c>
      <c r="I127" s="2958"/>
    </row>
    <row r="128" spans="1:9">
      <c r="A128" s="2953">
        <v>125</v>
      </c>
      <c r="B128" s="2954" t="s">
        <v>3058</v>
      </c>
      <c r="C128" s="2954" t="s">
        <v>3059</v>
      </c>
      <c r="D128" s="2965" t="s">
        <v>3185</v>
      </c>
      <c r="E128" s="2965">
        <v>42.39</v>
      </c>
      <c r="F128" s="2955" t="s">
        <v>3061</v>
      </c>
      <c r="G128" s="2956">
        <v>20245.89</v>
      </c>
      <c r="H128" s="2957">
        <v>858223.27709999995</v>
      </c>
      <c r="I128" s="2958"/>
    </row>
    <row r="129" spans="1:9">
      <c r="A129" s="2953">
        <v>126</v>
      </c>
      <c r="B129" s="2954" t="s">
        <v>3058</v>
      </c>
      <c r="C129" s="2954" t="s">
        <v>3059</v>
      </c>
      <c r="D129" s="2965" t="s">
        <v>3186</v>
      </c>
      <c r="E129" s="2965">
        <v>42.39</v>
      </c>
      <c r="F129" s="2955" t="s">
        <v>3061</v>
      </c>
      <c r="G129" s="2956">
        <v>20245.89</v>
      </c>
      <c r="H129" s="2957">
        <v>858223.27709999995</v>
      </c>
      <c r="I129" s="2958"/>
    </row>
    <row r="130" spans="1:9">
      <c r="A130" s="2953">
        <v>127</v>
      </c>
      <c r="B130" s="2954" t="s">
        <v>3058</v>
      </c>
      <c r="C130" s="2954" t="s">
        <v>3059</v>
      </c>
      <c r="D130" s="2967" t="s">
        <v>3187</v>
      </c>
      <c r="E130" s="2967">
        <v>14.53</v>
      </c>
      <c r="F130" s="2955" t="s">
        <v>3061</v>
      </c>
      <c r="G130" s="2956">
        <v>20245.89</v>
      </c>
      <c r="H130" s="2957">
        <v>294172.78169999999</v>
      </c>
      <c r="I130" s="2958"/>
    </row>
    <row r="131" spans="1:9">
      <c r="A131" s="2953">
        <v>128</v>
      </c>
      <c r="B131" s="2954" t="s">
        <v>3058</v>
      </c>
      <c r="C131" s="2954" t="s">
        <v>3059</v>
      </c>
      <c r="D131" s="2968" t="s">
        <v>3188</v>
      </c>
      <c r="E131" s="2969">
        <v>29.63</v>
      </c>
      <c r="F131" s="2955" t="s">
        <v>3061</v>
      </c>
      <c r="G131" s="2956">
        <v>20245.89</v>
      </c>
      <c r="H131" s="2957">
        <v>599885.72069999995</v>
      </c>
      <c r="I131" s="2958"/>
    </row>
    <row r="132" spans="1:9">
      <c r="A132" s="2953">
        <v>129</v>
      </c>
      <c r="B132" s="2954" t="s">
        <v>3058</v>
      </c>
      <c r="C132" s="2954" t="s">
        <v>3059</v>
      </c>
      <c r="D132" s="2968" t="s">
        <v>3189</v>
      </c>
      <c r="E132" s="2969">
        <v>34.4</v>
      </c>
      <c r="F132" s="2955" t="s">
        <v>3061</v>
      </c>
      <c r="G132" s="2956">
        <v>20245.89</v>
      </c>
      <c r="H132" s="2957">
        <v>696458.61599999992</v>
      </c>
      <c r="I132" s="2958"/>
    </row>
    <row r="133" spans="1:9">
      <c r="A133" s="2953">
        <v>130</v>
      </c>
      <c r="B133" s="2954" t="s">
        <v>3058</v>
      </c>
      <c r="C133" s="2954" t="s">
        <v>3059</v>
      </c>
      <c r="D133" s="2968" t="s">
        <v>3190</v>
      </c>
      <c r="E133" s="2969">
        <v>37.39</v>
      </c>
      <c r="F133" s="2955" t="s">
        <v>3061</v>
      </c>
      <c r="G133" s="2956">
        <v>20245.89</v>
      </c>
      <c r="H133" s="2957">
        <v>756993.82709999999</v>
      </c>
      <c r="I133" s="2958"/>
    </row>
    <row r="134" spans="1:9">
      <c r="A134" s="2953">
        <v>131</v>
      </c>
      <c r="B134" s="2954" t="s">
        <v>3058</v>
      </c>
      <c r="C134" s="2954" t="s">
        <v>3059</v>
      </c>
      <c r="D134" s="2968" t="s">
        <v>3191</v>
      </c>
      <c r="E134" s="2969">
        <v>36.409999999999997</v>
      </c>
      <c r="F134" s="2955" t="s">
        <v>3061</v>
      </c>
      <c r="G134" s="2956">
        <v>20245.89</v>
      </c>
      <c r="H134" s="2957">
        <v>737152.85489999992</v>
      </c>
      <c r="I134" s="2958"/>
    </row>
    <row r="135" spans="1:9">
      <c r="A135" s="2953">
        <v>132</v>
      </c>
      <c r="B135" s="2954" t="s">
        <v>3058</v>
      </c>
      <c r="C135" s="2954" t="s">
        <v>3059</v>
      </c>
      <c r="D135" s="2968" t="s">
        <v>3192</v>
      </c>
      <c r="E135" s="2969">
        <v>26.94</v>
      </c>
      <c r="F135" s="2955" t="s">
        <v>3061</v>
      </c>
      <c r="G135" s="2956">
        <v>20245.89</v>
      </c>
      <c r="H135" s="2957">
        <v>545424.27659999998</v>
      </c>
      <c r="I135" s="2958"/>
    </row>
    <row r="136" spans="1:9">
      <c r="A136" s="2953">
        <v>133</v>
      </c>
      <c r="B136" s="2954" t="s">
        <v>3058</v>
      </c>
      <c r="C136" s="2954" t="s">
        <v>3059</v>
      </c>
      <c r="D136" s="2968" t="s">
        <v>3193</v>
      </c>
      <c r="E136" s="2969">
        <v>26.94</v>
      </c>
      <c r="F136" s="2955" t="s">
        <v>3061</v>
      </c>
      <c r="G136" s="2956">
        <v>20245.89</v>
      </c>
      <c r="H136" s="2957">
        <v>545424.27659999998</v>
      </c>
      <c r="I136" s="2958"/>
    </row>
    <row r="137" spans="1:9">
      <c r="A137" s="2953">
        <v>134</v>
      </c>
      <c r="B137" s="2954" t="s">
        <v>3058</v>
      </c>
      <c r="C137" s="2954" t="s">
        <v>3059</v>
      </c>
      <c r="D137" s="2968" t="s">
        <v>3194</v>
      </c>
      <c r="E137" s="2969">
        <v>29.63</v>
      </c>
      <c r="F137" s="2955" t="s">
        <v>3061</v>
      </c>
      <c r="G137" s="2956">
        <v>20245.89</v>
      </c>
      <c r="H137" s="2957">
        <v>599885.72069999995</v>
      </c>
      <c r="I137" s="2958"/>
    </row>
    <row r="138" spans="1:9">
      <c r="A138" s="2953">
        <v>135</v>
      </c>
      <c r="B138" s="2954" t="s">
        <v>3058</v>
      </c>
      <c r="C138" s="2954" t="s">
        <v>3059</v>
      </c>
      <c r="D138" s="2968" t="s">
        <v>3195</v>
      </c>
      <c r="E138" s="2969">
        <v>35.590000000000003</v>
      </c>
      <c r="F138" s="2955" t="s">
        <v>3061</v>
      </c>
      <c r="G138" s="2956">
        <v>20245.89</v>
      </c>
      <c r="H138" s="2957">
        <v>720551.22510000004</v>
      </c>
      <c r="I138" s="2958"/>
    </row>
    <row r="139" spans="1:9">
      <c r="A139" s="2953">
        <v>136</v>
      </c>
      <c r="B139" s="2954" t="s">
        <v>3058</v>
      </c>
      <c r="C139" s="2954" t="s">
        <v>3059</v>
      </c>
      <c r="D139" s="2968" t="s">
        <v>3196</v>
      </c>
      <c r="E139" s="2969">
        <v>54.66</v>
      </c>
      <c r="F139" s="2955" t="s">
        <v>3061</v>
      </c>
      <c r="G139" s="2956">
        <v>20245.89</v>
      </c>
      <c r="H139" s="2957">
        <v>1106640.3473999999</v>
      </c>
      <c r="I139" s="2958"/>
    </row>
    <row r="140" spans="1:9">
      <c r="A140" s="2953">
        <v>137</v>
      </c>
      <c r="B140" s="2954" t="s">
        <v>3058</v>
      </c>
      <c r="C140" s="2954" t="s">
        <v>3059</v>
      </c>
      <c r="D140" s="2968" t="s">
        <v>3197</v>
      </c>
      <c r="E140" s="2969">
        <v>44.83</v>
      </c>
      <c r="F140" s="2955" t="s">
        <v>3061</v>
      </c>
      <c r="G140" s="2956">
        <v>20245.89</v>
      </c>
      <c r="H140" s="2957">
        <v>907623.2487</v>
      </c>
      <c r="I140" s="2958"/>
    </row>
    <row r="141" spans="1:9">
      <c r="A141" s="2953">
        <v>138</v>
      </c>
      <c r="B141" s="2954" t="s">
        <v>3058</v>
      </c>
      <c r="C141" s="2954" t="s">
        <v>3059</v>
      </c>
      <c r="D141" s="2968" t="s">
        <v>3198</v>
      </c>
      <c r="E141" s="2969">
        <v>27.71</v>
      </c>
      <c r="F141" s="2955" t="s">
        <v>3061</v>
      </c>
      <c r="G141" s="2956">
        <v>20245.89</v>
      </c>
      <c r="H141" s="2957">
        <v>561013.61190000002</v>
      </c>
      <c r="I141" s="2958"/>
    </row>
    <row r="142" spans="1:9">
      <c r="A142" s="2953">
        <v>139</v>
      </c>
      <c r="B142" s="2954" t="s">
        <v>3058</v>
      </c>
      <c r="C142" s="2954" t="s">
        <v>3059</v>
      </c>
      <c r="D142" s="2968" t="s">
        <v>3199</v>
      </c>
      <c r="E142" s="2969">
        <v>27.71</v>
      </c>
      <c r="F142" s="2955" t="s">
        <v>3061</v>
      </c>
      <c r="G142" s="2956">
        <v>20245.89</v>
      </c>
      <c r="H142" s="2957">
        <v>561013.61190000002</v>
      </c>
      <c r="I142" s="2958"/>
    </row>
    <row r="143" spans="1:9">
      <c r="A143" s="2953">
        <v>140</v>
      </c>
      <c r="B143" s="2954" t="s">
        <v>3058</v>
      </c>
      <c r="C143" s="2954" t="s">
        <v>3059</v>
      </c>
      <c r="D143" s="2968" t="s">
        <v>3200</v>
      </c>
      <c r="E143" s="2969">
        <v>27.71</v>
      </c>
      <c r="F143" s="2955" t="s">
        <v>3061</v>
      </c>
      <c r="G143" s="2956">
        <v>20245.89</v>
      </c>
      <c r="H143" s="2957">
        <v>561013.61190000002</v>
      </c>
      <c r="I143" s="2958"/>
    </row>
    <row r="144" spans="1:9">
      <c r="A144" s="2953">
        <v>141</v>
      </c>
      <c r="B144" s="2954" t="s">
        <v>3058</v>
      </c>
      <c r="C144" s="2954" t="s">
        <v>3059</v>
      </c>
      <c r="D144" s="2968" t="s">
        <v>3201</v>
      </c>
      <c r="E144" s="2969">
        <v>27.71</v>
      </c>
      <c r="F144" s="2955" t="s">
        <v>3061</v>
      </c>
      <c r="G144" s="2956">
        <v>20245.89</v>
      </c>
      <c r="H144" s="2957">
        <v>561013.61190000002</v>
      </c>
      <c r="I144" s="2958"/>
    </row>
    <row r="145" spans="1:9">
      <c r="A145" s="2953">
        <v>142</v>
      </c>
      <c r="B145" s="2954" t="s">
        <v>3058</v>
      </c>
      <c r="C145" s="2954" t="s">
        <v>3059</v>
      </c>
      <c r="D145" s="2968" t="s">
        <v>3202</v>
      </c>
      <c r="E145" s="2969">
        <v>54.95</v>
      </c>
      <c r="F145" s="2955" t="s">
        <v>3061</v>
      </c>
      <c r="G145" s="2956">
        <v>20245.89</v>
      </c>
      <c r="H145" s="2957">
        <v>1112511.6555000001</v>
      </c>
      <c r="I145" s="2958"/>
    </row>
    <row r="146" spans="1:9">
      <c r="A146" s="2953">
        <v>143</v>
      </c>
      <c r="B146" s="2954" t="s">
        <v>3058</v>
      </c>
      <c r="C146" s="2954" t="s">
        <v>3059</v>
      </c>
      <c r="D146" s="2968" t="s">
        <v>3203</v>
      </c>
      <c r="E146" s="2969">
        <v>29.14</v>
      </c>
      <c r="F146" s="2955" t="s">
        <v>3061</v>
      </c>
      <c r="G146" s="2956">
        <v>20245.89</v>
      </c>
      <c r="H146" s="2957">
        <v>589965.23459999997</v>
      </c>
      <c r="I146" s="2958"/>
    </row>
    <row r="147" spans="1:9">
      <c r="A147" s="2953">
        <v>144</v>
      </c>
      <c r="B147" s="2954" t="s">
        <v>3058</v>
      </c>
      <c r="C147" s="2954" t="s">
        <v>3059</v>
      </c>
      <c r="D147" s="2968" t="s">
        <v>3204</v>
      </c>
      <c r="E147" s="2969">
        <v>47.01</v>
      </c>
      <c r="F147" s="2955" t="s">
        <v>3061</v>
      </c>
      <c r="G147" s="2956">
        <v>20245.89</v>
      </c>
      <c r="H147" s="2957">
        <v>951759.28889999993</v>
      </c>
      <c r="I147" s="2958"/>
    </row>
    <row r="148" spans="1:9">
      <c r="A148" s="2953">
        <v>145</v>
      </c>
      <c r="B148" s="2954" t="s">
        <v>3058</v>
      </c>
      <c r="C148" s="2954" t="s">
        <v>3059</v>
      </c>
      <c r="D148" s="2968" t="s">
        <v>3205</v>
      </c>
      <c r="E148" s="2969">
        <v>26.8</v>
      </c>
      <c r="F148" s="2955" t="s">
        <v>3061</v>
      </c>
      <c r="G148" s="2956">
        <v>20245.89</v>
      </c>
      <c r="H148" s="2957">
        <v>542589.85199999996</v>
      </c>
      <c r="I148" s="2958"/>
    </row>
    <row r="149" spans="1:9">
      <c r="A149" s="2953">
        <v>146</v>
      </c>
      <c r="B149" s="2954" t="s">
        <v>3058</v>
      </c>
      <c r="C149" s="2954" t="s">
        <v>3059</v>
      </c>
      <c r="D149" s="2968" t="s">
        <v>3206</v>
      </c>
      <c r="E149" s="2969">
        <v>18.32</v>
      </c>
      <c r="F149" s="2955" t="s">
        <v>3061</v>
      </c>
      <c r="G149" s="2956">
        <v>20245.89</v>
      </c>
      <c r="H149" s="2957">
        <v>370904.70480000001</v>
      </c>
      <c r="I149" s="2958"/>
    </row>
    <row r="150" spans="1:9">
      <c r="A150" s="2953">
        <v>147</v>
      </c>
      <c r="B150" s="2954" t="s">
        <v>3058</v>
      </c>
      <c r="C150" s="2954" t="s">
        <v>3059</v>
      </c>
      <c r="D150" s="2968" t="s">
        <v>3207</v>
      </c>
      <c r="E150" s="2969">
        <v>26.98</v>
      </c>
      <c r="F150" s="2955" t="s">
        <v>3061</v>
      </c>
      <c r="G150" s="2956">
        <v>20245.89</v>
      </c>
      <c r="H150" s="2957">
        <v>546234.11219999997</v>
      </c>
      <c r="I150" s="2958"/>
    </row>
    <row r="151" spans="1:9">
      <c r="A151" s="2953">
        <v>148</v>
      </c>
      <c r="B151" s="2954" t="s">
        <v>3058</v>
      </c>
      <c r="C151" s="2954" t="s">
        <v>3059</v>
      </c>
      <c r="D151" s="2968" t="s">
        <v>3208</v>
      </c>
      <c r="E151" s="2969">
        <v>27.08</v>
      </c>
      <c r="F151" s="2955" t="s">
        <v>3061</v>
      </c>
      <c r="G151" s="2956">
        <v>20245.89</v>
      </c>
      <c r="H151" s="2957">
        <v>548258.70119999989</v>
      </c>
      <c r="I151" s="2958"/>
    </row>
    <row r="152" spans="1:9">
      <c r="A152" s="2953">
        <v>149</v>
      </c>
      <c r="B152" s="2954" t="s">
        <v>3058</v>
      </c>
      <c r="C152" s="2954" t="s">
        <v>3059</v>
      </c>
      <c r="D152" s="2968" t="s">
        <v>3209</v>
      </c>
      <c r="E152" s="2969">
        <v>26.94</v>
      </c>
      <c r="F152" s="2955" t="s">
        <v>3061</v>
      </c>
      <c r="G152" s="2956">
        <v>20245.89</v>
      </c>
      <c r="H152" s="2957">
        <v>545424.27659999998</v>
      </c>
      <c r="I152" s="2958"/>
    </row>
    <row r="153" spans="1:9">
      <c r="A153" s="2953">
        <v>150</v>
      </c>
      <c r="B153" s="2954" t="s">
        <v>3058</v>
      </c>
      <c r="C153" s="2954" t="s">
        <v>3059</v>
      </c>
      <c r="D153" s="2968" t="s">
        <v>3210</v>
      </c>
      <c r="E153" s="2969">
        <v>26.94</v>
      </c>
      <c r="F153" s="2955" t="s">
        <v>3061</v>
      </c>
      <c r="G153" s="2956">
        <v>20245.89</v>
      </c>
      <c r="H153" s="2957">
        <v>545424.27659999998</v>
      </c>
      <c r="I153" s="2958"/>
    </row>
    <row r="154" spans="1:9">
      <c r="A154" s="2953">
        <v>151</v>
      </c>
      <c r="B154" s="2954" t="s">
        <v>3058</v>
      </c>
      <c r="C154" s="2954" t="s">
        <v>3059</v>
      </c>
      <c r="D154" s="2968" t="s">
        <v>3211</v>
      </c>
      <c r="E154" s="2969">
        <v>26.94</v>
      </c>
      <c r="F154" s="2955" t="s">
        <v>3061</v>
      </c>
      <c r="G154" s="2956">
        <v>20245.89</v>
      </c>
      <c r="H154" s="2957">
        <v>545424.27659999998</v>
      </c>
      <c r="I154" s="2958"/>
    </row>
    <row r="155" spans="1:9">
      <c r="A155" s="2953">
        <v>152</v>
      </c>
      <c r="B155" s="2954" t="s">
        <v>3058</v>
      </c>
      <c r="C155" s="2954" t="s">
        <v>3059</v>
      </c>
      <c r="D155" s="2968" t="s">
        <v>3212</v>
      </c>
      <c r="E155" s="2969">
        <v>26.94</v>
      </c>
      <c r="F155" s="2955" t="s">
        <v>3061</v>
      </c>
      <c r="G155" s="2956">
        <v>20245.89</v>
      </c>
      <c r="H155" s="2957">
        <v>545424.27659999998</v>
      </c>
      <c r="I155" s="2958"/>
    </row>
    <row r="156" spans="1:9">
      <c r="A156" s="2953">
        <v>153</v>
      </c>
      <c r="B156" s="2954" t="s">
        <v>3058</v>
      </c>
      <c r="C156" s="2954" t="s">
        <v>3059</v>
      </c>
      <c r="D156" s="2968" t="s">
        <v>3213</v>
      </c>
      <c r="E156" s="2969">
        <v>32.82</v>
      </c>
      <c r="F156" s="2955" t="s">
        <v>3061</v>
      </c>
      <c r="G156" s="2956">
        <v>20245.89</v>
      </c>
      <c r="H156" s="2957">
        <v>664470.10979999998</v>
      </c>
      <c r="I156" s="2958"/>
    </row>
    <row r="157" spans="1:9">
      <c r="A157" s="2953">
        <v>154</v>
      </c>
      <c r="B157" s="2954" t="s">
        <v>3058</v>
      </c>
      <c r="C157" s="2954" t="s">
        <v>3059</v>
      </c>
      <c r="D157" s="2968" t="s">
        <v>3214</v>
      </c>
      <c r="E157" s="2969">
        <v>27.71</v>
      </c>
      <c r="F157" s="2955" t="s">
        <v>3061</v>
      </c>
      <c r="G157" s="2956">
        <v>20245.89</v>
      </c>
      <c r="H157" s="2957">
        <v>561013.61190000002</v>
      </c>
      <c r="I157" s="2958"/>
    </row>
    <row r="158" spans="1:9">
      <c r="A158" s="2953">
        <v>155</v>
      </c>
      <c r="B158" s="2954" t="s">
        <v>3058</v>
      </c>
      <c r="C158" s="2954" t="s">
        <v>3059</v>
      </c>
      <c r="D158" s="2968" t="s">
        <v>3215</v>
      </c>
      <c r="E158" s="2969">
        <v>24.78</v>
      </c>
      <c r="F158" s="2955" t="s">
        <v>3061</v>
      </c>
      <c r="G158" s="2956">
        <v>20245.89</v>
      </c>
      <c r="H158" s="2957">
        <v>501693.15419999999</v>
      </c>
      <c r="I158" s="2958"/>
    </row>
    <row r="159" spans="1:9">
      <c r="A159" s="2953">
        <v>156</v>
      </c>
      <c r="B159" s="2954" t="s">
        <v>3058</v>
      </c>
      <c r="C159" s="2954" t="s">
        <v>3059</v>
      </c>
      <c r="D159" s="2968" t="s">
        <v>3216</v>
      </c>
      <c r="E159" s="2969">
        <v>26.94</v>
      </c>
      <c r="F159" s="2955" t="s">
        <v>3061</v>
      </c>
      <c r="G159" s="2956">
        <v>20245.89</v>
      </c>
      <c r="H159" s="2957">
        <v>545424.27659999998</v>
      </c>
      <c r="I159" s="2958"/>
    </row>
    <row r="160" spans="1:9">
      <c r="A160" s="2953">
        <v>157</v>
      </c>
      <c r="B160" s="2954" t="s">
        <v>3058</v>
      </c>
      <c r="C160" s="2954" t="s">
        <v>3059</v>
      </c>
      <c r="D160" s="2968" t="s">
        <v>3217</v>
      </c>
      <c r="E160" s="2969">
        <v>31.24</v>
      </c>
      <c r="F160" s="2955" t="s">
        <v>3061</v>
      </c>
      <c r="G160" s="2956">
        <v>20245.89</v>
      </c>
      <c r="H160" s="2957">
        <v>632481.60359999991</v>
      </c>
      <c r="I160" s="2958"/>
    </row>
    <row r="161" spans="1:9">
      <c r="A161" s="2953">
        <v>158</v>
      </c>
      <c r="B161" s="2954" t="s">
        <v>3058</v>
      </c>
      <c r="C161" s="2954" t="s">
        <v>3059</v>
      </c>
      <c r="D161" s="2968" t="s">
        <v>3218</v>
      </c>
      <c r="E161" s="2969">
        <v>26.17</v>
      </c>
      <c r="F161" s="2955" t="s">
        <v>3061</v>
      </c>
      <c r="G161" s="2956">
        <v>20245.89</v>
      </c>
      <c r="H161" s="2957">
        <v>529834.94130000006</v>
      </c>
      <c r="I161" s="2958"/>
    </row>
    <row r="162" spans="1:9">
      <c r="A162" s="2953">
        <v>159</v>
      </c>
      <c r="B162" s="2954" t="s">
        <v>3058</v>
      </c>
      <c r="C162" s="2954" t="s">
        <v>3059</v>
      </c>
      <c r="D162" s="2968" t="s">
        <v>3219</v>
      </c>
      <c r="E162" s="2969">
        <v>29.25</v>
      </c>
      <c r="F162" s="2955" t="s">
        <v>3061</v>
      </c>
      <c r="G162" s="2956">
        <v>20245.89</v>
      </c>
      <c r="H162" s="2957">
        <v>592192.28249999997</v>
      </c>
      <c r="I162" s="2958"/>
    </row>
    <row r="163" spans="1:9">
      <c r="A163" s="2953">
        <v>160</v>
      </c>
      <c r="B163" s="2954" t="s">
        <v>3058</v>
      </c>
      <c r="C163" s="2954" t="s">
        <v>3059</v>
      </c>
      <c r="D163" s="2968" t="s">
        <v>3220</v>
      </c>
      <c r="E163" s="2969">
        <v>36.81</v>
      </c>
      <c r="F163" s="2955" t="s">
        <v>3061</v>
      </c>
      <c r="G163" s="2956">
        <v>20245.89</v>
      </c>
      <c r="H163" s="2957">
        <v>745251.21090000006</v>
      </c>
      <c r="I163" s="2958"/>
    </row>
    <row r="164" spans="1:9">
      <c r="A164" s="2953">
        <v>161</v>
      </c>
      <c r="B164" s="2954" t="s">
        <v>3058</v>
      </c>
      <c r="C164" s="2954" t="s">
        <v>3059</v>
      </c>
      <c r="D164" s="2968" t="s">
        <v>3221</v>
      </c>
      <c r="E164" s="2969">
        <v>36.81</v>
      </c>
      <c r="F164" s="2955" t="s">
        <v>3061</v>
      </c>
      <c r="G164" s="2956">
        <v>20245.89</v>
      </c>
      <c r="H164" s="2957">
        <v>745251.21090000006</v>
      </c>
      <c r="I164" s="2958"/>
    </row>
    <row r="165" spans="1:9">
      <c r="A165" s="2953">
        <v>162</v>
      </c>
      <c r="B165" s="2954" t="s">
        <v>3058</v>
      </c>
      <c r="C165" s="2954" t="s">
        <v>3059</v>
      </c>
      <c r="D165" s="2968" t="s">
        <v>3222</v>
      </c>
      <c r="E165" s="2969">
        <v>26.83</v>
      </c>
      <c r="F165" s="2955" t="s">
        <v>3061</v>
      </c>
      <c r="G165" s="2956">
        <v>20245.89</v>
      </c>
      <c r="H165" s="2957">
        <v>543197.22869999998</v>
      </c>
      <c r="I165" s="2958"/>
    </row>
    <row r="166" spans="1:9">
      <c r="A166" s="2953">
        <v>163</v>
      </c>
      <c r="B166" s="2954" t="s">
        <v>3058</v>
      </c>
      <c r="C166" s="2954" t="s">
        <v>3059</v>
      </c>
      <c r="D166" s="2968" t="s">
        <v>3223</v>
      </c>
      <c r="E166" s="2969">
        <v>29.99</v>
      </c>
      <c r="F166" s="2955" t="s">
        <v>3061</v>
      </c>
      <c r="G166" s="2956">
        <v>20245.89</v>
      </c>
      <c r="H166" s="2957">
        <v>607174.24109999998</v>
      </c>
      <c r="I166" s="2958"/>
    </row>
    <row r="167" spans="1:9">
      <c r="A167" s="2953">
        <v>164</v>
      </c>
      <c r="B167" s="2954" t="s">
        <v>3058</v>
      </c>
      <c r="C167" s="2954" t="s">
        <v>3059</v>
      </c>
      <c r="D167" s="2968" t="s">
        <v>3224</v>
      </c>
      <c r="E167" s="2969">
        <v>26.83</v>
      </c>
      <c r="F167" s="2955" t="s">
        <v>3061</v>
      </c>
      <c r="G167" s="2956">
        <v>20245.89</v>
      </c>
      <c r="H167" s="2957">
        <v>543197.22869999998</v>
      </c>
      <c r="I167" s="2958"/>
    </row>
    <row r="168" spans="1:9">
      <c r="A168" s="2953">
        <v>165</v>
      </c>
      <c r="B168" s="2954" t="s">
        <v>3058</v>
      </c>
      <c r="C168" s="2954" t="s">
        <v>3059</v>
      </c>
      <c r="D168" s="2968" t="s">
        <v>3225</v>
      </c>
      <c r="E168" s="2969">
        <v>29.99</v>
      </c>
      <c r="F168" s="2955" t="s">
        <v>3061</v>
      </c>
      <c r="G168" s="2956">
        <v>20245.89</v>
      </c>
      <c r="H168" s="2957">
        <v>607174.24109999998</v>
      </c>
      <c r="I168" s="2958"/>
    </row>
    <row r="169" spans="1:9">
      <c r="A169" s="2953">
        <v>166</v>
      </c>
      <c r="B169" s="2954" t="s">
        <v>3058</v>
      </c>
      <c r="C169" s="2954" t="s">
        <v>3059</v>
      </c>
      <c r="D169" s="2968" t="s">
        <v>3226</v>
      </c>
      <c r="E169" s="2969">
        <v>38.869999999999997</v>
      </c>
      <c r="F169" s="2955" t="s">
        <v>3061</v>
      </c>
      <c r="G169" s="2956">
        <v>20245.89</v>
      </c>
      <c r="H169" s="2957">
        <v>786957.7442999999</v>
      </c>
      <c r="I169" s="2958"/>
    </row>
    <row r="170" spans="1:9">
      <c r="A170" s="2953">
        <v>167</v>
      </c>
      <c r="B170" s="2954" t="s">
        <v>3058</v>
      </c>
      <c r="C170" s="2954" t="s">
        <v>3059</v>
      </c>
      <c r="D170" s="2968" t="s">
        <v>3227</v>
      </c>
      <c r="E170" s="2969">
        <v>55.72</v>
      </c>
      <c r="F170" s="2955" t="s">
        <v>3061</v>
      </c>
      <c r="G170" s="2956">
        <v>20245.89</v>
      </c>
      <c r="H170" s="2957">
        <v>1128100.9908</v>
      </c>
      <c r="I170" s="2958"/>
    </row>
    <row r="171" spans="1:9">
      <c r="A171" s="2953">
        <v>168</v>
      </c>
      <c r="B171" s="2954" t="s">
        <v>3058</v>
      </c>
      <c r="C171" s="2954" t="s">
        <v>3059</v>
      </c>
      <c r="D171" s="2968" t="s">
        <v>3228</v>
      </c>
      <c r="E171" s="2969">
        <v>19.350000000000001</v>
      </c>
      <c r="F171" s="2955" t="s">
        <v>3061</v>
      </c>
      <c r="G171" s="2956">
        <v>20245.89</v>
      </c>
      <c r="H171" s="2957">
        <v>391757.97150000004</v>
      </c>
      <c r="I171" s="2958"/>
    </row>
    <row r="172" spans="1:9">
      <c r="A172" s="2953">
        <v>169</v>
      </c>
      <c r="B172" s="2954" t="s">
        <v>3058</v>
      </c>
      <c r="C172" s="2954" t="s">
        <v>3059</v>
      </c>
      <c r="D172" s="2968" t="s">
        <v>3229</v>
      </c>
      <c r="E172" s="2969">
        <v>31.28</v>
      </c>
      <c r="F172" s="2955" t="s">
        <v>3061</v>
      </c>
      <c r="G172" s="2956">
        <v>20245.89</v>
      </c>
      <c r="H172" s="2957">
        <v>633291.43920000002</v>
      </c>
      <c r="I172" s="2958"/>
    </row>
    <row r="173" spans="1:9">
      <c r="A173" s="2953">
        <v>170</v>
      </c>
      <c r="B173" s="2954" t="s">
        <v>3058</v>
      </c>
      <c r="C173" s="2954" t="s">
        <v>3059</v>
      </c>
      <c r="D173" s="2968" t="s">
        <v>3230</v>
      </c>
      <c r="E173" s="2969">
        <v>26.68</v>
      </c>
      <c r="F173" s="2955" t="s">
        <v>3061</v>
      </c>
      <c r="G173" s="2956">
        <v>20245.89</v>
      </c>
      <c r="H173" s="2957">
        <v>540160.34519999998</v>
      </c>
      <c r="I173" s="2958"/>
    </row>
    <row r="174" spans="1:9">
      <c r="A174" s="2953">
        <v>171</v>
      </c>
      <c r="B174" s="2954" t="s">
        <v>3058</v>
      </c>
      <c r="C174" s="2954" t="s">
        <v>3059</v>
      </c>
      <c r="D174" s="2968" t="s">
        <v>3231</v>
      </c>
      <c r="E174" s="2969">
        <v>31.49</v>
      </c>
      <c r="F174" s="2955" t="s">
        <v>3061</v>
      </c>
      <c r="G174" s="2956">
        <v>20245.89</v>
      </c>
      <c r="H174" s="2957">
        <v>637543.07609999995</v>
      </c>
      <c r="I174" s="2958"/>
    </row>
    <row r="175" spans="1:9">
      <c r="A175" s="2953">
        <v>172</v>
      </c>
      <c r="B175" s="2955" t="s">
        <v>3058</v>
      </c>
      <c r="C175" s="2955" t="s">
        <v>3059</v>
      </c>
      <c r="D175" s="2984" t="s">
        <v>3232</v>
      </c>
      <c r="E175" s="2985">
        <v>50.36</v>
      </c>
      <c r="F175" s="2955" t="s">
        <v>3061</v>
      </c>
      <c r="G175" s="2956">
        <v>20245.89</v>
      </c>
      <c r="H175" s="2957">
        <v>1019583.0203999999</v>
      </c>
      <c r="I175" s="2958"/>
    </row>
    <row r="176" spans="1:9">
      <c r="A176" s="2953">
        <v>173</v>
      </c>
      <c r="B176" s="2954" t="s">
        <v>3058</v>
      </c>
      <c r="C176" s="2954" t="s">
        <v>3059</v>
      </c>
      <c r="D176" s="2974" t="s">
        <v>3233</v>
      </c>
      <c r="E176" s="2975">
        <v>34.340000000000003</v>
      </c>
      <c r="F176" s="2955" t="s">
        <v>3061</v>
      </c>
      <c r="G176" s="2956">
        <v>20245.89</v>
      </c>
      <c r="H176" s="2957">
        <v>695243.86259999999</v>
      </c>
      <c r="I176" s="2958"/>
    </row>
    <row r="177" spans="1:9">
      <c r="A177" s="2953">
        <v>174</v>
      </c>
      <c r="B177" s="2954" t="s">
        <v>3058</v>
      </c>
      <c r="C177" s="2954" t="s">
        <v>3059</v>
      </c>
      <c r="D177" s="2974" t="s">
        <v>3234</v>
      </c>
      <c r="E177" s="2975">
        <v>33.56</v>
      </c>
      <c r="F177" s="2955" t="s">
        <v>3061</v>
      </c>
      <c r="G177" s="2956">
        <v>20245.89</v>
      </c>
      <c r="H177" s="2957">
        <v>679452.06839999999</v>
      </c>
      <c r="I177" s="2958"/>
    </row>
    <row r="178" spans="1:9">
      <c r="A178" s="2953">
        <v>175</v>
      </c>
      <c r="B178" s="2954" t="s">
        <v>3058</v>
      </c>
      <c r="C178" s="2954" t="s">
        <v>3059</v>
      </c>
      <c r="D178" s="2974" t="s">
        <v>3235</v>
      </c>
      <c r="E178" s="2975">
        <v>35.840000000000003</v>
      </c>
      <c r="F178" s="2955" t="s">
        <v>3061</v>
      </c>
      <c r="G178" s="2956">
        <v>20245.89</v>
      </c>
      <c r="H178" s="2957">
        <v>725612.69760000007</v>
      </c>
      <c r="I178" s="2958"/>
    </row>
    <row r="179" spans="1:9">
      <c r="A179" s="2953">
        <v>176</v>
      </c>
      <c r="B179" s="2954" t="s">
        <v>3058</v>
      </c>
      <c r="C179" s="2954" t="s">
        <v>3059</v>
      </c>
      <c r="D179" s="2974" t="s">
        <v>3236</v>
      </c>
      <c r="E179" s="2975">
        <v>42.11</v>
      </c>
      <c r="F179" s="2955" t="s">
        <v>3061</v>
      </c>
      <c r="G179" s="2956">
        <v>20245.89</v>
      </c>
      <c r="H179" s="2957">
        <v>852554.42790000001</v>
      </c>
      <c r="I179" s="2958"/>
    </row>
    <row r="180" spans="1:9">
      <c r="A180" s="2953">
        <v>177</v>
      </c>
      <c r="B180" s="2954" t="s">
        <v>3058</v>
      </c>
      <c r="C180" s="2954" t="s">
        <v>3059</v>
      </c>
      <c r="D180" s="2974" t="s">
        <v>3237</v>
      </c>
      <c r="E180" s="2975">
        <v>39.57</v>
      </c>
      <c r="F180" s="2955" t="s">
        <v>3061</v>
      </c>
      <c r="G180" s="2956">
        <v>20245.89</v>
      </c>
      <c r="H180" s="2957">
        <v>801129.86729999993</v>
      </c>
      <c r="I180" s="2958"/>
    </row>
    <row r="181" spans="1:9">
      <c r="A181" s="2953">
        <v>178</v>
      </c>
      <c r="B181" s="2954" t="s">
        <v>3058</v>
      </c>
      <c r="C181" s="2954" t="s">
        <v>3059</v>
      </c>
      <c r="D181" s="2974" t="s">
        <v>3238</v>
      </c>
      <c r="E181" s="2975">
        <v>33.56</v>
      </c>
      <c r="F181" s="2955" t="s">
        <v>3061</v>
      </c>
      <c r="G181" s="2956">
        <v>20245.89</v>
      </c>
      <c r="H181" s="2957">
        <v>679452.06839999999</v>
      </c>
      <c r="I181" s="2958"/>
    </row>
    <row r="182" spans="1:9">
      <c r="A182" s="2953">
        <v>179</v>
      </c>
      <c r="B182" s="2954" t="s">
        <v>3058</v>
      </c>
      <c r="C182" s="2954" t="s">
        <v>3059</v>
      </c>
      <c r="D182" s="2974" t="s">
        <v>3239</v>
      </c>
      <c r="E182" s="2975">
        <v>35.840000000000003</v>
      </c>
      <c r="F182" s="2955" t="s">
        <v>3061</v>
      </c>
      <c r="G182" s="2956">
        <v>20245.89</v>
      </c>
      <c r="H182" s="2957">
        <v>725612.69760000007</v>
      </c>
      <c r="I182" s="2958"/>
    </row>
    <row r="183" spans="1:9">
      <c r="A183" s="2953">
        <v>180</v>
      </c>
      <c r="B183" s="2954" t="s">
        <v>3058</v>
      </c>
      <c r="C183" s="2954" t="s">
        <v>3059</v>
      </c>
      <c r="D183" s="2974" t="s">
        <v>3240</v>
      </c>
      <c r="E183" s="2975">
        <v>24.42</v>
      </c>
      <c r="F183" s="2955" t="s">
        <v>3061</v>
      </c>
      <c r="G183" s="2956">
        <v>20245.89</v>
      </c>
      <c r="H183" s="2957">
        <v>494404.63380000001</v>
      </c>
      <c r="I183" s="2958"/>
    </row>
    <row r="184" spans="1:9">
      <c r="A184" s="2953">
        <v>181</v>
      </c>
      <c r="B184" s="2954" t="s">
        <v>3058</v>
      </c>
      <c r="C184" s="2954" t="s">
        <v>3059</v>
      </c>
      <c r="D184" s="2974" t="s">
        <v>3241</v>
      </c>
      <c r="E184" s="2975">
        <v>47.07</v>
      </c>
      <c r="F184" s="2955" t="s">
        <v>3061</v>
      </c>
      <c r="G184" s="2956">
        <v>20245.89</v>
      </c>
      <c r="H184" s="2957">
        <v>952974.04229999997</v>
      </c>
      <c r="I184" s="2958"/>
    </row>
    <row r="185" spans="1:9">
      <c r="A185" s="2953">
        <v>182</v>
      </c>
      <c r="B185" s="2954" t="s">
        <v>3058</v>
      </c>
      <c r="C185" s="2954" t="s">
        <v>3059</v>
      </c>
      <c r="D185" s="2974" t="s">
        <v>3242</v>
      </c>
      <c r="E185" s="2975">
        <v>30.98</v>
      </c>
      <c r="F185" s="2955" t="s">
        <v>3061</v>
      </c>
      <c r="G185" s="2956">
        <v>20245.89</v>
      </c>
      <c r="H185" s="2957">
        <v>627217.67220000003</v>
      </c>
      <c r="I185" s="2958"/>
    </row>
    <row r="186" spans="1:9">
      <c r="A186" s="2953">
        <v>183</v>
      </c>
      <c r="B186" s="2954" t="s">
        <v>3058</v>
      </c>
      <c r="C186" s="2954" t="s">
        <v>3059</v>
      </c>
      <c r="D186" s="2974" t="s">
        <v>3243</v>
      </c>
      <c r="E186" s="2975">
        <v>24.69</v>
      </c>
      <c r="F186" s="2955" t="s">
        <v>3061</v>
      </c>
      <c r="G186" s="2956">
        <v>20245.89</v>
      </c>
      <c r="H186" s="2957">
        <v>499871.02410000004</v>
      </c>
      <c r="I186" s="2958"/>
    </row>
    <row r="187" spans="1:9">
      <c r="A187" s="2953">
        <v>184</v>
      </c>
      <c r="B187" s="2954" t="s">
        <v>3058</v>
      </c>
      <c r="C187" s="2954" t="s">
        <v>3059</v>
      </c>
      <c r="D187" s="2974" t="s">
        <v>3244</v>
      </c>
      <c r="E187" s="2975">
        <v>48.22</v>
      </c>
      <c r="F187" s="2955" t="s">
        <v>3061</v>
      </c>
      <c r="G187" s="2956">
        <v>20245.89</v>
      </c>
      <c r="H187" s="2957">
        <v>976256.81579999998</v>
      </c>
      <c r="I187" s="2958"/>
    </row>
    <row r="188" spans="1:9">
      <c r="A188" s="2953">
        <v>185</v>
      </c>
      <c r="B188" s="2955" t="s">
        <v>3058</v>
      </c>
      <c r="C188" s="2955" t="s">
        <v>3059</v>
      </c>
      <c r="D188" s="2984" t="s">
        <v>3245</v>
      </c>
      <c r="E188" s="2985">
        <v>31.17</v>
      </c>
      <c r="F188" s="2955" t="s">
        <v>3061</v>
      </c>
      <c r="G188" s="2956">
        <v>20245.89</v>
      </c>
      <c r="H188" s="2957">
        <v>631064.39130000002</v>
      </c>
      <c r="I188" s="2958"/>
    </row>
    <row r="189" spans="1:9">
      <c r="A189" s="2953">
        <v>186</v>
      </c>
      <c r="B189" s="2954" t="s">
        <v>3058</v>
      </c>
      <c r="C189" s="2954" t="s">
        <v>3059</v>
      </c>
      <c r="D189" s="2974" t="s">
        <v>3246</v>
      </c>
      <c r="E189" s="2975">
        <v>25.41</v>
      </c>
      <c r="F189" s="2955" t="s">
        <v>3061</v>
      </c>
      <c r="G189" s="2956">
        <v>20245.89</v>
      </c>
      <c r="H189" s="2957">
        <v>514448.0649</v>
      </c>
      <c r="I189" s="2958"/>
    </row>
    <row r="190" spans="1:9">
      <c r="A190" s="2953">
        <v>187</v>
      </c>
      <c r="B190" s="2954" t="s">
        <v>3058</v>
      </c>
      <c r="C190" s="2954" t="s">
        <v>3059</v>
      </c>
      <c r="D190" s="2974" t="s">
        <v>3247</v>
      </c>
      <c r="E190" s="2975">
        <v>25.41</v>
      </c>
      <c r="F190" s="2955" t="s">
        <v>3061</v>
      </c>
      <c r="G190" s="2956">
        <v>20245.89</v>
      </c>
      <c r="H190" s="2957">
        <v>514448.0649</v>
      </c>
      <c r="I190" s="2958"/>
    </row>
    <row r="191" spans="1:9">
      <c r="A191" s="2953">
        <v>188</v>
      </c>
      <c r="B191" s="2954" t="s">
        <v>3058</v>
      </c>
      <c r="C191" s="2954" t="s">
        <v>3059</v>
      </c>
      <c r="D191" s="2974" t="s">
        <v>3248</v>
      </c>
      <c r="E191" s="2975">
        <v>25.41</v>
      </c>
      <c r="F191" s="2955" t="s">
        <v>3061</v>
      </c>
      <c r="G191" s="2956">
        <v>20245.89</v>
      </c>
      <c r="H191" s="2957">
        <v>514448.0649</v>
      </c>
      <c r="I191" s="2958"/>
    </row>
    <row r="192" spans="1:9">
      <c r="A192" s="2953">
        <v>189</v>
      </c>
      <c r="B192" s="2954" t="s">
        <v>3058</v>
      </c>
      <c r="C192" s="2954" t="s">
        <v>3059</v>
      </c>
      <c r="D192" s="2974" t="s">
        <v>3249</v>
      </c>
      <c r="E192" s="2975">
        <v>27.12</v>
      </c>
      <c r="F192" s="2955" t="s">
        <v>3061</v>
      </c>
      <c r="G192" s="2956">
        <v>20245.89</v>
      </c>
      <c r="H192" s="2957">
        <v>549068.5368</v>
      </c>
      <c r="I192" s="2958"/>
    </row>
    <row r="193" spans="1:9">
      <c r="A193" s="2953">
        <v>190</v>
      </c>
      <c r="B193" s="2954" t="s">
        <v>3058</v>
      </c>
      <c r="C193" s="2954" t="s">
        <v>3059</v>
      </c>
      <c r="D193" s="2974" t="s">
        <v>3250</v>
      </c>
      <c r="E193" s="2975">
        <v>34.18</v>
      </c>
      <c r="F193" s="2955" t="s">
        <v>3061</v>
      </c>
      <c r="G193" s="2956">
        <v>20245.89</v>
      </c>
      <c r="H193" s="2957">
        <v>692004.52020000003</v>
      </c>
      <c r="I193" s="2958"/>
    </row>
    <row r="194" spans="1:9">
      <c r="A194" s="2953">
        <v>191</v>
      </c>
      <c r="B194" s="2954" t="s">
        <v>3058</v>
      </c>
      <c r="C194" s="2954" t="s">
        <v>3059</v>
      </c>
      <c r="D194" s="2974" t="s">
        <v>3251</v>
      </c>
      <c r="E194" s="2975">
        <v>30.77</v>
      </c>
      <c r="F194" s="2955" t="s">
        <v>3061</v>
      </c>
      <c r="G194" s="2956">
        <v>20245.89</v>
      </c>
      <c r="H194" s="2957">
        <v>622966.03529999999</v>
      </c>
      <c r="I194" s="2958"/>
    </row>
    <row r="195" spans="1:9">
      <c r="A195" s="2953">
        <v>192</v>
      </c>
      <c r="B195" s="2954" t="s">
        <v>3058</v>
      </c>
      <c r="C195" s="2954" t="s">
        <v>3059</v>
      </c>
      <c r="D195" s="2974" t="s">
        <v>3252</v>
      </c>
      <c r="E195" s="2975">
        <v>28.29</v>
      </c>
      <c r="F195" s="2955" t="s">
        <v>3061</v>
      </c>
      <c r="G195" s="2956">
        <v>20245.89</v>
      </c>
      <c r="H195" s="2957">
        <v>572756.22809999995</v>
      </c>
      <c r="I195" s="2958"/>
    </row>
    <row r="196" spans="1:9">
      <c r="A196" s="2953">
        <v>193</v>
      </c>
      <c r="B196" s="2954" t="s">
        <v>3058</v>
      </c>
      <c r="C196" s="2954" t="s">
        <v>3059</v>
      </c>
      <c r="D196" s="2974" t="s">
        <v>3253</v>
      </c>
      <c r="E196" s="2975">
        <v>30.94</v>
      </c>
      <c r="F196" s="2955" t="s">
        <v>3061</v>
      </c>
      <c r="G196" s="2956">
        <v>20245.89</v>
      </c>
      <c r="H196" s="2957">
        <v>626407.83660000004</v>
      </c>
      <c r="I196" s="2958"/>
    </row>
    <row r="197" spans="1:9">
      <c r="A197" s="2953">
        <v>194</v>
      </c>
      <c r="B197" s="2954" t="s">
        <v>3058</v>
      </c>
      <c r="C197" s="2954" t="s">
        <v>3059</v>
      </c>
      <c r="D197" s="2974" t="s">
        <v>3254</v>
      </c>
      <c r="E197" s="2975">
        <v>23.33</v>
      </c>
      <c r="F197" s="2955" t="s">
        <v>3061</v>
      </c>
      <c r="G197" s="2956">
        <v>20245.89</v>
      </c>
      <c r="H197" s="2957">
        <v>472336.61369999993</v>
      </c>
      <c r="I197" s="2958"/>
    </row>
    <row r="198" spans="1:9">
      <c r="A198" s="2953">
        <v>195</v>
      </c>
      <c r="B198" s="2954" t="s">
        <v>3058</v>
      </c>
      <c r="C198" s="2954" t="s">
        <v>3059</v>
      </c>
      <c r="D198" s="2974" t="s">
        <v>3255</v>
      </c>
      <c r="E198" s="2975">
        <v>34.74</v>
      </c>
      <c r="F198" s="2955" t="s">
        <v>3061</v>
      </c>
      <c r="G198" s="2956">
        <v>20245.89</v>
      </c>
      <c r="H198" s="2957">
        <v>703342.21860000002</v>
      </c>
      <c r="I198" s="2958"/>
    </row>
    <row r="199" spans="1:9">
      <c r="A199" s="2953">
        <v>196</v>
      </c>
      <c r="B199" s="2954" t="s">
        <v>3058</v>
      </c>
      <c r="C199" s="2954" t="s">
        <v>3059</v>
      </c>
      <c r="D199" s="2967" t="s">
        <v>3256</v>
      </c>
      <c r="E199" s="2967">
        <v>14.23</v>
      </c>
      <c r="F199" s="2955" t="s">
        <v>3061</v>
      </c>
      <c r="G199" s="2959">
        <v>20245.89</v>
      </c>
      <c r="H199" s="2957">
        <v>288099.0147</v>
      </c>
      <c r="I199" s="2953"/>
    </row>
    <row r="200" spans="1:9">
      <c r="A200" s="2953">
        <v>197</v>
      </c>
      <c r="B200" s="2954" t="s">
        <v>3058</v>
      </c>
      <c r="C200" s="2954" t="s">
        <v>3059</v>
      </c>
      <c r="D200" s="2967" t="s">
        <v>3257</v>
      </c>
      <c r="E200" s="2967">
        <v>32.92</v>
      </c>
      <c r="F200" s="2955" t="s">
        <v>3061</v>
      </c>
      <c r="G200" s="2959">
        <v>20245.89</v>
      </c>
      <c r="H200" s="2957">
        <v>666494.69880000001</v>
      </c>
      <c r="I200" s="2953"/>
    </row>
    <row r="201" spans="1:9">
      <c r="A201" s="2953">
        <v>198</v>
      </c>
      <c r="B201" s="2954" t="s">
        <v>3058</v>
      </c>
      <c r="C201" s="2954" t="s">
        <v>3059</v>
      </c>
      <c r="D201" s="2967" t="s">
        <v>3258</v>
      </c>
      <c r="E201" s="2967">
        <v>19.399999999999999</v>
      </c>
      <c r="F201" s="2955" t="s">
        <v>3061</v>
      </c>
      <c r="G201" s="2959">
        <v>20245.89</v>
      </c>
      <c r="H201" s="2957">
        <v>392770.26599999995</v>
      </c>
      <c r="I201" s="2953"/>
    </row>
    <row r="202" spans="1:9">
      <c r="A202" s="2953">
        <v>199</v>
      </c>
      <c r="B202" s="2954" t="s">
        <v>3058</v>
      </c>
      <c r="C202" s="2954" t="s">
        <v>3059</v>
      </c>
      <c r="D202" s="2967" t="s">
        <v>3259</v>
      </c>
      <c r="E202" s="2967">
        <v>34.03</v>
      </c>
      <c r="F202" s="2955" t="s">
        <v>3061</v>
      </c>
      <c r="G202" s="2959">
        <v>20245.89</v>
      </c>
      <c r="H202" s="2957">
        <v>688967.63670000003</v>
      </c>
      <c r="I202" s="2953"/>
    </row>
    <row r="203" spans="1:9">
      <c r="A203" s="2953">
        <v>200</v>
      </c>
      <c r="B203" s="2954" t="s">
        <v>3058</v>
      </c>
      <c r="C203" s="2954" t="s">
        <v>3059</v>
      </c>
      <c r="D203" s="2969" t="s">
        <v>3260</v>
      </c>
      <c r="E203" s="2969">
        <v>36.11</v>
      </c>
      <c r="F203" s="2955" t="s">
        <v>3061</v>
      </c>
      <c r="G203" s="2959">
        <v>20245.89</v>
      </c>
      <c r="H203" s="2957">
        <v>731079.08789999993</v>
      </c>
      <c r="I203" s="2953"/>
    </row>
    <row r="204" spans="1:9">
      <c r="A204" s="2953">
        <v>201</v>
      </c>
      <c r="B204" s="2954" t="s">
        <v>3058</v>
      </c>
      <c r="C204" s="2954" t="s">
        <v>3059</v>
      </c>
      <c r="D204" s="2969" t="s">
        <v>3261</v>
      </c>
      <c r="E204" s="2969">
        <v>54.32</v>
      </c>
      <c r="F204" s="2955" t="s">
        <v>3061</v>
      </c>
      <c r="G204" s="2959">
        <v>20245.89</v>
      </c>
      <c r="H204" s="2957">
        <v>1099756.7448</v>
      </c>
      <c r="I204" s="2953"/>
    </row>
    <row r="205" spans="1:9">
      <c r="A205" s="2953">
        <v>202</v>
      </c>
      <c r="B205" s="2954" t="s">
        <v>3058</v>
      </c>
      <c r="C205" s="2954" t="s">
        <v>3059</v>
      </c>
      <c r="D205" s="2969" t="s">
        <v>3262</v>
      </c>
      <c r="E205" s="2969">
        <v>27.71</v>
      </c>
      <c r="F205" s="2955" t="s">
        <v>3061</v>
      </c>
      <c r="G205" s="2959">
        <v>20245.89</v>
      </c>
      <c r="H205" s="2957">
        <v>561013.61190000002</v>
      </c>
      <c r="I205" s="2953"/>
    </row>
    <row r="206" spans="1:9">
      <c r="A206" s="2953">
        <v>203</v>
      </c>
      <c r="B206" s="2954" t="s">
        <v>3058</v>
      </c>
      <c r="C206" s="2954" t="s">
        <v>3059</v>
      </c>
      <c r="D206" s="2969" t="s">
        <v>3263</v>
      </c>
      <c r="E206" s="2969">
        <v>58.85</v>
      </c>
      <c r="F206" s="2955" t="s">
        <v>3061</v>
      </c>
      <c r="G206" s="2959">
        <v>20245.89</v>
      </c>
      <c r="H206" s="2957">
        <v>1191470.6265</v>
      </c>
      <c r="I206" s="2953"/>
    </row>
    <row r="207" spans="1:9">
      <c r="A207" s="2953">
        <v>204</v>
      </c>
      <c r="B207" s="2954" t="s">
        <v>3058</v>
      </c>
      <c r="C207" s="2954" t="s">
        <v>3059</v>
      </c>
      <c r="D207" s="2969" t="s">
        <v>3264</v>
      </c>
      <c r="E207" s="2969">
        <v>26.17</v>
      </c>
      <c r="F207" s="2955" t="s">
        <v>3061</v>
      </c>
      <c r="G207" s="2959">
        <v>20245.89</v>
      </c>
      <c r="H207" s="2957">
        <v>529834.94130000006</v>
      </c>
      <c r="I207" s="2953"/>
    </row>
    <row r="208" spans="1:9">
      <c r="A208" s="2953">
        <v>205</v>
      </c>
      <c r="B208" s="2954" t="s">
        <v>3058</v>
      </c>
      <c r="C208" s="2954" t="s">
        <v>3059</v>
      </c>
      <c r="D208" s="2975" t="s">
        <v>3265</v>
      </c>
      <c r="E208" s="2975">
        <v>47.01</v>
      </c>
      <c r="F208" s="2955" t="s">
        <v>3061</v>
      </c>
      <c r="G208" s="2959">
        <v>20245.89</v>
      </c>
      <c r="H208" s="2957">
        <v>951759.28889999993</v>
      </c>
      <c r="I208" s="2953"/>
    </row>
    <row r="209" spans="1:9">
      <c r="A209" s="2953">
        <v>206</v>
      </c>
      <c r="B209" s="2954" t="s">
        <v>3058</v>
      </c>
      <c r="C209" s="2954" t="s">
        <v>3059</v>
      </c>
      <c r="D209" s="2975" t="s">
        <v>3266</v>
      </c>
      <c r="E209" s="2975">
        <v>43.23</v>
      </c>
      <c r="F209" s="2955" t="s">
        <v>3061</v>
      </c>
      <c r="G209" s="2959">
        <v>20245.89</v>
      </c>
      <c r="H209" s="2957">
        <v>875229.82469999988</v>
      </c>
      <c r="I209" s="2953"/>
    </row>
    <row r="210" spans="1:9">
      <c r="A210" s="2953">
        <v>207</v>
      </c>
      <c r="B210" s="2954" t="s">
        <v>3058</v>
      </c>
      <c r="C210" s="2954" t="s">
        <v>3059</v>
      </c>
      <c r="D210" s="2975" t="s">
        <v>3267</v>
      </c>
      <c r="E210" s="2975">
        <v>26.77</v>
      </c>
      <c r="F210" s="2955" t="s">
        <v>3061</v>
      </c>
      <c r="G210" s="2959">
        <v>20245.89</v>
      </c>
      <c r="H210" s="2957">
        <v>541982.47529999993</v>
      </c>
      <c r="I210" s="2953"/>
    </row>
    <row r="211" spans="1:9">
      <c r="A211" s="2953">
        <v>208</v>
      </c>
      <c r="B211" s="2954" t="s">
        <v>3058</v>
      </c>
      <c r="C211" s="2954" t="s">
        <v>3059</v>
      </c>
      <c r="D211" s="2975" t="s">
        <v>3268</v>
      </c>
      <c r="E211" s="2975">
        <v>26.77</v>
      </c>
      <c r="F211" s="2955" t="s">
        <v>3061</v>
      </c>
      <c r="G211" s="2959">
        <v>20245.89</v>
      </c>
      <c r="H211" s="2957">
        <v>541982.47529999993</v>
      </c>
      <c r="I211" s="2953"/>
    </row>
    <row r="212" spans="1:9">
      <c r="A212" s="2953">
        <v>209</v>
      </c>
      <c r="B212" s="2954" t="s">
        <v>3058</v>
      </c>
      <c r="C212" s="2954" t="s">
        <v>3059</v>
      </c>
      <c r="D212" s="2975" t="s">
        <v>3269</v>
      </c>
      <c r="E212" s="2975">
        <v>26.77</v>
      </c>
      <c r="F212" s="2955" t="s">
        <v>3061</v>
      </c>
      <c r="G212" s="2959">
        <v>20245.89</v>
      </c>
      <c r="H212" s="2957">
        <v>541982.47529999993</v>
      </c>
      <c r="I212" s="2953"/>
    </row>
    <row r="213" spans="1:9">
      <c r="A213" s="2953">
        <v>210</v>
      </c>
      <c r="B213" s="2954" t="s">
        <v>3058</v>
      </c>
      <c r="C213" s="2954" t="s">
        <v>3059</v>
      </c>
      <c r="D213" s="2975" t="s">
        <v>3270</v>
      </c>
      <c r="E213" s="2975">
        <v>23.15</v>
      </c>
      <c r="F213" s="2955" t="s">
        <v>3061</v>
      </c>
      <c r="G213" s="2959">
        <v>20245.89</v>
      </c>
      <c r="H213" s="2957">
        <v>468692.35349999997</v>
      </c>
      <c r="I213" s="2953"/>
    </row>
    <row r="214" spans="1:9">
      <c r="A214" s="2953">
        <v>211</v>
      </c>
      <c r="B214" s="2954" t="s">
        <v>3058</v>
      </c>
      <c r="C214" s="2954" t="s">
        <v>3059</v>
      </c>
      <c r="D214" s="2975" t="s">
        <v>3271</v>
      </c>
      <c r="E214" s="2975">
        <v>25.41</v>
      </c>
      <c r="F214" s="2955" t="s">
        <v>3061</v>
      </c>
      <c r="G214" s="2959">
        <v>20245.89</v>
      </c>
      <c r="H214" s="2957">
        <v>514448.0649</v>
      </c>
      <c r="I214" s="2953"/>
    </row>
    <row r="215" spans="1:9">
      <c r="A215" s="2953">
        <v>212</v>
      </c>
      <c r="B215" s="2954" t="s">
        <v>3058</v>
      </c>
      <c r="C215" s="2954" t="s">
        <v>3059</v>
      </c>
      <c r="D215" s="2975" t="s">
        <v>3272</v>
      </c>
      <c r="E215" s="2975">
        <v>25.41</v>
      </c>
      <c r="F215" s="2955" t="s">
        <v>3061</v>
      </c>
      <c r="G215" s="2959">
        <v>20245.89</v>
      </c>
      <c r="H215" s="2957">
        <v>514448.0649</v>
      </c>
      <c r="I215" s="2953"/>
    </row>
    <row r="216" spans="1:9">
      <c r="A216" s="2953">
        <v>213</v>
      </c>
      <c r="B216" s="2954" t="s">
        <v>3058</v>
      </c>
      <c r="C216" s="2954" t="s">
        <v>3059</v>
      </c>
      <c r="D216" s="2975" t="s">
        <v>3273</v>
      </c>
      <c r="E216" s="2975">
        <v>25.41</v>
      </c>
      <c r="F216" s="2955" t="s">
        <v>3061</v>
      </c>
      <c r="G216" s="2959">
        <v>20245.89</v>
      </c>
      <c r="H216" s="2957">
        <v>514448.0649</v>
      </c>
      <c r="I216" s="2953"/>
    </row>
    <row r="217" spans="1:9">
      <c r="A217" s="2953">
        <v>214</v>
      </c>
      <c r="B217" s="2954" t="s">
        <v>3058</v>
      </c>
      <c r="C217" s="2954" t="s">
        <v>3059</v>
      </c>
      <c r="D217" s="2975" t="s">
        <v>3274</v>
      </c>
      <c r="E217" s="2975">
        <v>25.41</v>
      </c>
      <c r="F217" s="2955" t="s">
        <v>3061</v>
      </c>
      <c r="G217" s="2959">
        <v>20245.89</v>
      </c>
      <c r="H217" s="2957">
        <v>514448.0649</v>
      </c>
      <c r="I217" s="2953"/>
    </row>
    <row r="218" spans="1:9">
      <c r="A218" s="2953">
        <v>215</v>
      </c>
      <c r="B218" s="2954" t="s">
        <v>3058</v>
      </c>
      <c r="C218" s="2954" t="s">
        <v>3059</v>
      </c>
      <c r="D218" s="2975" t="s">
        <v>3275</v>
      </c>
      <c r="E218" s="2975">
        <v>25.41</v>
      </c>
      <c r="F218" s="2955" t="s">
        <v>3061</v>
      </c>
      <c r="G218" s="2959">
        <v>20245.89</v>
      </c>
      <c r="H218" s="2957">
        <v>514448.0649</v>
      </c>
      <c r="I218" s="2953"/>
    </row>
    <row r="219" spans="1:9">
      <c r="A219" s="2953">
        <v>216</v>
      </c>
      <c r="B219" s="2954" t="s">
        <v>3058</v>
      </c>
      <c r="C219" s="2954" t="s">
        <v>3059</v>
      </c>
      <c r="D219" s="2977" t="s">
        <v>3276</v>
      </c>
      <c r="E219" s="2978">
        <v>35.69</v>
      </c>
      <c r="F219" s="2955" t="s">
        <v>3061</v>
      </c>
      <c r="G219" s="2959">
        <v>20245.89</v>
      </c>
      <c r="H219" s="2957">
        <v>722575.81409999996</v>
      </c>
      <c r="I219" s="2953"/>
    </row>
    <row r="220" spans="1:9">
      <c r="A220" s="2953">
        <v>217</v>
      </c>
      <c r="B220" s="2954" t="s">
        <v>3058</v>
      </c>
      <c r="C220" s="2954" t="s">
        <v>3059</v>
      </c>
      <c r="D220" s="2977" t="s">
        <v>3277</v>
      </c>
      <c r="E220" s="2978">
        <v>24.9</v>
      </c>
      <c r="F220" s="2955" t="s">
        <v>3061</v>
      </c>
      <c r="G220" s="2959">
        <v>20245.89</v>
      </c>
      <c r="H220" s="2957">
        <v>504122.66099999996</v>
      </c>
      <c r="I220" s="2953"/>
    </row>
    <row r="221" spans="1:9">
      <c r="A221" s="2953">
        <v>218</v>
      </c>
      <c r="B221" s="2954" t="s">
        <v>3058</v>
      </c>
      <c r="C221" s="2954" t="s">
        <v>3059</v>
      </c>
      <c r="D221" s="2977" t="s">
        <v>3278</v>
      </c>
      <c r="E221" s="2978">
        <v>24.9</v>
      </c>
      <c r="F221" s="2955" t="s">
        <v>3061</v>
      </c>
      <c r="G221" s="2959">
        <v>20245.89</v>
      </c>
      <c r="H221" s="2957">
        <v>504122.66099999996</v>
      </c>
      <c r="I221" s="2953"/>
    </row>
    <row r="222" spans="1:9">
      <c r="A222" s="2953">
        <v>219</v>
      </c>
      <c r="B222" s="2954" t="s">
        <v>3058</v>
      </c>
      <c r="C222" s="2954" t="s">
        <v>3059</v>
      </c>
      <c r="D222" s="2977" t="s">
        <v>3279</v>
      </c>
      <c r="E222" s="2977">
        <v>17.22</v>
      </c>
      <c r="F222" s="2955" t="s">
        <v>3061</v>
      </c>
      <c r="G222" s="2959">
        <v>20245.89</v>
      </c>
      <c r="H222" s="2957">
        <v>348634.22579999996</v>
      </c>
      <c r="I222" s="2953"/>
    </row>
    <row r="223" spans="1:9">
      <c r="A223" s="2953">
        <v>220</v>
      </c>
      <c r="B223" s="2954" t="s">
        <v>3058</v>
      </c>
      <c r="C223" s="2954" t="s">
        <v>3059</v>
      </c>
      <c r="D223" s="2977" t="s">
        <v>3280</v>
      </c>
      <c r="E223" s="2977">
        <v>24.9</v>
      </c>
      <c r="F223" s="2955" t="s">
        <v>3061</v>
      </c>
      <c r="G223" s="2959">
        <v>20245.89</v>
      </c>
      <c r="H223" s="2957">
        <v>504122.66099999996</v>
      </c>
      <c r="I223" s="2953"/>
    </row>
    <row r="224" spans="1:9">
      <c r="A224" s="2953">
        <v>221</v>
      </c>
      <c r="B224" s="2954" t="s">
        <v>3058</v>
      </c>
      <c r="C224" s="2954" t="s">
        <v>3059</v>
      </c>
      <c r="D224" s="2979" t="s">
        <v>3281</v>
      </c>
      <c r="E224" s="2979">
        <v>16.13</v>
      </c>
      <c r="F224" s="2955" t="s">
        <v>3061</v>
      </c>
      <c r="G224" s="2959">
        <v>20245.89</v>
      </c>
      <c r="H224" s="2957">
        <v>326566.20569999999</v>
      </c>
      <c r="I224" s="2953"/>
    </row>
    <row r="225" spans="1:9">
      <c r="A225" s="2953">
        <v>222</v>
      </c>
      <c r="B225" s="2954" t="s">
        <v>3058</v>
      </c>
      <c r="C225" s="2954" t="s">
        <v>3059</v>
      </c>
      <c r="D225" s="2979" t="s">
        <v>3282</v>
      </c>
      <c r="E225" s="2979">
        <v>7.95</v>
      </c>
      <c r="F225" s="2955" t="s">
        <v>3061</v>
      </c>
      <c r="G225" s="2959">
        <v>20245.89</v>
      </c>
      <c r="H225" s="2957">
        <v>160954.82550000001</v>
      </c>
      <c r="I225" s="2953"/>
    </row>
    <row r="226" spans="1:9">
      <c r="A226" s="2953">
        <v>223</v>
      </c>
      <c r="B226" s="2954" t="s">
        <v>3058</v>
      </c>
      <c r="C226" s="2954" t="s">
        <v>3059</v>
      </c>
      <c r="D226" s="2980" t="s">
        <v>3283</v>
      </c>
      <c r="E226" s="2981">
        <v>15.29</v>
      </c>
      <c r="F226" s="2955" t="s">
        <v>3061</v>
      </c>
      <c r="G226" s="2959">
        <v>20245.89</v>
      </c>
      <c r="H226" s="2957">
        <v>309559.6581</v>
      </c>
      <c r="I226" s="2953"/>
    </row>
    <row r="227" spans="1:9">
      <c r="A227" s="2953">
        <v>224</v>
      </c>
      <c r="B227" s="2954" t="s">
        <v>3058</v>
      </c>
      <c r="C227" s="2954" t="s">
        <v>3059</v>
      </c>
      <c r="D227" s="2980" t="s">
        <v>3284</v>
      </c>
      <c r="E227" s="2981">
        <v>41.04</v>
      </c>
      <c r="F227" s="2955" t="s">
        <v>3061</v>
      </c>
      <c r="G227" s="2959">
        <v>20245.89</v>
      </c>
      <c r="H227" s="2957">
        <v>830891.32559999998</v>
      </c>
      <c r="I227" s="2953"/>
    </row>
    <row r="228" spans="1:9">
      <c r="A228" s="2953">
        <v>225</v>
      </c>
      <c r="B228" s="2954" t="s">
        <v>3058</v>
      </c>
      <c r="C228" s="2954" t="s">
        <v>3059</v>
      </c>
      <c r="D228" s="2980" t="s">
        <v>3285</v>
      </c>
      <c r="E228" s="2981">
        <v>45.06</v>
      </c>
      <c r="F228" s="2955" t="s">
        <v>3061</v>
      </c>
      <c r="G228" s="2959">
        <v>20245.89</v>
      </c>
      <c r="H228" s="2957">
        <v>912279.80339999998</v>
      </c>
      <c r="I228" s="2953"/>
    </row>
    <row r="229" spans="1:9">
      <c r="A229" s="2953">
        <v>226</v>
      </c>
      <c r="B229" s="2954" t="s">
        <v>3058</v>
      </c>
      <c r="C229" s="2954" t="s">
        <v>3059</v>
      </c>
      <c r="D229" s="2982" t="s">
        <v>3286</v>
      </c>
      <c r="E229" s="2983">
        <v>30.98</v>
      </c>
      <c r="F229" s="2955" t="s">
        <v>3061</v>
      </c>
      <c r="G229" s="2959">
        <v>20245.89</v>
      </c>
      <c r="H229" s="2957">
        <v>627217.67220000003</v>
      </c>
      <c r="I229" s="2953"/>
    </row>
    <row r="230" spans="1:9">
      <c r="A230" s="2953">
        <v>227</v>
      </c>
      <c r="B230" s="2954" t="s">
        <v>3058</v>
      </c>
      <c r="C230" s="2954" t="s">
        <v>3059</v>
      </c>
      <c r="D230" s="2982" t="s">
        <v>3287</v>
      </c>
      <c r="E230" s="2983">
        <v>30.98</v>
      </c>
      <c r="F230" s="2955" t="s">
        <v>3061</v>
      </c>
      <c r="G230" s="2959">
        <v>20245.89</v>
      </c>
      <c r="H230" s="2957">
        <v>627217.67220000003</v>
      </c>
      <c r="I230" s="2953"/>
    </row>
    <row r="231" spans="1:9">
      <c r="A231" s="2953">
        <v>228</v>
      </c>
      <c r="B231" s="2954" t="s">
        <v>3058</v>
      </c>
      <c r="C231" s="2954" t="s">
        <v>3059</v>
      </c>
      <c r="D231" s="2982" t="s">
        <v>3288</v>
      </c>
      <c r="E231" s="2983">
        <v>30.98</v>
      </c>
      <c r="F231" s="2955" t="s">
        <v>3061</v>
      </c>
      <c r="G231" s="2959">
        <v>20245.89</v>
      </c>
      <c r="H231" s="2957">
        <v>627217.67220000003</v>
      </c>
      <c r="I231" s="2953"/>
    </row>
    <row r="232" spans="1:9">
      <c r="A232" s="2953">
        <v>229</v>
      </c>
      <c r="B232" s="2954" t="s">
        <v>3058</v>
      </c>
      <c r="C232" s="2954" t="s">
        <v>3059</v>
      </c>
      <c r="D232" s="2982" t="s">
        <v>3289</v>
      </c>
      <c r="E232" s="2983">
        <v>30.98</v>
      </c>
      <c r="F232" s="2955" t="s">
        <v>3061</v>
      </c>
      <c r="G232" s="2959">
        <v>20245.89</v>
      </c>
      <c r="H232" s="2957">
        <v>627217.67220000003</v>
      </c>
      <c r="I232" s="2953"/>
    </row>
    <row r="233" spans="1:9">
      <c r="A233" s="2953">
        <v>230</v>
      </c>
      <c r="B233" s="2954" t="s">
        <v>3058</v>
      </c>
      <c r="C233" s="2954" t="s">
        <v>3059</v>
      </c>
      <c r="D233" s="2982" t="s">
        <v>3290</v>
      </c>
      <c r="E233" s="2983">
        <v>30.98</v>
      </c>
      <c r="F233" s="2955" t="s">
        <v>3061</v>
      </c>
      <c r="G233" s="2959">
        <v>20245.89</v>
      </c>
      <c r="H233" s="2957">
        <v>627217.67220000003</v>
      </c>
      <c r="I233" s="2953"/>
    </row>
    <row r="234" spans="1:9">
      <c r="A234" s="2953">
        <v>231</v>
      </c>
      <c r="B234" s="2960" t="s">
        <v>3058</v>
      </c>
      <c r="C234" s="2961" t="s">
        <v>3059</v>
      </c>
      <c r="D234" s="2986" t="s">
        <v>3291</v>
      </c>
      <c r="E234" s="2987">
        <v>24.9</v>
      </c>
      <c r="F234" s="2955" t="s">
        <v>3061</v>
      </c>
      <c r="G234" s="2962">
        <v>16292.28</v>
      </c>
      <c r="H234" s="2957">
        <v>405677.772</v>
      </c>
      <c r="I234" s="2963"/>
    </row>
    <row r="235" spans="1:9">
      <c r="A235" s="2953">
        <v>232</v>
      </c>
      <c r="B235" s="2960" t="s">
        <v>3058</v>
      </c>
      <c r="C235" s="2961" t="s">
        <v>3059</v>
      </c>
      <c r="D235" s="2986" t="s">
        <v>3292</v>
      </c>
      <c r="E235" s="2987">
        <v>27.8</v>
      </c>
      <c r="F235" s="2955" t="s">
        <v>3061</v>
      </c>
      <c r="G235" s="2962">
        <v>16292.28</v>
      </c>
      <c r="H235" s="2957">
        <v>452925.38400000002</v>
      </c>
      <c r="I235" s="2963"/>
    </row>
    <row r="236" spans="1:9">
      <c r="A236" s="2953">
        <v>233</v>
      </c>
      <c r="B236" s="2960" t="s">
        <v>3058</v>
      </c>
      <c r="C236" s="2961" t="s">
        <v>3059</v>
      </c>
      <c r="D236" s="2986" t="s">
        <v>3293</v>
      </c>
      <c r="E236" s="2987">
        <v>21.78</v>
      </c>
      <c r="F236" s="2955" t="s">
        <v>3061</v>
      </c>
      <c r="G236" s="2962">
        <v>16292.28</v>
      </c>
      <c r="H236" s="2957">
        <v>354845.85840000003</v>
      </c>
      <c r="I236" s="2963"/>
    </row>
    <row r="237" spans="1:9">
      <c r="A237" s="2953">
        <v>234</v>
      </c>
      <c r="B237" s="2960" t="s">
        <v>3058</v>
      </c>
      <c r="C237" s="2961" t="s">
        <v>3059</v>
      </c>
      <c r="D237" s="2986" t="s">
        <v>3294</v>
      </c>
      <c r="E237" s="2987">
        <v>24.9</v>
      </c>
      <c r="F237" s="2955" t="s">
        <v>3061</v>
      </c>
      <c r="G237" s="2962">
        <v>16292.28</v>
      </c>
      <c r="H237" s="2957">
        <v>405677.772</v>
      </c>
      <c r="I237" s="2963"/>
    </row>
    <row r="238" spans="1:9">
      <c r="A238" s="2953">
        <v>235</v>
      </c>
      <c r="B238" s="2960" t="s">
        <v>3058</v>
      </c>
      <c r="C238" s="2961" t="s">
        <v>3059</v>
      </c>
      <c r="D238" s="2986" t="s">
        <v>3295</v>
      </c>
      <c r="E238" s="2987">
        <v>24.9</v>
      </c>
      <c r="F238" s="2955" t="s">
        <v>3061</v>
      </c>
      <c r="G238" s="2962">
        <v>16292.28</v>
      </c>
      <c r="H238" s="2957">
        <v>405677.772</v>
      </c>
      <c r="I238" s="2963"/>
    </row>
    <row r="239" spans="1:9">
      <c r="A239" s="2953">
        <v>236</v>
      </c>
      <c r="B239" s="2960" t="s">
        <v>3058</v>
      </c>
      <c r="C239" s="2961" t="s">
        <v>3059</v>
      </c>
      <c r="D239" s="2986" t="s">
        <v>3296</v>
      </c>
      <c r="E239" s="2987">
        <v>10.23</v>
      </c>
      <c r="F239" s="2955" t="s">
        <v>3061</v>
      </c>
      <c r="G239" s="2962">
        <v>16292.28</v>
      </c>
      <c r="H239" s="2957">
        <v>166670.02440000002</v>
      </c>
      <c r="I239" s="2963"/>
    </row>
    <row r="240" spans="1:9">
      <c r="A240" s="2953">
        <v>237</v>
      </c>
      <c r="B240" s="2960" t="s">
        <v>3058</v>
      </c>
      <c r="C240" s="2961" t="s">
        <v>3059</v>
      </c>
      <c r="D240" s="2988" t="s">
        <v>3297</v>
      </c>
      <c r="E240" s="2987">
        <v>16.96</v>
      </c>
      <c r="F240" s="2955" t="s">
        <v>3061</v>
      </c>
      <c r="G240" s="2962">
        <v>16292.28</v>
      </c>
      <c r="H240" s="2957">
        <v>276317.06880000001</v>
      </c>
      <c r="I240" s="2963"/>
    </row>
    <row r="241" spans="1:9">
      <c r="A241" s="2953">
        <v>238</v>
      </c>
      <c r="B241" s="2960" t="s">
        <v>3058</v>
      </c>
      <c r="C241" s="2961" t="s">
        <v>3059</v>
      </c>
      <c r="D241" s="2988" t="s">
        <v>3298</v>
      </c>
      <c r="E241" s="2987">
        <v>11.1</v>
      </c>
      <c r="F241" s="2955" t="s">
        <v>3061</v>
      </c>
      <c r="G241" s="2962">
        <v>16292.28</v>
      </c>
      <c r="H241" s="2957">
        <v>180844.30799999999</v>
      </c>
      <c r="I241" s="2963"/>
    </row>
    <row r="242" spans="1:9">
      <c r="A242" s="2953">
        <v>239</v>
      </c>
      <c r="B242" s="2960" t="s">
        <v>3058</v>
      </c>
      <c r="C242" s="2961" t="s">
        <v>3059</v>
      </c>
      <c r="D242" s="2988" t="s">
        <v>3299</v>
      </c>
      <c r="E242" s="2987">
        <v>12.23</v>
      </c>
      <c r="F242" s="2955" t="s">
        <v>3061</v>
      </c>
      <c r="G242" s="2962">
        <v>16292.28</v>
      </c>
      <c r="H242" s="2957">
        <v>199254.58440000002</v>
      </c>
      <c r="I242" s="2963"/>
    </row>
    <row r="243" spans="1:9">
      <c r="A243" s="2953">
        <v>240</v>
      </c>
      <c r="B243" s="2960" t="s">
        <v>3058</v>
      </c>
      <c r="C243" s="2961" t="s">
        <v>3059</v>
      </c>
      <c r="D243" s="2989" t="s">
        <v>3300</v>
      </c>
      <c r="E243" s="2990">
        <v>35.58</v>
      </c>
      <c r="F243" s="2955" t="s">
        <v>3061</v>
      </c>
      <c r="G243" s="2962">
        <v>16292.28</v>
      </c>
      <c r="H243" s="2957">
        <v>579679.32239999995</v>
      </c>
      <c r="I243" s="2963"/>
    </row>
    <row r="244" spans="1:9">
      <c r="A244" s="2953">
        <v>241</v>
      </c>
      <c r="B244" s="2960" t="s">
        <v>3058</v>
      </c>
      <c r="C244" s="2961" t="s">
        <v>3059</v>
      </c>
      <c r="D244" s="2989" t="s">
        <v>3301</v>
      </c>
      <c r="E244" s="2990">
        <v>35.58</v>
      </c>
      <c r="F244" s="2955" t="s">
        <v>3061</v>
      </c>
      <c r="G244" s="2962">
        <v>16292.28</v>
      </c>
      <c r="H244" s="2957">
        <v>579679.32239999995</v>
      </c>
      <c r="I244" s="2963"/>
    </row>
    <row r="245" spans="1:9">
      <c r="A245" s="2953">
        <v>242</v>
      </c>
      <c r="B245" s="2960" t="s">
        <v>3058</v>
      </c>
      <c r="C245" s="2961" t="s">
        <v>3059</v>
      </c>
      <c r="D245" s="2989" t="s">
        <v>3302</v>
      </c>
      <c r="E245" s="2990">
        <v>30.13</v>
      </c>
      <c r="F245" s="2955" t="s">
        <v>3061</v>
      </c>
      <c r="G245" s="2962">
        <v>16292.28</v>
      </c>
      <c r="H245" s="2957">
        <v>490886.39640000003</v>
      </c>
      <c r="I245" s="2963"/>
    </row>
    <row r="246" spans="1:9">
      <c r="A246" s="2953">
        <v>243</v>
      </c>
      <c r="B246" s="2960" t="s">
        <v>3058</v>
      </c>
      <c r="C246" s="2961" t="s">
        <v>3059</v>
      </c>
      <c r="D246" s="2989" t="s">
        <v>3303</v>
      </c>
      <c r="E246" s="2990">
        <v>38.35</v>
      </c>
      <c r="F246" s="2955" t="s">
        <v>3061</v>
      </c>
      <c r="G246" s="2962">
        <v>16292.28</v>
      </c>
      <c r="H246" s="2957">
        <v>624808.93800000008</v>
      </c>
      <c r="I246" s="2963"/>
    </row>
    <row r="247" spans="1:9">
      <c r="A247" s="2953">
        <v>244</v>
      </c>
      <c r="B247" s="2960" t="s">
        <v>3058</v>
      </c>
      <c r="C247" s="2961" t="s">
        <v>3059</v>
      </c>
      <c r="D247" s="2989" t="s">
        <v>3304</v>
      </c>
      <c r="E247" s="2990">
        <v>36.340000000000003</v>
      </c>
      <c r="F247" s="2955" t="s">
        <v>3061</v>
      </c>
      <c r="G247" s="2962">
        <v>16292.28</v>
      </c>
      <c r="H247" s="2957">
        <v>592061.45520000008</v>
      </c>
      <c r="I247" s="2963"/>
    </row>
    <row r="248" spans="1:9">
      <c r="A248" s="2953">
        <v>245</v>
      </c>
      <c r="B248" s="2960" t="s">
        <v>3058</v>
      </c>
      <c r="C248" s="2961" t="s">
        <v>3059</v>
      </c>
      <c r="D248" s="2989" t="s">
        <v>3305</v>
      </c>
      <c r="E248" s="2990">
        <v>43.94</v>
      </c>
      <c r="F248" s="2955" t="s">
        <v>3061</v>
      </c>
      <c r="G248" s="2962">
        <v>16292.28</v>
      </c>
      <c r="H248" s="2957">
        <v>715882.78319999995</v>
      </c>
      <c r="I248" s="2963"/>
    </row>
    <row r="249" spans="1:9">
      <c r="A249" s="2953">
        <v>246</v>
      </c>
      <c r="B249" s="2960" t="s">
        <v>3058</v>
      </c>
      <c r="C249" s="2961" t="s">
        <v>3059</v>
      </c>
      <c r="D249" s="2989" t="s">
        <v>3306</v>
      </c>
      <c r="E249" s="2990">
        <v>44.4</v>
      </c>
      <c r="F249" s="2955" t="s">
        <v>3061</v>
      </c>
      <c r="G249" s="2962">
        <v>16292.28</v>
      </c>
      <c r="H249" s="2957">
        <v>723377.23199999996</v>
      </c>
      <c r="I249" s="2963"/>
    </row>
    <row r="250" spans="1:9">
      <c r="A250" s="2953">
        <v>247</v>
      </c>
      <c r="B250" s="2960" t="s">
        <v>3058</v>
      </c>
      <c r="C250" s="2961" t="s">
        <v>3059</v>
      </c>
      <c r="D250" s="2991" t="s">
        <v>3307</v>
      </c>
      <c r="E250" s="2992">
        <v>36.590000000000003</v>
      </c>
      <c r="F250" s="2955" t="s">
        <v>3061</v>
      </c>
      <c r="G250" s="2962">
        <v>16292.28</v>
      </c>
      <c r="H250" s="2957">
        <v>596134.52520000003</v>
      </c>
      <c r="I250" s="2963"/>
    </row>
    <row r="251" spans="1:9">
      <c r="A251" s="2953">
        <v>248</v>
      </c>
      <c r="B251" s="2960" t="s">
        <v>3058</v>
      </c>
      <c r="C251" s="2961" t="s">
        <v>3059</v>
      </c>
      <c r="D251" s="2991" t="s">
        <v>3308</v>
      </c>
      <c r="E251" s="2992">
        <v>33.409999999999997</v>
      </c>
      <c r="F251" s="2955" t="s">
        <v>3061</v>
      </c>
      <c r="G251" s="2962">
        <v>16292.28</v>
      </c>
      <c r="H251" s="2957">
        <v>544325.07479999994</v>
      </c>
      <c r="I251" s="2963"/>
    </row>
    <row r="252" spans="1:9">
      <c r="A252" s="2953">
        <v>249</v>
      </c>
      <c r="B252" s="2960" t="s">
        <v>3058</v>
      </c>
      <c r="C252" s="2961" t="s">
        <v>3059</v>
      </c>
      <c r="D252" s="2991" t="s">
        <v>3309</v>
      </c>
      <c r="E252" s="2992">
        <v>14.26</v>
      </c>
      <c r="F252" s="2955" t="s">
        <v>3061</v>
      </c>
      <c r="G252" s="2962">
        <v>16292.28</v>
      </c>
      <c r="H252" s="2957">
        <v>232327.91280000002</v>
      </c>
      <c r="I252" s="2963"/>
    </row>
    <row r="253" spans="1:9">
      <c r="A253" s="2953">
        <v>250</v>
      </c>
      <c r="B253" s="2960" t="s">
        <v>3058</v>
      </c>
      <c r="C253" s="2964" t="s">
        <v>3059</v>
      </c>
      <c r="D253" s="2977" t="s">
        <v>3310</v>
      </c>
      <c r="E253" s="2978">
        <v>35.69</v>
      </c>
      <c r="F253" s="2955" t="s">
        <v>3061</v>
      </c>
      <c r="G253" s="2962">
        <v>16292.28</v>
      </c>
      <c r="H253" s="2957">
        <v>581471.47320000001</v>
      </c>
      <c r="I253" s="2963"/>
    </row>
    <row r="254" spans="1:9">
      <c r="A254" s="2953">
        <v>251</v>
      </c>
      <c r="B254" s="2960" t="s">
        <v>3058</v>
      </c>
      <c r="C254" s="2964" t="s">
        <v>3059</v>
      </c>
      <c r="D254" s="2977" t="s">
        <v>3311</v>
      </c>
      <c r="E254" s="2978">
        <v>26.37</v>
      </c>
      <c r="F254" s="2955" t="s">
        <v>3061</v>
      </c>
      <c r="G254" s="2962">
        <v>16292.28</v>
      </c>
      <c r="H254" s="2957">
        <v>429627.42360000004</v>
      </c>
      <c r="I254" s="2963"/>
    </row>
    <row r="255" spans="1:9">
      <c r="A255" s="2953">
        <v>252</v>
      </c>
      <c r="B255" s="2960" t="s">
        <v>3058</v>
      </c>
      <c r="C255" s="2964" t="s">
        <v>3059</v>
      </c>
      <c r="D255" s="2977" t="s">
        <v>3312</v>
      </c>
      <c r="E255" s="2978">
        <v>61.06</v>
      </c>
      <c r="F255" s="2955" t="s">
        <v>3061</v>
      </c>
      <c r="G255" s="2962">
        <v>16292.28</v>
      </c>
      <c r="H255" s="2957">
        <v>994806.61680000008</v>
      </c>
      <c r="I255" s="2963"/>
    </row>
    <row r="256" spans="1:9">
      <c r="A256" s="2953">
        <v>253</v>
      </c>
      <c r="B256" s="2960" t="s">
        <v>3058</v>
      </c>
      <c r="C256" s="2964" t="s">
        <v>3059</v>
      </c>
      <c r="D256" s="2977" t="s">
        <v>3313</v>
      </c>
      <c r="E256" s="2978">
        <v>48.81</v>
      </c>
      <c r="F256" s="2955" t="s">
        <v>3061</v>
      </c>
      <c r="G256" s="2962">
        <v>16292.28</v>
      </c>
      <c r="H256" s="2957">
        <v>795226.18680000002</v>
      </c>
      <c r="I256" s="2963"/>
    </row>
    <row r="257" spans="1:9">
      <c r="A257" s="2953">
        <v>254</v>
      </c>
      <c r="B257" s="2960" t="s">
        <v>3058</v>
      </c>
      <c r="C257" s="2964" t="s">
        <v>3059</v>
      </c>
      <c r="D257" s="2977" t="s">
        <v>3314</v>
      </c>
      <c r="E257" s="2977">
        <v>19.940000000000001</v>
      </c>
      <c r="F257" s="2955" t="s">
        <v>3061</v>
      </c>
      <c r="G257" s="2962">
        <v>16292.28</v>
      </c>
      <c r="H257" s="2957">
        <v>324868.06320000003</v>
      </c>
      <c r="I257" s="2963"/>
    </row>
    <row r="258" spans="1:9">
      <c r="A258" s="2953">
        <v>255</v>
      </c>
      <c r="B258" s="2960" t="s">
        <v>3058</v>
      </c>
      <c r="C258" s="2964" t="s">
        <v>3059</v>
      </c>
      <c r="D258" s="2977" t="s">
        <v>3315</v>
      </c>
      <c r="E258" s="2977">
        <v>24.9</v>
      </c>
      <c r="F258" s="2955" t="s">
        <v>3061</v>
      </c>
      <c r="G258" s="2962">
        <v>16292.28</v>
      </c>
      <c r="H258" s="2957">
        <v>405677.772</v>
      </c>
      <c r="I258" s="2963"/>
    </row>
    <row r="259" spans="1:9">
      <c r="A259" s="2953">
        <v>256</v>
      </c>
      <c r="B259" s="2960" t="s">
        <v>3058</v>
      </c>
      <c r="C259" s="2964" t="s">
        <v>3059</v>
      </c>
      <c r="D259" s="2977" t="s">
        <v>3316</v>
      </c>
      <c r="E259" s="2977">
        <v>24.9</v>
      </c>
      <c r="F259" s="2955" t="s">
        <v>3061</v>
      </c>
      <c r="G259" s="2962">
        <v>16292.28</v>
      </c>
      <c r="H259" s="2957">
        <v>405677.772</v>
      </c>
      <c r="I259" s="2963"/>
    </row>
    <row r="260" spans="1:9">
      <c r="A260" s="2953">
        <v>257</v>
      </c>
      <c r="B260" s="2960" t="s">
        <v>3058</v>
      </c>
      <c r="C260" s="2964" t="s">
        <v>3059</v>
      </c>
      <c r="D260" s="2977" t="s">
        <v>3317</v>
      </c>
      <c r="E260" s="2977">
        <v>28.79</v>
      </c>
      <c r="F260" s="2955" t="s">
        <v>3061</v>
      </c>
      <c r="G260" s="2962">
        <v>16292.28</v>
      </c>
      <c r="H260" s="2957">
        <v>469054.74119999999</v>
      </c>
      <c r="I260" s="2963"/>
    </row>
    <row r="261" spans="1:9">
      <c r="A261" s="2953">
        <v>258</v>
      </c>
      <c r="B261" s="2960" t="s">
        <v>3058</v>
      </c>
      <c r="C261" s="2964" t="s">
        <v>3059</v>
      </c>
      <c r="D261" s="2977" t="s">
        <v>3318</v>
      </c>
      <c r="E261" s="2977">
        <v>26.91</v>
      </c>
      <c r="F261" s="2955" t="s">
        <v>3061</v>
      </c>
      <c r="G261" s="2962">
        <v>16292.28</v>
      </c>
      <c r="H261" s="2957">
        <v>438425.2548</v>
      </c>
      <c r="I261" s="2963"/>
    </row>
    <row r="262" spans="1:9">
      <c r="A262" s="2953">
        <v>259</v>
      </c>
      <c r="B262" s="2960" t="s">
        <v>3058</v>
      </c>
      <c r="C262" s="2964" t="s">
        <v>3059</v>
      </c>
      <c r="D262" s="2977" t="s">
        <v>3319</v>
      </c>
      <c r="E262" s="2977">
        <v>34.03</v>
      </c>
      <c r="F262" s="2955" t="s">
        <v>3061</v>
      </c>
      <c r="G262" s="2962">
        <v>16292.28</v>
      </c>
      <c r="H262" s="2957">
        <v>554426.28840000008</v>
      </c>
      <c r="I262" s="2963"/>
    </row>
    <row r="263" spans="1:9">
      <c r="A263" s="2953">
        <v>260</v>
      </c>
      <c r="B263" s="2960" t="s">
        <v>3058</v>
      </c>
      <c r="C263" s="2964" t="s">
        <v>3059</v>
      </c>
      <c r="D263" s="2977" t="s">
        <v>3320</v>
      </c>
      <c r="E263" s="2977">
        <v>34.03</v>
      </c>
      <c r="F263" s="2955" t="s">
        <v>3061</v>
      </c>
      <c r="G263" s="2962">
        <v>16292.28</v>
      </c>
      <c r="H263" s="2957">
        <v>554426.28840000008</v>
      </c>
      <c r="I263" s="2963"/>
    </row>
    <row r="264" spans="1:9">
      <c r="A264" s="2953">
        <v>261</v>
      </c>
      <c r="B264" s="2960" t="s">
        <v>3058</v>
      </c>
      <c r="C264" s="2964" t="s">
        <v>3059</v>
      </c>
      <c r="D264" s="2977" t="s">
        <v>3321</v>
      </c>
      <c r="E264" s="2977">
        <v>24.9</v>
      </c>
      <c r="F264" s="2955" t="s">
        <v>3061</v>
      </c>
      <c r="G264" s="2962">
        <v>16292.28</v>
      </c>
      <c r="H264" s="2957">
        <v>405677.772</v>
      </c>
      <c r="I264" s="2963"/>
    </row>
    <row r="265" spans="1:9">
      <c r="A265" s="2953">
        <v>262</v>
      </c>
      <c r="B265" s="2960" t="s">
        <v>3058</v>
      </c>
      <c r="C265" s="2964" t="s">
        <v>3059</v>
      </c>
      <c r="D265" s="2977" t="s">
        <v>3322</v>
      </c>
      <c r="E265" s="2977">
        <v>27.84</v>
      </c>
      <c r="F265" s="2955" t="s">
        <v>3061</v>
      </c>
      <c r="G265" s="2962">
        <v>16292.28</v>
      </c>
      <c r="H265" s="2957">
        <v>453577.07520000002</v>
      </c>
      <c r="I265" s="2963"/>
    </row>
    <row r="266" spans="1:9">
      <c r="A266" s="2953">
        <v>263</v>
      </c>
      <c r="B266" s="2960" t="s">
        <v>3058</v>
      </c>
      <c r="C266" s="2964" t="s">
        <v>3059</v>
      </c>
      <c r="D266" s="2977" t="s">
        <v>3323</v>
      </c>
      <c r="E266" s="2979">
        <v>30.65</v>
      </c>
      <c r="F266" s="2955" t="s">
        <v>3061</v>
      </c>
      <c r="G266" s="2962">
        <v>16292.28</v>
      </c>
      <c r="H266" s="2957">
        <v>499358.38199999998</v>
      </c>
      <c r="I266" s="2963"/>
    </row>
    <row r="267" spans="1:9">
      <c r="A267" s="2953">
        <v>264</v>
      </c>
      <c r="B267" s="2960" t="s">
        <v>3058</v>
      </c>
      <c r="C267" s="2964" t="s">
        <v>3059</v>
      </c>
      <c r="D267" s="2977" t="s">
        <v>3324</v>
      </c>
      <c r="E267" s="2979">
        <v>33.590000000000003</v>
      </c>
      <c r="F267" s="2955" t="s">
        <v>3061</v>
      </c>
      <c r="G267" s="2962">
        <v>16292.28</v>
      </c>
      <c r="H267" s="2957">
        <v>547257.68520000007</v>
      </c>
      <c r="I267" s="2963"/>
    </row>
    <row r="268" spans="1:9">
      <c r="A268" s="2953">
        <v>265</v>
      </c>
      <c r="B268" s="2960" t="s">
        <v>3058</v>
      </c>
      <c r="C268" s="2964" t="s">
        <v>3059</v>
      </c>
      <c r="D268" s="2977" t="s">
        <v>3325</v>
      </c>
      <c r="E268" s="2979">
        <v>95.86</v>
      </c>
      <c r="F268" s="2955" t="s">
        <v>3061</v>
      </c>
      <c r="G268" s="2962">
        <v>16292.28</v>
      </c>
      <c r="H268" s="2957">
        <v>1561777.9608</v>
      </c>
      <c r="I268" s="2963"/>
    </row>
    <row r="269" spans="1:9">
      <c r="A269" s="2953">
        <v>266</v>
      </c>
      <c r="B269" s="2960" t="s">
        <v>3058</v>
      </c>
      <c r="C269" s="2964" t="s">
        <v>3059</v>
      </c>
      <c r="D269" s="2979" t="s">
        <v>3326</v>
      </c>
      <c r="E269" s="2979">
        <v>16.670000000000002</v>
      </c>
      <c r="F269" s="2955" t="s">
        <v>3061</v>
      </c>
      <c r="G269" s="2962">
        <v>16292.28</v>
      </c>
      <c r="H269" s="2957">
        <v>271592.30760000006</v>
      </c>
      <c r="I269" s="2963"/>
    </row>
    <row r="270" spans="1:9">
      <c r="A270" s="2953">
        <v>267</v>
      </c>
      <c r="B270" s="2960" t="s">
        <v>3058</v>
      </c>
      <c r="C270" s="2964" t="s">
        <v>3059</v>
      </c>
      <c r="D270" s="2979" t="s">
        <v>3327</v>
      </c>
      <c r="E270" s="2979">
        <v>9.7100000000000009</v>
      </c>
      <c r="F270" s="2955" t="s">
        <v>3061</v>
      </c>
      <c r="G270" s="2962">
        <v>16292.28</v>
      </c>
      <c r="H270" s="2957">
        <v>158198.03880000001</v>
      </c>
      <c r="I270" s="2963"/>
    </row>
    <row r="271" spans="1:9">
      <c r="A271" s="2953">
        <v>268</v>
      </c>
      <c r="B271" s="2960" t="s">
        <v>3058</v>
      </c>
      <c r="C271" s="2964" t="s">
        <v>3059</v>
      </c>
      <c r="D271" s="2979" t="s">
        <v>3328</v>
      </c>
      <c r="E271" s="2979">
        <v>6.56</v>
      </c>
      <c r="F271" s="2955" t="s">
        <v>3061</v>
      </c>
      <c r="G271" s="2962">
        <v>16292.28</v>
      </c>
      <c r="H271" s="2957">
        <v>106877.35679999999</v>
      </c>
      <c r="I271" s="2963"/>
    </row>
    <row r="272" spans="1:9">
      <c r="A272" s="2953">
        <v>269</v>
      </c>
      <c r="B272" s="2960" t="s">
        <v>3058</v>
      </c>
      <c r="C272" s="2964" t="s">
        <v>3059</v>
      </c>
      <c r="D272" s="2979" t="s">
        <v>3329</v>
      </c>
      <c r="E272" s="2979">
        <v>16.28</v>
      </c>
      <c r="F272" s="2955" t="s">
        <v>3061</v>
      </c>
      <c r="G272" s="2962">
        <v>16292.28</v>
      </c>
      <c r="H272" s="2957">
        <v>265238.31840000005</v>
      </c>
      <c r="I272" s="2963"/>
    </row>
    <row r="273" spans="1:9">
      <c r="A273" s="2953">
        <v>270</v>
      </c>
      <c r="B273" s="2960" t="s">
        <v>3058</v>
      </c>
      <c r="C273" s="2964" t="s">
        <v>3059</v>
      </c>
      <c r="D273" s="2979" t="s">
        <v>3330</v>
      </c>
      <c r="E273" s="2979">
        <v>12.23</v>
      </c>
      <c r="F273" s="2955" t="s">
        <v>3061</v>
      </c>
      <c r="G273" s="2962">
        <v>16292.28</v>
      </c>
      <c r="H273" s="2957">
        <v>199254.58440000002</v>
      </c>
      <c r="I273" s="2963"/>
    </row>
    <row r="274" spans="1:9">
      <c r="A274" s="2953">
        <v>271</v>
      </c>
      <c r="B274" s="2960" t="s">
        <v>3058</v>
      </c>
      <c r="C274" s="2964" t="s">
        <v>3059</v>
      </c>
      <c r="D274" s="2980" t="s">
        <v>3331</v>
      </c>
      <c r="E274" s="2981">
        <v>49.83</v>
      </c>
      <c r="F274" s="2955" t="s">
        <v>3061</v>
      </c>
      <c r="G274" s="2962">
        <v>16292.28</v>
      </c>
      <c r="H274" s="2957">
        <v>811844.31240000005</v>
      </c>
      <c r="I274" s="2963"/>
    </row>
    <row r="275" spans="1:9">
      <c r="A275" s="2953">
        <v>272</v>
      </c>
      <c r="B275" s="2960" t="s">
        <v>3058</v>
      </c>
      <c r="C275" s="2964" t="s">
        <v>3059</v>
      </c>
      <c r="D275" s="2980" t="s">
        <v>3332</v>
      </c>
      <c r="E275" s="2981">
        <v>88.13</v>
      </c>
      <c r="F275" s="2955" t="s">
        <v>3061</v>
      </c>
      <c r="G275" s="2962">
        <v>16292.28</v>
      </c>
      <c r="H275" s="2957">
        <v>1435838.6364</v>
      </c>
      <c r="I275" s="2963"/>
    </row>
    <row r="276" spans="1:9">
      <c r="A276" s="2953">
        <v>273</v>
      </c>
      <c r="B276" s="2960" t="s">
        <v>3058</v>
      </c>
      <c r="C276" s="2964" t="s">
        <v>3059</v>
      </c>
      <c r="D276" s="2980" t="s">
        <v>3333</v>
      </c>
      <c r="E276" s="2981">
        <v>36.11</v>
      </c>
      <c r="F276" s="2955" t="s">
        <v>3061</v>
      </c>
      <c r="G276" s="2962">
        <v>16292.28</v>
      </c>
      <c r="H276" s="2957">
        <v>588314.23080000002</v>
      </c>
      <c r="I276" s="2963"/>
    </row>
    <row r="277" spans="1:9">
      <c r="A277" s="2953">
        <v>274</v>
      </c>
      <c r="B277" s="2960" t="s">
        <v>3058</v>
      </c>
      <c r="C277" s="2964" t="s">
        <v>3059</v>
      </c>
      <c r="D277" s="2980" t="s">
        <v>3334</v>
      </c>
      <c r="E277" s="2981">
        <v>40.43</v>
      </c>
      <c r="F277" s="2955" t="s">
        <v>3061</v>
      </c>
      <c r="G277" s="2962">
        <v>16292.28</v>
      </c>
      <c r="H277" s="2957">
        <v>658696.88040000002</v>
      </c>
      <c r="I277" s="2963"/>
    </row>
    <row r="278" spans="1:9">
      <c r="A278" s="2953">
        <v>275</v>
      </c>
      <c r="B278" s="2960" t="s">
        <v>3058</v>
      </c>
      <c r="C278" s="2964" t="s">
        <v>3059</v>
      </c>
      <c r="D278" s="2980" t="s">
        <v>3335</v>
      </c>
      <c r="E278" s="2981">
        <v>30.08</v>
      </c>
      <c r="F278" s="2955" t="s">
        <v>3061</v>
      </c>
      <c r="G278" s="2962">
        <v>16292.28</v>
      </c>
      <c r="H278" s="2957">
        <v>490071.78239999997</v>
      </c>
      <c r="I278" s="2963"/>
    </row>
    <row r="279" spans="1:9">
      <c r="A279" s="2953">
        <v>276</v>
      </c>
      <c r="B279" s="2960" t="s">
        <v>3058</v>
      </c>
      <c r="C279" s="2964" t="s">
        <v>3059</v>
      </c>
      <c r="D279" s="2980" t="s">
        <v>3336</v>
      </c>
      <c r="E279" s="2981">
        <v>33.46</v>
      </c>
      <c r="F279" s="2955" t="s">
        <v>3061</v>
      </c>
      <c r="G279" s="2962">
        <v>16292.28</v>
      </c>
      <c r="H279" s="2957">
        <v>545139.6888</v>
      </c>
      <c r="I279" s="2963"/>
    </row>
    <row r="280" spans="1:9">
      <c r="A280" s="2953">
        <v>277</v>
      </c>
      <c r="B280" s="2960" t="s">
        <v>3058</v>
      </c>
      <c r="C280" s="2964" t="s">
        <v>3059</v>
      </c>
      <c r="D280" s="2980" t="s">
        <v>3337</v>
      </c>
      <c r="E280" s="2981">
        <v>29.96</v>
      </c>
      <c r="F280" s="2955" t="s">
        <v>3061</v>
      </c>
      <c r="G280" s="2962">
        <v>16292.28</v>
      </c>
      <c r="H280" s="2957">
        <v>488116.70880000002</v>
      </c>
      <c r="I280" s="2963"/>
    </row>
    <row r="281" spans="1:9">
      <c r="A281" s="2953">
        <v>278</v>
      </c>
      <c r="B281" s="2960" t="s">
        <v>3058</v>
      </c>
      <c r="C281" s="2964" t="s">
        <v>3059</v>
      </c>
      <c r="D281" s="2980" t="s">
        <v>3338</v>
      </c>
      <c r="E281" s="2981">
        <v>26.91</v>
      </c>
      <c r="F281" s="2955" t="s">
        <v>3061</v>
      </c>
      <c r="G281" s="2962">
        <v>16292.28</v>
      </c>
      <c r="H281" s="2957">
        <v>438425.2548</v>
      </c>
      <c r="I281" s="2963"/>
    </row>
    <row r="282" spans="1:9">
      <c r="A282" s="2953">
        <v>279</v>
      </c>
      <c r="B282" s="2960" t="s">
        <v>3058</v>
      </c>
      <c r="C282" s="2964" t="s">
        <v>3059</v>
      </c>
      <c r="D282" s="2980" t="s">
        <v>3339</v>
      </c>
      <c r="E282" s="2981">
        <v>26.96</v>
      </c>
      <c r="F282" s="2955" t="s">
        <v>3061</v>
      </c>
      <c r="G282" s="2962">
        <v>16292.28</v>
      </c>
      <c r="H282" s="2957">
        <v>439239.86880000005</v>
      </c>
      <c r="I282" s="2963"/>
    </row>
    <row r="283" spans="1:9">
      <c r="A283" s="2953">
        <v>280</v>
      </c>
      <c r="B283" s="2960" t="s">
        <v>3058</v>
      </c>
      <c r="C283" s="2964" t="s">
        <v>3059</v>
      </c>
      <c r="D283" s="2980" t="s">
        <v>3340</v>
      </c>
      <c r="E283" s="2981">
        <v>28.42</v>
      </c>
      <c r="F283" s="2955" t="s">
        <v>3061</v>
      </c>
      <c r="G283" s="2962">
        <v>16292.28</v>
      </c>
      <c r="H283" s="2957">
        <v>463026.59760000004</v>
      </c>
      <c r="I283" s="2963"/>
    </row>
    <row r="284" spans="1:9">
      <c r="A284" s="2953">
        <v>281</v>
      </c>
      <c r="B284" s="2960" t="s">
        <v>3058</v>
      </c>
      <c r="C284" s="2964" t="s">
        <v>3059</v>
      </c>
      <c r="D284" s="2980" t="s">
        <v>3341</v>
      </c>
      <c r="E284" s="2981">
        <v>26.17</v>
      </c>
      <c r="F284" s="2955" t="s">
        <v>3061</v>
      </c>
      <c r="G284" s="2962">
        <v>16292.28</v>
      </c>
      <c r="H284" s="2957">
        <v>426368.96760000003</v>
      </c>
      <c r="I284" s="2963"/>
    </row>
    <row r="285" spans="1:9">
      <c r="A285" s="2953">
        <v>282</v>
      </c>
      <c r="B285" s="2960" t="s">
        <v>3058</v>
      </c>
      <c r="C285" s="2964" t="s">
        <v>3059</v>
      </c>
      <c r="D285" s="2980" t="s">
        <v>3342</v>
      </c>
      <c r="E285" s="2981">
        <v>31.56</v>
      </c>
      <c r="F285" s="2955" t="s">
        <v>3061</v>
      </c>
      <c r="G285" s="2962">
        <v>16292.28</v>
      </c>
      <c r="H285" s="2957">
        <v>514184.35680000001</v>
      </c>
      <c r="I285" s="2963"/>
    </row>
    <row r="286" spans="1:9">
      <c r="A286" s="2953">
        <v>283</v>
      </c>
      <c r="B286" s="2960" t="s">
        <v>3058</v>
      </c>
      <c r="C286" s="2964" t="s">
        <v>3059</v>
      </c>
      <c r="D286" s="2980" t="s">
        <v>3343</v>
      </c>
      <c r="E286" s="2981">
        <v>30.54</v>
      </c>
      <c r="F286" s="2955" t="s">
        <v>3061</v>
      </c>
      <c r="G286" s="2962">
        <v>16292.28</v>
      </c>
      <c r="H286" s="2957">
        <v>497566.23119999998</v>
      </c>
      <c r="I286" s="2963"/>
    </row>
    <row r="287" spans="1:9">
      <c r="A287" s="2953">
        <v>284</v>
      </c>
      <c r="B287" s="2960" t="s">
        <v>3058</v>
      </c>
      <c r="C287" s="2964" t="s">
        <v>3059</v>
      </c>
      <c r="D287" s="2980" t="s">
        <v>3344</v>
      </c>
      <c r="E287" s="2981">
        <v>23.75</v>
      </c>
      <c r="F287" s="2955" t="s">
        <v>3061</v>
      </c>
      <c r="G287" s="2962">
        <v>16292.28</v>
      </c>
      <c r="H287" s="2957">
        <v>386941.65</v>
      </c>
      <c r="I287" s="2963"/>
    </row>
    <row r="288" spans="1:9">
      <c r="A288" s="2953">
        <v>285</v>
      </c>
      <c r="B288" s="2960" t="s">
        <v>3058</v>
      </c>
      <c r="C288" s="2964" t="s">
        <v>3059</v>
      </c>
      <c r="D288" s="2980" t="s">
        <v>3345</v>
      </c>
      <c r="E288" s="2981">
        <v>42.07</v>
      </c>
      <c r="F288" s="2955" t="s">
        <v>3061</v>
      </c>
      <c r="G288" s="2962">
        <v>16292.28</v>
      </c>
      <c r="H288" s="2957">
        <v>685416.21960000007</v>
      </c>
      <c r="I288" s="2963"/>
    </row>
    <row r="289" spans="1:9">
      <c r="A289" s="2953">
        <v>286</v>
      </c>
      <c r="B289" s="2960" t="s">
        <v>3058</v>
      </c>
      <c r="C289" s="2964" t="s">
        <v>3059</v>
      </c>
      <c r="D289" s="2980" t="s">
        <v>3346</v>
      </c>
      <c r="E289" s="2981">
        <v>35.340000000000003</v>
      </c>
      <c r="F289" s="2955" t="s">
        <v>3061</v>
      </c>
      <c r="G289" s="2962">
        <v>16292.28</v>
      </c>
      <c r="H289" s="2957">
        <v>575769.17520000006</v>
      </c>
      <c r="I289" s="2963"/>
    </row>
    <row r="290" spans="1:9">
      <c r="A290" s="2953">
        <v>287</v>
      </c>
      <c r="B290" s="2960" t="s">
        <v>3058</v>
      </c>
      <c r="C290" s="2964" t="s">
        <v>3059</v>
      </c>
      <c r="D290" s="2980" t="s">
        <v>3347</v>
      </c>
      <c r="E290" s="2981">
        <v>23.75</v>
      </c>
      <c r="F290" s="2955" t="s">
        <v>3061</v>
      </c>
      <c r="G290" s="2962">
        <v>16292.28</v>
      </c>
      <c r="H290" s="2957">
        <v>386941.65</v>
      </c>
      <c r="I290" s="2963"/>
    </row>
    <row r="291" spans="1:9">
      <c r="A291" s="2953">
        <v>288</v>
      </c>
      <c r="B291" s="2960" t="s">
        <v>3058</v>
      </c>
      <c r="C291" s="2964" t="s">
        <v>3059</v>
      </c>
      <c r="D291" s="2982" t="s">
        <v>3348</v>
      </c>
      <c r="E291" s="2983">
        <v>25.41</v>
      </c>
      <c r="F291" s="2955" t="s">
        <v>3061</v>
      </c>
      <c r="G291" s="2962">
        <v>16292.28</v>
      </c>
      <c r="H291" s="2957">
        <v>413986.83480000001</v>
      </c>
      <c r="I291" s="2963"/>
    </row>
    <row r="292" spans="1:9">
      <c r="A292" s="2953">
        <v>289</v>
      </c>
      <c r="B292" s="2960" t="s">
        <v>3058</v>
      </c>
      <c r="C292" s="2964" t="s">
        <v>3059</v>
      </c>
      <c r="D292" s="2982" t="s">
        <v>3349</v>
      </c>
      <c r="E292" s="2983">
        <v>25.41</v>
      </c>
      <c r="F292" s="2955" t="s">
        <v>3061</v>
      </c>
      <c r="G292" s="2962">
        <v>16292.28</v>
      </c>
      <c r="H292" s="2957">
        <v>413986.83480000001</v>
      </c>
      <c r="I292" s="2963"/>
    </row>
    <row r="293" spans="1:9">
      <c r="A293" s="2953">
        <v>290</v>
      </c>
      <c r="B293" s="2960" t="s">
        <v>3058</v>
      </c>
      <c r="C293" s="2964" t="s">
        <v>3059</v>
      </c>
      <c r="D293" s="2982" t="s">
        <v>3350</v>
      </c>
      <c r="E293" s="2983">
        <v>25.41</v>
      </c>
      <c r="F293" s="2955" t="s">
        <v>3061</v>
      </c>
      <c r="G293" s="2962">
        <v>16292.28</v>
      </c>
      <c r="H293" s="2957">
        <v>413986.83480000001</v>
      </c>
      <c r="I293" s="2963"/>
    </row>
    <row r="294" spans="1:9">
      <c r="A294" s="2953">
        <v>291</v>
      </c>
      <c r="B294" s="2960" t="s">
        <v>3058</v>
      </c>
      <c r="C294" s="2964" t="s">
        <v>3059</v>
      </c>
      <c r="D294" s="2982" t="s">
        <v>3351</v>
      </c>
      <c r="E294" s="2983">
        <v>25.41</v>
      </c>
      <c r="F294" s="2955" t="s">
        <v>3061</v>
      </c>
      <c r="G294" s="2962">
        <v>16292.28</v>
      </c>
      <c r="H294" s="2957">
        <v>413986.83480000001</v>
      </c>
      <c r="I294" s="2963"/>
    </row>
    <row r="295" spans="1:9">
      <c r="A295" s="2953">
        <v>292</v>
      </c>
      <c r="B295" s="2960" t="s">
        <v>3058</v>
      </c>
      <c r="C295" s="2964" t="s">
        <v>3059</v>
      </c>
      <c r="D295" s="2982" t="s">
        <v>3352</v>
      </c>
      <c r="E295" s="2983">
        <v>28.29</v>
      </c>
      <c r="F295" s="2955" t="s">
        <v>3061</v>
      </c>
      <c r="G295" s="2962">
        <v>16292.28</v>
      </c>
      <c r="H295" s="2957">
        <v>460908.60120000003</v>
      </c>
      <c r="I295" s="2963"/>
    </row>
    <row r="296" spans="1:9">
      <c r="A296" s="2953">
        <v>293</v>
      </c>
      <c r="B296" s="2960" t="s">
        <v>3058</v>
      </c>
      <c r="C296" s="2964" t="s">
        <v>3059</v>
      </c>
      <c r="D296" s="2982" t="s">
        <v>3353</v>
      </c>
      <c r="E296" s="2983">
        <v>36.4</v>
      </c>
      <c r="F296" s="2955" t="s">
        <v>3061</v>
      </c>
      <c r="G296" s="2962">
        <v>16292.28</v>
      </c>
      <c r="H296" s="2957">
        <v>593038.99199999997</v>
      </c>
      <c r="I296" s="2963"/>
    </row>
    <row r="297" spans="1:9">
      <c r="A297" s="2953">
        <v>294</v>
      </c>
      <c r="B297" s="2960" t="s">
        <v>3058</v>
      </c>
      <c r="C297" s="2964" t="s">
        <v>3059</v>
      </c>
      <c r="D297" s="2982" t="s">
        <v>3354</v>
      </c>
      <c r="E297" s="2983">
        <v>37.39</v>
      </c>
      <c r="F297" s="2955" t="s">
        <v>3061</v>
      </c>
      <c r="G297" s="2962">
        <v>16292.28</v>
      </c>
      <c r="H297" s="2957">
        <v>609168.34920000006</v>
      </c>
      <c r="I297" s="2963"/>
    </row>
    <row r="298" spans="1:9">
      <c r="A298" s="2953">
        <v>295</v>
      </c>
      <c r="B298" s="2960" t="s">
        <v>3058</v>
      </c>
      <c r="C298" s="2964" t="s">
        <v>3059</v>
      </c>
      <c r="D298" s="2982" t="s">
        <v>3355</v>
      </c>
      <c r="E298" s="2983">
        <v>26.88</v>
      </c>
      <c r="F298" s="2955" t="s">
        <v>3061</v>
      </c>
      <c r="G298" s="2962">
        <v>16292.28</v>
      </c>
      <c r="H298" s="2957">
        <v>437936.48639999999</v>
      </c>
      <c r="I298" s="2963"/>
    </row>
    <row r="299" spans="1:9">
      <c r="A299" s="2953">
        <v>296</v>
      </c>
      <c r="B299" s="2960" t="s">
        <v>3058</v>
      </c>
      <c r="C299" s="2964" t="s">
        <v>3059</v>
      </c>
      <c r="D299" s="2982" t="s">
        <v>3356</v>
      </c>
      <c r="E299" s="2983">
        <v>28.33</v>
      </c>
      <c r="F299" s="2955" t="s">
        <v>3061</v>
      </c>
      <c r="G299" s="2962">
        <v>16292.28</v>
      </c>
      <c r="H299" s="2957">
        <v>461560.29239999998</v>
      </c>
      <c r="I299" s="2963"/>
    </row>
  </sheetData>
  <mergeCells count="10">
    <mergeCell ref="A1:I1"/>
    <mergeCell ref="A2:A3"/>
    <mergeCell ref="B2:B3"/>
    <mergeCell ref="C2:C3"/>
    <mergeCell ref="D2:D3"/>
    <mergeCell ref="E2:E3"/>
    <mergeCell ref="F2:F3"/>
    <mergeCell ref="G2:G3"/>
    <mergeCell ref="H2:H3"/>
    <mergeCell ref="I2:I3"/>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
  <sheetViews>
    <sheetView workbookViewId="0">
      <selection activeCell="L27" sqref="L27"/>
    </sheetView>
  </sheetViews>
  <sheetFormatPr defaultRowHeight="13.5"/>
  <cols>
    <col min="6" max="6" width="16.75" bestFit="1" customWidth="1"/>
    <col min="11" max="11" width="10.5" bestFit="1" customWidth="1"/>
    <col min="12" max="12" width="9.5" bestFit="1" customWidth="1"/>
  </cols>
  <sheetData>
    <row r="1" spans="1:14" ht="25.5">
      <c r="A1" s="3409" t="s">
        <v>3357</v>
      </c>
      <c r="B1" s="3409"/>
      <c r="C1" s="3409"/>
      <c r="D1" s="3409"/>
      <c r="E1" s="3409"/>
      <c r="F1" s="3409"/>
      <c r="G1" s="3409"/>
      <c r="H1" s="3409"/>
      <c r="I1" s="3409"/>
    </row>
    <row r="2" spans="1:14">
      <c r="A2" s="3410" t="s">
        <v>3049</v>
      </c>
      <c r="B2" s="3402" t="s">
        <v>3050</v>
      </c>
      <c r="C2" s="3410" t="s">
        <v>3051</v>
      </c>
      <c r="D2" s="3410" t="s">
        <v>3052</v>
      </c>
      <c r="E2" s="3410" t="s">
        <v>3053</v>
      </c>
      <c r="F2" s="3411" t="s">
        <v>3054</v>
      </c>
      <c r="G2" s="3413" t="s">
        <v>3055</v>
      </c>
      <c r="H2" s="3414" t="s">
        <v>3056</v>
      </c>
      <c r="I2" s="3415" t="s">
        <v>3057</v>
      </c>
    </row>
    <row r="3" spans="1:14">
      <c r="A3" s="3410"/>
      <c r="B3" s="3403"/>
      <c r="C3" s="3410"/>
      <c r="D3" s="3410"/>
      <c r="E3" s="3410"/>
      <c r="F3" s="3412"/>
      <c r="G3" s="3413"/>
      <c r="H3" s="3414"/>
      <c r="I3" s="3415"/>
    </row>
    <row r="4" spans="1:14">
      <c r="A4" s="3000">
        <v>1</v>
      </c>
      <c r="B4" s="2997" t="s">
        <v>3058</v>
      </c>
      <c r="C4" s="3000" t="s">
        <v>3059</v>
      </c>
      <c r="D4" s="3015" t="s">
        <v>3358</v>
      </c>
      <c r="E4" s="3016">
        <v>46.34</v>
      </c>
      <c r="F4" s="2998" t="s">
        <v>3061</v>
      </c>
      <c r="G4" s="3001">
        <v>20245</v>
      </c>
      <c r="H4" s="3002">
        <v>938153.3</v>
      </c>
      <c r="I4" s="2999"/>
      <c r="K4" s="2993" t="s">
        <v>3439</v>
      </c>
      <c r="L4" s="2994">
        <f>SUM(E4:E8)+SUM(E12:E20)+SUM(E45:E47)+SUM(E51:E56)+SUM(E61:E65)+E72+SUM(E77:E79)</f>
        <v>937.05</v>
      </c>
    </row>
    <row r="5" spans="1:14">
      <c r="A5" s="3000">
        <v>2</v>
      </c>
      <c r="B5" s="2997" t="s">
        <v>3058</v>
      </c>
      <c r="C5" s="3000" t="s">
        <v>3059</v>
      </c>
      <c r="D5" s="3015" t="s">
        <v>3359</v>
      </c>
      <c r="E5" s="3016">
        <v>26.6</v>
      </c>
      <c r="F5" s="2998" t="s">
        <v>3061</v>
      </c>
      <c r="G5" s="3001">
        <v>20245</v>
      </c>
      <c r="H5" s="3002">
        <v>538517</v>
      </c>
      <c r="I5" s="2999"/>
      <c r="K5" s="2993" t="s">
        <v>3441</v>
      </c>
      <c r="L5">
        <f>SUM(E21:E26)+E48+SUM(E73:E76)</f>
        <v>359.04999999999995</v>
      </c>
    </row>
    <row r="6" spans="1:14">
      <c r="A6" s="3000">
        <v>3</v>
      </c>
      <c r="B6" s="2997" t="s">
        <v>3058</v>
      </c>
      <c r="C6" s="3000" t="s">
        <v>3059</v>
      </c>
      <c r="D6" s="3015" t="s">
        <v>3360</v>
      </c>
      <c r="E6" s="3016">
        <v>39.200000000000003</v>
      </c>
      <c r="F6" s="2998" t="s">
        <v>3061</v>
      </c>
      <c r="G6" s="3001">
        <v>20245</v>
      </c>
      <c r="H6" s="3002">
        <v>793604</v>
      </c>
      <c r="I6" s="2999"/>
      <c r="K6" s="2993" t="s">
        <v>3443</v>
      </c>
      <c r="L6">
        <f>SUM(E9:E11)+SUM(E27:E44)+SUM(E49:E50)+SUM(E57:E60)+SUM(E66:E71)+SUM(E80:E82)</f>
        <v>1096.69</v>
      </c>
    </row>
    <row r="7" spans="1:14">
      <c r="A7" s="3000">
        <v>4</v>
      </c>
      <c r="B7" s="2997" t="s">
        <v>3058</v>
      </c>
      <c r="C7" s="3000" t="s">
        <v>3059</v>
      </c>
      <c r="D7" s="3015" t="s">
        <v>3361</v>
      </c>
      <c r="E7" s="3016">
        <v>24.9</v>
      </c>
      <c r="F7" s="2998" t="s">
        <v>3061</v>
      </c>
      <c r="G7" s="3001">
        <v>20245</v>
      </c>
      <c r="H7" s="3002">
        <v>504100.5</v>
      </c>
      <c r="I7" s="2999"/>
      <c r="K7" s="2993" t="s">
        <v>3444</v>
      </c>
      <c r="L7" s="2994">
        <f>L4+L5+L6</f>
        <v>2392.79</v>
      </c>
    </row>
    <row r="8" spans="1:14">
      <c r="A8" s="3000">
        <v>5</v>
      </c>
      <c r="B8" s="2997" t="s">
        <v>3058</v>
      </c>
      <c r="C8" s="3000" t="s">
        <v>3059</v>
      </c>
      <c r="D8" s="3015" t="s">
        <v>3362</v>
      </c>
      <c r="E8" s="3015">
        <v>24.9</v>
      </c>
      <c r="F8" s="2998" t="s">
        <v>3061</v>
      </c>
      <c r="G8" s="3001">
        <v>20245</v>
      </c>
      <c r="H8" s="3002">
        <v>504100.5</v>
      </c>
      <c r="I8" s="2999"/>
    </row>
    <row r="9" spans="1:14">
      <c r="A9" s="3000">
        <v>6</v>
      </c>
      <c r="B9" s="2997" t="s">
        <v>3058</v>
      </c>
      <c r="C9" s="3000" t="s">
        <v>3059</v>
      </c>
      <c r="D9" s="3020" t="s">
        <v>3363</v>
      </c>
      <c r="E9" s="3021">
        <v>47.19</v>
      </c>
      <c r="F9" s="2998" t="s">
        <v>3061</v>
      </c>
      <c r="G9" s="3001">
        <v>20245</v>
      </c>
      <c r="H9" s="3002">
        <v>955361.54999999993</v>
      </c>
      <c r="I9" s="2999"/>
    </row>
    <row r="10" spans="1:14">
      <c r="A10" s="3000">
        <v>7</v>
      </c>
      <c r="B10" s="2997" t="s">
        <v>3058</v>
      </c>
      <c r="C10" s="3000" t="s">
        <v>3059</v>
      </c>
      <c r="D10" s="3020" t="s">
        <v>3364</v>
      </c>
      <c r="E10" s="3021">
        <v>51.29</v>
      </c>
      <c r="F10" s="2998" t="s">
        <v>3061</v>
      </c>
      <c r="G10" s="3001">
        <v>20245</v>
      </c>
      <c r="H10" s="3002">
        <v>1038366.0499999999</v>
      </c>
      <c r="I10" s="2999"/>
    </row>
    <row r="11" spans="1:14">
      <c r="A11" s="3000">
        <v>8</v>
      </c>
      <c r="B11" s="2997" t="s">
        <v>3058</v>
      </c>
      <c r="C11" s="3000" t="s">
        <v>3059</v>
      </c>
      <c r="D11" s="3020" t="s">
        <v>3365</v>
      </c>
      <c r="E11" s="3021">
        <v>51.24</v>
      </c>
      <c r="F11" s="2998" t="s">
        <v>3061</v>
      </c>
      <c r="G11" s="3001">
        <v>20245</v>
      </c>
      <c r="H11" s="3002">
        <v>1037353.8</v>
      </c>
      <c r="I11" s="2999"/>
    </row>
    <row r="12" spans="1:14">
      <c r="A12" s="3000">
        <v>9</v>
      </c>
      <c r="B12" s="2997" t="s">
        <v>3058</v>
      </c>
      <c r="C12" s="3000" t="s">
        <v>3059</v>
      </c>
      <c r="D12" s="3015" t="s">
        <v>3366</v>
      </c>
      <c r="E12" s="3016">
        <v>24.9</v>
      </c>
      <c r="F12" s="2998" t="s">
        <v>3061</v>
      </c>
      <c r="G12" s="3001">
        <v>20245</v>
      </c>
      <c r="H12" s="3002">
        <v>504100.5</v>
      </c>
      <c r="I12" s="2999"/>
    </row>
    <row r="13" spans="1:14">
      <c r="A13" s="3000">
        <v>10</v>
      </c>
      <c r="B13" s="2997" t="s">
        <v>3058</v>
      </c>
      <c r="C13" s="3000" t="s">
        <v>3059</v>
      </c>
      <c r="D13" s="3015" t="s">
        <v>3367</v>
      </c>
      <c r="E13" s="3015">
        <v>24.9</v>
      </c>
      <c r="F13" s="2998" t="s">
        <v>3061</v>
      </c>
      <c r="G13" s="3001">
        <v>20245</v>
      </c>
      <c r="H13" s="3002">
        <v>504100.5</v>
      </c>
      <c r="I13" s="2999"/>
      <c r="K13" s="2993" t="s">
        <v>3445</v>
      </c>
      <c r="L13" s="2993" t="s">
        <v>3446</v>
      </c>
      <c r="M13" s="2993" t="s">
        <v>3441</v>
      </c>
      <c r="N13" s="2952" t="s">
        <v>3443</v>
      </c>
    </row>
    <row r="14" spans="1:14">
      <c r="A14" s="3000">
        <v>11</v>
      </c>
      <c r="B14" s="2997" t="s">
        <v>3058</v>
      </c>
      <c r="C14" s="3000" t="s">
        <v>3059</v>
      </c>
      <c r="D14" s="3015" t="s">
        <v>3368</v>
      </c>
      <c r="E14" s="3017">
        <v>32.799999999999997</v>
      </c>
      <c r="F14" s="2998" t="s">
        <v>3061</v>
      </c>
      <c r="G14" s="3001">
        <v>20245</v>
      </c>
      <c r="H14" s="3002">
        <v>664036</v>
      </c>
      <c r="I14" s="2999"/>
      <c r="K14" s="2994">
        <f>L14+M14+N14</f>
        <v>11377.89</v>
      </c>
      <c r="L14" s="2994">
        <f>Sheet1!L4+Sheet2!L4</f>
        <v>3497.5499999999993</v>
      </c>
      <c r="M14">
        <f>Sheet1!L5+Sheet2!L5</f>
        <v>3891.99</v>
      </c>
      <c r="N14">
        <f>Sheet1!L6+Sheet2!L6</f>
        <v>3988.35</v>
      </c>
    </row>
    <row r="15" spans="1:14">
      <c r="A15" s="3000">
        <v>12</v>
      </c>
      <c r="B15" s="2997" t="s">
        <v>3058</v>
      </c>
      <c r="C15" s="3000" t="s">
        <v>3059</v>
      </c>
      <c r="D15" s="3015" t="s">
        <v>3369</v>
      </c>
      <c r="E15" s="3015">
        <v>24.9</v>
      </c>
      <c r="F15" s="2998" t="s">
        <v>3061</v>
      </c>
      <c r="G15" s="3001">
        <v>20245</v>
      </c>
      <c r="H15" s="3002">
        <v>504100.5</v>
      </c>
      <c r="I15" s="2999"/>
    </row>
    <row r="16" spans="1:14">
      <c r="A16" s="3000">
        <v>13</v>
      </c>
      <c r="B16" s="2997" t="s">
        <v>3058</v>
      </c>
      <c r="C16" s="3000" t="s">
        <v>3059</v>
      </c>
      <c r="D16" s="3015" t="s">
        <v>3370</v>
      </c>
      <c r="E16" s="3015">
        <v>27.84</v>
      </c>
      <c r="F16" s="2998" t="s">
        <v>3061</v>
      </c>
      <c r="G16" s="3001">
        <v>20245</v>
      </c>
      <c r="H16" s="3002">
        <v>563620.80000000005</v>
      </c>
      <c r="I16" s="2999"/>
    </row>
    <row r="17" spans="1:9">
      <c r="A17" s="3000">
        <v>14</v>
      </c>
      <c r="B17" s="2997" t="s">
        <v>3058</v>
      </c>
      <c r="C17" s="3000" t="s">
        <v>3059</v>
      </c>
      <c r="D17" s="3015" t="s">
        <v>3371</v>
      </c>
      <c r="E17" s="3015">
        <v>34.53</v>
      </c>
      <c r="F17" s="2998" t="s">
        <v>3061</v>
      </c>
      <c r="G17" s="3001">
        <v>20245</v>
      </c>
      <c r="H17" s="3002">
        <v>699059.85</v>
      </c>
      <c r="I17" s="2999"/>
    </row>
    <row r="18" spans="1:9">
      <c r="A18" s="3000">
        <v>15</v>
      </c>
      <c r="B18" s="2997" t="s">
        <v>3058</v>
      </c>
      <c r="C18" s="3000" t="s">
        <v>3059</v>
      </c>
      <c r="D18" s="3015" t="s">
        <v>3372</v>
      </c>
      <c r="E18" s="3015">
        <v>31.4</v>
      </c>
      <c r="F18" s="2998" t="s">
        <v>3061</v>
      </c>
      <c r="G18" s="3001">
        <v>20245</v>
      </c>
      <c r="H18" s="3002">
        <v>635693</v>
      </c>
      <c r="I18" s="2999"/>
    </row>
    <row r="19" spans="1:9">
      <c r="A19" s="3000">
        <v>16</v>
      </c>
      <c r="B19" s="2997" t="s">
        <v>3058</v>
      </c>
      <c r="C19" s="3000" t="s">
        <v>3059</v>
      </c>
      <c r="D19" s="3015" t="s">
        <v>3373</v>
      </c>
      <c r="E19" s="3015">
        <v>50.09</v>
      </c>
      <c r="F19" s="2998" t="s">
        <v>3061</v>
      </c>
      <c r="G19" s="3001">
        <v>20245</v>
      </c>
      <c r="H19" s="3002">
        <v>1014072.05</v>
      </c>
      <c r="I19" s="2999"/>
    </row>
    <row r="20" spans="1:9">
      <c r="A20" s="3000">
        <v>17</v>
      </c>
      <c r="B20" s="2997" t="s">
        <v>3058</v>
      </c>
      <c r="C20" s="3000" t="s">
        <v>3059</v>
      </c>
      <c r="D20" s="3015" t="s">
        <v>3374</v>
      </c>
      <c r="E20" s="3017">
        <v>24.7</v>
      </c>
      <c r="F20" s="2998" t="s">
        <v>3061</v>
      </c>
      <c r="G20" s="3001">
        <v>20245</v>
      </c>
      <c r="H20" s="3002">
        <v>500051.5</v>
      </c>
      <c r="I20" s="2999"/>
    </row>
    <row r="21" spans="1:9">
      <c r="A21" s="3000">
        <v>18</v>
      </c>
      <c r="B21" s="2997" t="s">
        <v>3058</v>
      </c>
      <c r="C21" s="3000" t="s">
        <v>3059</v>
      </c>
      <c r="D21" s="3018" t="s">
        <v>3375</v>
      </c>
      <c r="E21" s="3019">
        <v>20.8</v>
      </c>
      <c r="F21" s="2998" t="s">
        <v>3061</v>
      </c>
      <c r="G21" s="3001">
        <v>20245</v>
      </c>
      <c r="H21" s="3002">
        <v>421096</v>
      </c>
      <c r="I21" s="2999"/>
    </row>
    <row r="22" spans="1:9">
      <c r="A22" s="3000">
        <v>19</v>
      </c>
      <c r="B22" s="2997" t="s">
        <v>3058</v>
      </c>
      <c r="C22" s="3000" t="s">
        <v>3059</v>
      </c>
      <c r="D22" s="3018" t="s">
        <v>3376</v>
      </c>
      <c r="E22" s="3019">
        <v>17.47</v>
      </c>
      <c r="F22" s="2998" t="s">
        <v>3061</v>
      </c>
      <c r="G22" s="3001">
        <v>20245</v>
      </c>
      <c r="H22" s="3002">
        <v>353680.14999999997</v>
      </c>
      <c r="I22" s="2999"/>
    </row>
    <row r="23" spans="1:9">
      <c r="A23" s="3000">
        <v>20</v>
      </c>
      <c r="B23" s="2997" t="s">
        <v>3058</v>
      </c>
      <c r="C23" s="3000" t="s">
        <v>3059</v>
      </c>
      <c r="D23" s="3018" t="s">
        <v>3377</v>
      </c>
      <c r="E23" s="3019">
        <v>28.75</v>
      </c>
      <c r="F23" s="2998" t="s">
        <v>3061</v>
      </c>
      <c r="G23" s="3001">
        <v>20245</v>
      </c>
      <c r="H23" s="3002">
        <v>582043.75</v>
      </c>
      <c r="I23" s="2999"/>
    </row>
    <row r="24" spans="1:9">
      <c r="A24" s="3000">
        <v>21</v>
      </c>
      <c r="B24" s="2997" t="s">
        <v>3058</v>
      </c>
      <c r="C24" s="3000" t="s">
        <v>3059</v>
      </c>
      <c r="D24" s="3018" t="s">
        <v>3378</v>
      </c>
      <c r="E24" s="3019">
        <v>36.24</v>
      </c>
      <c r="F24" s="2998" t="s">
        <v>3061</v>
      </c>
      <c r="G24" s="3001">
        <v>20245</v>
      </c>
      <c r="H24" s="3002">
        <v>733678.8</v>
      </c>
      <c r="I24" s="2999"/>
    </row>
    <row r="25" spans="1:9">
      <c r="A25" s="3000">
        <v>22</v>
      </c>
      <c r="B25" s="2997" t="s">
        <v>3058</v>
      </c>
      <c r="C25" s="3000" t="s">
        <v>3059</v>
      </c>
      <c r="D25" s="3018" t="s">
        <v>3379</v>
      </c>
      <c r="E25" s="3019">
        <v>30.08</v>
      </c>
      <c r="F25" s="2998" t="s">
        <v>3061</v>
      </c>
      <c r="G25" s="3001">
        <v>20245</v>
      </c>
      <c r="H25" s="3002">
        <v>608969.6</v>
      </c>
      <c r="I25" s="2999"/>
    </row>
    <row r="26" spans="1:9">
      <c r="A26" s="3000">
        <v>23</v>
      </c>
      <c r="B26" s="2997" t="s">
        <v>3058</v>
      </c>
      <c r="C26" s="3000" t="s">
        <v>3059</v>
      </c>
      <c r="D26" s="3018" t="s">
        <v>3380</v>
      </c>
      <c r="E26" s="3019">
        <v>36.24</v>
      </c>
      <c r="F26" s="2998" t="s">
        <v>3061</v>
      </c>
      <c r="G26" s="3001">
        <v>20245</v>
      </c>
      <c r="H26" s="3002">
        <v>733678.8</v>
      </c>
      <c r="I26" s="2999"/>
    </row>
    <row r="27" spans="1:9">
      <c r="A27" s="3000">
        <v>24</v>
      </c>
      <c r="B27" s="2997" t="s">
        <v>3058</v>
      </c>
      <c r="C27" s="3000" t="s">
        <v>3059</v>
      </c>
      <c r="D27" s="3020" t="s">
        <v>3381</v>
      </c>
      <c r="E27" s="3021">
        <v>27.67</v>
      </c>
      <c r="F27" s="2998" t="s">
        <v>3061</v>
      </c>
      <c r="G27" s="3001">
        <v>20245</v>
      </c>
      <c r="H27" s="3002">
        <v>560179.15</v>
      </c>
      <c r="I27" s="2999"/>
    </row>
    <row r="28" spans="1:9">
      <c r="A28" s="3000">
        <v>25</v>
      </c>
      <c r="B28" s="2997" t="s">
        <v>3058</v>
      </c>
      <c r="C28" s="3000" t="s">
        <v>3059</v>
      </c>
      <c r="D28" s="3020" t="s">
        <v>3382</v>
      </c>
      <c r="E28" s="3021">
        <v>25.45</v>
      </c>
      <c r="F28" s="2998" t="s">
        <v>3061</v>
      </c>
      <c r="G28" s="3001">
        <v>20245</v>
      </c>
      <c r="H28" s="3002">
        <v>515235.25</v>
      </c>
      <c r="I28" s="2999"/>
    </row>
    <row r="29" spans="1:9">
      <c r="A29" s="3000">
        <v>26</v>
      </c>
      <c r="B29" s="2997" t="s">
        <v>3058</v>
      </c>
      <c r="C29" s="3000" t="s">
        <v>3059</v>
      </c>
      <c r="D29" s="3020" t="s">
        <v>3383</v>
      </c>
      <c r="E29" s="3021">
        <v>25.33</v>
      </c>
      <c r="F29" s="2998" t="s">
        <v>3061</v>
      </c>
      <c r="G29" s="3001">
        <v>20245</v>
      </c>
      <c r="H29" s="3002">
        <v>512805.85</v>
      </c>
      <c r="I29" s="2999"/>
    </row>
    <row r="30" spans="1:9">
      <c r="A30" s="3000">
        <v>27</v>
      </c>
      <c r="B30" s="2997" t="s">
        <v>3058</v>
      </c>
      <c r="C30" s="3000" t="s">
        <v>3059</v>
      </c>
      <c r="D30" s="3020" t="s">
        <v>3384</v>
      </c>
      <c r="E30" s="3021">
        <v>25.34</v>
      </c>
      <c r="F30" s="2998" t="s">
        <v>3061</v>
      </c>
      <c r="G30" s="3001">
        <v>20245</v>
      </c>
      <c r="H30" s="3002">
        <v>513008.3</v>
      </c>
      <c r="I30" s="2999"/>
    </row>
    <row r="31" spans="1:9">
      <c r="A31" s="3000">
        <v>28</v>
      </c>
      <c r="B31" s="2997" t="s">
        <v>3058</v>
      </c>
      <c r="C31" s="3000" t="s">
        <v>3059</v>
      </c>
      <c r="D31" s="3020" t="s">
        <v>3385</v>
      </c>
      <c r="E31" s="3021">
        <v>25.39</v>
      </c>
      <c r="F31" s="2998" t="s">
        <v>3061</v>
      </c>
      <c r="G31" s="3001">
        <v>20245</v>
      </c>
      <c r="H31" s="3002">
        <v>514020.55</v>
      </c>
      <c r="I31" s="2999"/>
    </row>
    <row r="32" spans="1:9">
      <c r="A32" s="3000">
        <v>29</v>
      </c>
      <c r="B32" s="2997" t="s">
        <v>3058</v>
      </c>
      <c r="C32" s="3000" t="s">
        <v>3059</v>
      </c>
      <c r="D32" s="3020" t="s">
        <v>3386</v>
      </c>
      <c r="E32" s="3021">
        <v>25.37</v>
      </c>
      <c r="F32" s="2998" t="s">
        <v>3061</v>
      </c>
      <c r="G32" s="3001">
        <v>20245</v>
      </c>
      <c r="H32" s="3002">
        <v>513615.65</v>
      </c>
      <c r="I32" s="2999"/>
    </row>
    <row r="33" spans="1:9">
      <c r="A33" s="3000">
        <v>30</v>
      </c>
      <c r="B33" s="2997" t="s">
        <v>3058</v>
      </c>
      <c r="C33" s="3000" t="s">
        <v>3059</v>
      </c>
      <c r="D33" s="3020" t="s">
        <v>3387</v>
      </c>
      <c r="E33" s="3021">
        <v>17.37</v>
      </c>
      <c r="F33" s="2998" t="s">
        <v>3061</v>
      </c>
      <c r="G33" s="3001">
        <v>20245</v>
      </c>
      <c r="H33" s="3002">
        <v>351655.65</v>
      </c>
      <c r="I33" s="2999"/>
    </row>
    <row r="34" spans="1:9">
      <c r="A34" s="3000">
        <v>31</v>
      </c>
      <c r="B34" s="2997" t="s">
        <v>3058</v>
      </c>
      <c r="C34" s="3000" t="s">
        <v>3059</v>
      </c>
      <c r="D34" s="3020" t="s">
        <v>3388</v>
      </c>
      <c r="E34" s="3021">
        <v>27.65</v>
      </c>
      <c r="F34" s="2998" t="s">
        <v>3061</v>
      </c>
      <c r="G34" s="3001">
        <v>20245</v>
      </c>
      <c r="H34" s="3002">
        <v>559774.25</v>
      </c>
      <c r="I34" s="2999"/>
    </row>
    <row r="35" spans="1:9">
      <c r="A35" s="3000">
        <v>32</v>
      </c>
      <c r="B35" s="2997" t="s">
        <v>3058</v>
      </c>
      <c r="C35" s="3000" t="s">
        <v>3059</v>
      </c>
      <c r="D35" s="3020" t="s">
        <v>3389</v>
      </c>
      <c r="E35" s="3021">
        <v>25.43</v>
      </c>
      <c r="F35" s="2998" t="s">
        <v>3061</v>
      </c>
      <c r="G35" s="3001">
        <v>20245</v>
      </c>
      <c r="H35" s="3002">
        <v>514830.35</v>
      </c>
      <c r="I35" s="2999"/>
    </row>
    <row r="36" spans="1:9">
      <c r="A36" s="3000">
        <v>33</v>
      </c>
      <c r="B36" s="2997" t="s">
        <v>3058</v>
      </c>
      <c r="C36" s="3000" t="s">
        <v>3059</v>
      </c>
      <c r="D36" s="3020" t="s">
        <v>3390</v>
      </c>
      <c r="E36" s="3021">
        <v>25.33</v>
      </c>
      <c r="F36" s="2998" t="s">
        <v>3061</v>
      </c>
      <c r="G36" s="3001">
        <v>20245</v>
      </c>
      <c r="H36" s="3002">
        <v>512805.85</v>
      </c>
      <c r="I36" s="2999"/>
    </row>
    <row r="37" spans="1:9">
      <c r="A37" s="3000">
        <v>34</v>
      </c>
      <c r="B37" s="2997" t="s">
        <v>3058</v>
      </c>
      <c r="C37" s="3000" t="s">
        <v>3059</v>
      </c>
      <c r="D37" s="3020" t="s">
        <v>3391</v>
      </c>
      <c r="E37" s="3021">
        <v>25.33</v>
      </c>
      <c r="F37" s="2998" t="s">
        <v>3061</v>
      </c>
      <c r="G37" s="3001">
        <v>20245</v>
      </c>
      <c r="H37" s="3002">
        <v>512805.85</v>
      </c>
      <c r="I37" s="2999"/>
    </row>
    <row r="38" spans="1:9">
      <c r="A38" s="3000">
        <v>35</v>
      </c>
      <c r="B38" s="2997" t="s">
        <v>3058</v>
      </c>
      <c r="C38" s="3000" t="s">
        <v>3059</v>
      </c>
      <c r="D38" s="3020" t="s">
        <v>3392</v>
      </c>
      <c r="E38" s="3021">
        <v>25.36</v>
      </c>
      <c r="F38" s="2998" t="s">
        <v>3061</v>
      </c>
      <c r="G38" s="3001">
        <v>20245</v>
      </c>
      <c r="H38" s="3002">
        <v>513413.2</v>
      </c>
      <c r="I38" s="2999"/>
    </row>
    <row r="39" spans="1:9">
      <c r="A39" s="3000">
        <v>36</v>
      </c>
      <c r="B39" s="2997" t="s">
        <v>3058</v>
      </c>
      <c r="C39" s="3000" t="s">
        <v>3059</v>
      </c>
      <c r="D39" s="3020" t="s">
        <v>3393</v>
      </c>
      <c r="E39" s="3021">
        <v>25.35</v>
      </c>
      <c r="F39" s="2998" t="s">
        <v>3061</v>
      </c>
      <c r="G39" s="3001">
        <v>20245</v>
      </c>
      <c r="H39" s="3002">
        <v>513210.75</v>
      </c>
      <c r="I39" s="2999"/>
    </row>
    <row r="40" spans="1:9">
      <c r="A40" s="3000">
        <v>37</v>
      </c>
      <c r="B40" s="2997" t="s">
        <v>3058</v>
      </c>
      <c r="C40" s="3000" t="s">
        <v>3059</v>
      </c>
      <c r="D40" s="3020" t="s">
        <v>3394</v>
      </c>
      <c r="E40" s="3021">
        <v>48.36</v>
      </c>
      <c r="F40" s="2998" t="s">
        <v>3061</v>
      </c>
      <c r="G40" s="3001">
        <v>20245</v>
      </c>
      <c r="H40" s="3002">
        <v>979048.2</v>
      </c>
      <c r="I40" s="2999"/>
    </row>
    <row r="41" spans="1:9">
      <c r="A41" s="3000">
        <v>38</v>
      </c>
      <c r="B41" s="2997" t="s">
        <v>3058</v>
      </c>
      <c r="C41" s="3000" t="s">
        <v>3059</v>
      </c>
      <c r="D41" s="3020" t="s">
        <v>3395</v>
      </c>
      <c r="E41" s="3021">
        <v>46.72</v>
      </c>
      <c r="F41" s="2998" t="s">
        <v>3061</v>
      </c>
      <c r="G41" s="3001">
        <v>20245</v>
      </c>
      <c r="H41" s="3002">
        <v>945846.4</v>
      </c>
      <c r="I41" s="2999"/>
    </row>
    <row r="42" spans="1:9">
      <c r="A42" s="3000">
        <v>39</v>
      </c>
      <c r="B42" s="2997" t="s">
        <v>3058</v>
      </c>
      <c r="C42" s="3000" t="s">
        <v>3059</v>
      </c>
      <c r="D42" s="3020" t="s">
        <v>3396</v>
      </c>
      <c r="E42" s="3021">
        <v>25.31</v>
      </c>
      <c r="F42" s="2998" t="s">
        <v>3061</v>
      </c>
      <c r="G42" s="3001">
        <v>20245</v>
      </c>
      <c r="H42" s="3002">
        <v>512400.94999999995</v>
      </c>
      <c r="I42" s="2999"/>
    </row>
    <row r="43" spans="1:9">
      <c r="A43" s="3000">
        <v>40</v>
      </c>
      <c r="B43" s="2997" t="s">
        <v>3058</v>
      </c>
      <c r="C43" s="3000" t="s">
        <v>3059</v>
      </c>
      <c r="D43" s="3020" t="s">
        <v>3397</v>
      </c>
      <c r="E43" s="3021">
        <v>25.31</v>
      </c>
      <c r="F43" s="2998" t="s">
        <v>3061</v>
      </c>
      <c r="G43" s="3001">
        <v>20245</v>
      </c>
      <c r="H43" s="3002">
        <v>512400.94999999995</v>
      </c>
      <c r="I43" s="2999"/>
    </row>
    <row r="44" spans="1:9">
      <c r="A44" s="3000">
        <v>41</v>
      </c>
      <c r="B44" s="2997" t="s">
        <v>3058</v>
      </c>
      <c r="C44" s="3000" t="s">
        <v>3059</v>
      </c>
      <c r="D44" s="3020" t="s">
        <v>3398</v>
      </c>
      <c r="E44" s="3021">
        <v>36.979999999999997</v>
      </c>
      <c r="F44" s="2998" t="s">
        <v>3061</v>
      </c>
      <c r="G44" s="3001">
        <v>20245</v>
      </c>
      <c r="H44" s="3002">
        <v>748660.1</v>
      </c>
      <c r="I44" s="2999"/>
    </row>
    <row r="45" spans="1:9">
      <c r="A45" s="3000">
        <v>42</v>
      </c>
      <c r="B45" s="2997" t="s">
        <v>3058</v>
      </c>
      <c r="C45" s="3000" t="s">
        <v>3059</v>
      </c>
      <c r="D45" s="3015" t="s">
        <v>3399</v>
      </c>
      <c r="E45" s="3016">
        <v>44.74</v>
      </c>
      <c r="F45" s="2998" t="s">
        <v>3061</v>
      </c>
      <c r="G45" s="3001">
        <v>20245</v>
      </c>
      <c r="H45" s="3002">
        <v>905761.3</v>
      </c>
      <c r="I45" s="2999"/>
    </row>
    <row r="46" spans="1:9">
      <c r="A46" s="3000">
        <v>43</v>
      </c>
      <c r="B46" s="2997" t="s">
        <v>3058</v>
      </c>
      <c r="C46" s="3000" t="s">
        <v>3059</v>
      </c>
      <c r="D46" s="3015" t="s">
        <v>3400</v>
      </c>
      <c r="E46" s="3017">
        <v>38.61</v>
      </c>
      <c r="F46" s="2998" t="s">
        <v>3061</v>
      </c>
      <c r="G46" s="3001">
        <v>20245</v>
      </c>
      <c r="H46" s="3002">
        <v>781659.45</v>
      </c>
      <c r="I46" s="2999"/>
    </row>
    <row r="47" spans="1:9">
      <c r="A47" s="3000">
        <v>44</v>
      </c>
      <c r="B47" s="2997" t="s">
        <v>3058</v>
      </c>
      <c r="C47" s="3000" t="s">
        <v>3059</v>
      </c>
      <c r="D47" s="3015" t="s">
        <v>3401</v>
      </c>
      <c r="E47" s="3017">
        <v>38.61</v>
      </c>
      <c r="F47" s="2998" t="s">
        <v>3061</v>
      </c>
      <c r="G47" s="3001">
        <v>20245</v>
      </c>
      <c r="H47" s="3002">
        <v>781659.45</v>
      </c>
      <c r="I47" s="2999"/>
    </row>
    <row r="48" spans="1:9">
      <c r="A48" s="3000">
        <v>45</v>
      </c>
      <c r="B48" s="2997" t="s">
        <v>3058</v>
      </c>
      <c r="C48" s="3000" t="s">
        <v>3059</v>
      </c>
      <c r="D48" s="3018" t="s">
        <v>3402</v>
      </c>
      <c r="E48" s="3019">
        <v>49.53</v>
      </c>
      <c r="F48" s="2998" t="s">
        <v>3061</v>
      </c>
      <c r="G48" s="3001">
        <v>20245</v>
      </c>
      <c r="H48" s="3002">
        <v>1002734.85</v>
      </c>
      <c r="I48" s="2999"/>
    </row>
    <row r="49" spans="1:9">
      <c r="A49" s="3000">
        <v>46</v>
      </c>
      <c r="B49" s="2997" t="s">
        <v>3058</v>
      </c>
      <c r="C49" s="3000" t="s">
        <v>3059</v>
      </c>
      <c r="D49" s="3020" t="s">
        <v>3403</v>
      </c>
      <c r="E49" s="3021">
        <v>37.549999999999997</v>
      </c>
      <c r="F49" s="2998" t="s">
        <v>3061</v>
      </c>
      <c r="G49" s="3001">
        <v>20245</v>
      </c>
      <c r="H49" s="3002">
        <v>760199.75</v>
      </c>
      <c r="I49" s="2999"/>
    </row>
    <row r="50" spans="1:9">
      <c r="A50" s="3000">
        <v>47</v>
      </c>
      <c r="B50" s="2997" t="s">
        <v>3058</v>
      </c>
      <c r="C50" s="3003" t="s">
        <v>3059</v>
      </c>
      <c r="D50" s="3028" t="s">
        <v>3404</v>
      </c>
      <c r="E50" s="3029">
        <v>54.79</v>
      </c>
      <c r="F50" s="2998" t="s">
        <v>3061</v>
      </c>
      <c r="G50" s="3005">
        <v>20245</v>
      </c>
      <c r="H50" s="3006">
        <v>1109223.55</v>
      </c>
      <c r="I50" s="3004"/>
    </row>
    <row r="51" spans="1:9">
      <c r="A51" s="3000">
        <v>48</v>
      </c>
      <c r="B51" s="2997" t="s">
        <v>3058</v>
      </c>
      <c r="C51" s="3003" t="s">
        <v>3059</v>
      </c>
      <c r="D51" s="3022" t="s">
        <v>3405</v>
      </c>
      <c r="E51" s="3023">
        <v>24.9</v>
      </c>
      <c r="F51" s="2998" t="s">
        <v>3061</v>
      </c>
      <c r="G51" s="3005">
        <v>20245</v>
      </c>
      <c r="H51" s="3006">
        <v>504100.5</v>
      </c>
      <c r="I51" s="3004"/>
    </row>
    <row r="52" spans="1:9">
      <c r="A52" s="3000">
        <v>49</v>
      </c>
      <c r="B52" s="2997" t="s">
        <v>3058</v>
      </c>
      <c r="C52" s="3003" t="s">
        <v>3059</v>
      </c>
      <c r="D52" s="3022" t="s">
        <v>3406</v>
      </c>
      <c r="E52" s="3022">
        <v>24.9</v>
      </c>
      <c r="F52" s="2998" t="s">
        <v>3061</v>
      </c>
      <c r="G52" s="3005">
        <v>20245</v>
      </c>
      <c r="H52" s="3006">
        <v>504100.5</v>
      </c>
      <c r="I52" s="3004"/>
    </row>
    <row r="53" spans="1:9">
      <c r="A53" s="3000">
        <v>50</v>
      </c>
      <c r="B53" s="2997" t="s">
        <v>3058</v>
      </c>
      <c r="C53" s="3003" t="s">
        <v>3059</v>
      </c>
      <c r="D53" s="3022" t="s">
        <v>3407</v>
      </c>
      <c r="E53" s="3023">
        <v>24.9</v>
      </c>
      <c r="F53" s="2998" t="s">
        <v>3061</v>
      </c>
      <c r="G53" s="3005">
        <v>20245</v>
      </c>
      <c r="H53" s="3006">
        <v>504100.5</v>
      </c>
      <c r="I53" s="3004"/>
    </row>
    <row r="54" spans="1:9">
      <c r="A54" s="3000">
        <v>51</v>
      </c>
      <c r="B54" s="2997" t="s">
        <v>3058</v>
      </c>
      <c r="C54" s="3003" t="s">
        <v>3059</v>
      </c>
      <c r="D54" s="3022" t="s">
        <v>3408</v>
      </c>
      <c r="E54" s="3023">
        <v>24.9</v>
      </c>
      <c r="F54" s="2998" t="s">
        <v>3061</v>
      </c>
      <c r="G54" s="3005">
        <v>20245</v>
      </c>
      <c r="H54" s="3006">
        <v>504100.5</v>
      </c>
      <c r="I54" s="3004"/>
    </row>
    <row r="55" spans="1:9">
      <c r="A55" s="3000">
        <v>52</v>
      </c>
      <c r="B55" s="2997" t="s">
        <v>3058</v>
      </c>
      <c r="C55" s="3003" t="s">
        <v>3059</v>
      </c>
      <c r="D55" s="3022" t="s">
        <v>3409</v>
      </c>
      <c r="E55" s="3023">
        <v>24.9</v>
      </c>
      <c r="F55" s="2998" t="s">
        <v>3061</v>
      </c>
      <c r="G55" s="3005">
        <v>20245</v>
      </c>
      <c r="H55" s="3006">
        <v>504100.5</v>
      </c>
      <c r="I55" s="3004"/>
    </row>
    <row r="56" spans="1:9">
      <c r="A56" s="3000">
        <v>53</v>
      </c>
      <c r="B56" s="2997" t="s">
        <v>3058</v>
      </c>
      <c r="C56" s="3003" t="s">
        <v>3059</v>
      </c>
      <c r="D56" s="3022" t="s">
        <v>3410</v>
      </c>
      <c r="E56" s="3023">
        <v>24.9</v>
      </c>
      <c r="F56" s="2998" t="s">
        <v>3061</v>
      </c>
      <c r="G56" s="3005">
        <v>20245</v>
      </c>
      <c r="H56" s="3006">
        <v>504100.5</v>
      </c>
      <c r="I56" s="3004"/>
    </row>
    <row r="57" spans="1:9">
      <c r="A57" s="3000">
        <v>54</v>
      </c>
      <c r="B57" s="2997" t="s">
        <v>3058</v>
      </c>
      <c r="C57" s="3003" t="s">
        <v>3059</v>
      </c>
      <c r="D57" s="3028" t="s">
        <v>3411</v>
      </c>
      <c r="E57" s="3029">
        <v>28.92</v>
      </c>
      <c r="F57" s="2998" t="s">
        <v>3061</v>
      </c>
      <c r="G57" s="3005">
        <v>20245</v>
      </c>
      <c r="H57" s="3006">
        <v>585485.4</v>
      </c>
      <c r="I57" s="3004"/>
    </row>
    <row r="58" spans="1:9">
      <c r="A58" s="3000">
        <v>55</v>
      </c>
      <c r="B58" s="2997" t="s">
        <v>3058</v>
      </c>
      <c r="C58" s="3003" t="s">
        <v>3059</v>
      </c>
      <c r="D58" s="3028" t="s">
        <v>3412</v>
      </c>
      <c r="E58" s="3029">
        <v>25.41</v>
      </c>
      <c r="F58" s="2998" t="s">
        <v>3061</v>
      </c>
      <c r="G58" s="3005">
        <v>20245</v>
      </c>
      <c r="H58" s="3006">
        <v>514425.45</v>
      </c>
      <c r="I58" s="3004"/>
    </row>
    <row r="59" spans="1:9">
      <c r="A59" s="3000">
        <v>56</v>
      </c>
      <c r="B59" s="2997" t="s">
        <v>3058</v>
      </c>
      <c r="C59" s="3003" t="s">
        <v>3059</v>
      </c>
      <c r="D59" s="3028" t="s">
        <v>3413</v>
      </c>
      <c r="E59" s="3029">
        <v>25.41</v>
      </c>
      <c r="F59" s="2998" t="s">
        <v>3061</v>
      </c>
      <c r="G59" s="3005">
        <v>20245</v>
      </c>
      <c r="H59" s="3006">
        <v>514425.45</v>
      </c>
      <c r="I59" s="3004"/>
    </row>
    <row r="60" spans="1:9">
      <c r="A60" s="3000">
        <v>57</v>
      </c>
      <c r="B60" s="2997" t="s">
        <v>3058</v>
      </c>
      <c r="C60" s="3003" t="s">
        <v>3059</v>
      </c>
      <c r="D60" s="3028" t="s">
        <v>3414</v>
      </c>
      <c r="E60" s="3029">
        <v>25.41</v>
      </c>
      <c r="F60" s="2998" t="s">
        <v>3061</v>
      </c>
      <c r="G60" s="3005">
        <v>20245</v>
      </c>
      <c r="H60" s="3006">
        <v>514425.45</v>
      </c>
      <c r="I60" s="3004"/>
    </row>
    <row r="61" spans="1:9">
      <c r="A61" s="3000">
        <v>58</v>
      </c>
      <c r="B61" s="2997" t="s">
        <v>3058</v>
      </c>
      <c r="C61" s="3003" t="s">
        <v>3059</v>
      </c>
      <c r="D61" s="3022" t="s">
        <v>3415</v>
      </c>
      <c r="E61" s="3023">
        <v>24.9</v>
      </c>
      <c r="F61" s="2998" t="s">
        <v>3061</v>
      </c>
      <c r="G61" s="3005">
        <v>20245</v>
      </c>
      <c r="H61" s="3006">
        <v>504100.5</v>
      </c>
      <c r="I61" s="3004"/>
    </row>
    <row r="62" spans="1:9">
      <c r="A62" s="3000">
        <v>59</v>
      </c>
      <c r="B62" s="2997" t="s">
        <v>3058</v>
      </c>
      <c r="C62" s="3003" t="s">
        <v>3059</v>
      </c>
      <c r="D62" s="3022" t="s">
        <v>3416</v>
      </c>
      <c r="E62" s="3023">
        <v>27.84</v>
      </c>
      <c r="F62" s="2998" t="s">
        <v>3061</v>
      </c>
      <c r="G62" s="3005">
        <v>20245</v>
      </c>
      <c r="H62" s="3006">
        <v>563620.80000000005</v>
      </c>
      <c r="I62" s="3004"/>
    </row>
    <row r="63" spans="1:9">
      <c r="A63" s="3000">
        <v>60</v>
      </c>
      <c r="B63" s="2997" t="s">
        <v>3058</v>
      </c>
      <c r="C63" s="3003" t="s">
        <v>3059</v>
      </c>
      <c r="D63" s="3022" t="s">
        <v>3417</v>
      </c>
      <c r="E63" s="3022">
        <v>18.61</v>
      </c>
      <c r="F63" s="2998" t="s">
        <v>3061</v>
      </c>
      <c r="G63" s="3005">
        <v>20245</v>
      </c>
      <c r="H63" s="3006">
        <v>376759.45</v>
      </c>
      <c r="I63" s="3004"/>
    </row>
    <row r="64" spans="1:9">
      <c r="A64" s="3000">
        <v>61</v>
      </c>
      <c r="B64" s="2997" t="s">
        <v>3058</v>
      </c>
      <c r="C64" s="3003" t="s">
        <v>3059</v>
      </c>
      <c r="D64" s="3022" t="s">
        <v>3418</v>
      </c>
      <c r="E64" s="3022">
        <v>24.9</v>
      </c>
      <c r="F64" s="2998" t="s">
        <v>3061</v>
      </c>
      <c r="G64" s="3005">
        <v>20245</v>
      </c>
      <c r="H64" s="3006">
        <v>504100.5</v>
      </c>
      <c r="I64" s="3004"/>
    </row>
    <row r="65" spans="1:9">
      <c r="A65" s="3000">
        <v>62</v>
      </c>
      <c r="B65" s="2997" t="s">
        <v>3058</v>
      </c>
      <c r="C65" s="3003" t="s">
        <v>3059</v>
      </c>
      <c r="D65" s="3022" t="s">
        <v>3419</v>
      </c>
      <c r="E65" s="3022">
        <v>24.9</v>
      </c>
      <c r="F65" s="2998" t="s">
        <v>3061</v>
      </c>
      <c r="G65" s="3005">
        <v>20245</v>
      </c>
      <c r="H65" s="3006">
        <v>504100.5</v>
      </c>
      <c r="I65" s="3004"/>
    </row>
    <row r="66" spans="1:9">
      <c r="A66" s="3000">
        <v>63</v>
      </c>
      <c r="B66" s="2997" t="s">
        <v>3058</v>
      </c>
      <c r="C66" s="3003" t="s">
        <v>3059</v>
      </c>
      <c r="D66" s="3028" t="s">
        <v>3420</v>
      </c>
      <c r="E66" s="3029">
        <v>28.38</v>
      </c>
      <c r="F66" s="2998" t="s">
        <v>3061</v>
      </c>
      <c r="G66" s="3005">
        <v>20245</v>
      </c>
      <c r="H66" s="3006">
        <v>574553.1</v>
      </c>
      <c r="I66" s="3004"/>
    </row>
    <row r="67" spans="1:9">
      <c r="A67" s="3000">
        <v>64</v>
      </c>
      <c r="B67" s="2997" t="s">
        <v>3058</v>
      </c>
      <c r="C67" s="3003" t="s">
        <v>3059</v>
      </c>
      <c r="D67" s="3028" t="s">
        <v>3421</v>
      </c>
      <c r="E67" s="3029">
        <v>34.18</v>
      </c>
      <c r="F67" s="2998" t="s">
        <v>3061</v>
      </c>
      <c r="G67" s="3005">
        <v>20245</v>
      </c>
      <c r="H67" s="3006">
        <v>691974.1</v>
      </c>
      <c r="I67" s="3004"/>
    </row>
    <row r="68" spans="1:9">
      <c r="A68" s="3000">
        <v>65</v>
      </c>
      <c r="B68" s="2997" t="s">
        <v>3058</v>
      </c>
      <c r="C68" s="3003" t="s">
        <v>3059</v>
      </c>
      <c r="D68" s="3028" t="s">
        <v>3422</v>
      </c>
      <c r="E68" s="3029">
        <v>25.41</v>
      </c>
      <c r="F68" s="2998" t="s">
        <v>3061</v>
      </c>
      <c r="G68" s="3005">
        <v>20245</v>
      </c>
      <c r="H68" s="3006">
        <v>514425.45</v>
      </c>
      <c r="I68" s="3004"/>
    </row>
    <row r="69" spans="1:9">
      <c r="A69" s="3000">
        <v>66</v>
      </c>
      <c r="B69" s="2997" t="s">
        <v>3058</v>
      </c>
      <c r="C69" s="3003" t="s">
        <v>3059</v>
      </c>
      <c r="D69" s="3028" t="s">
        <v>3423</v>
      </c>
      <c r="E69" s="3029">
        <v>25.41</v>
      </c>
      <c r="F69" s="2998" t="s">
        <v>3061</v>
      </c>
      <c r="G69" s="3005">
        <v>20245</v>
      </c>
      <c r="H69" s="3006">
        <v>514425.45</v>
      </c>
      <c r="I69" s="3004"/>
    </row>
    <row r="70" spans="1:9">
      <c r="A70" s="3000">
        <v>67</v>
      </c>
      <c r="B70" s="2997" t="s">
        <v>3058</v>
      </c>
      <c r="C70" s="3003" t="s">
        <v>3059</v>
      </c>
      <c r="D70" s="3028" t="s">
        <v>3424</v>
      </c>
      <c r="E70" s="3029">
        <v>25.41</v>
      </c>
      <c r="F70" s="2998" t="s">
        <v>3061</v>
      </c>
      <c r="G70" s="3005">
        <v>20245</v>
      </c>
      <c r="H70" s="3006">
        <v>514425.45</v>
      </c>
      <c r="I70" s="3004"/>
    </row>
    <row r="71" spans="1:9">
      <c r="A71" s="3000">
        <v>68</v>
      </c>
      <c r="B71" s="2997" t="s">
        <v>3058</v>
      </c>
      <c r="C71" s="3003" t="s">
        <v>3059</v>
      </c>
      <c r="D71" s="3028" t="s">
        <v>3425</v>
      </c>
      <c r="E71" s="3029">
        <v>25.41</v>
      </c>
      <c r="F71" s="2998" t="s">
        <v>3061</v>
      </c>
      <c r="G71" s="3005">
        <v>20245</v>
      </c>
      <c r="H71" s="3006">
        <v>514425.45</v>
      </c>
      <c r="I71" s="3004"/>
    </row>
    <row r="72" spans="1:9">
      <c r="A72" s="3000">
        <v>69</v>
      </c>
      <c r="B72" s="2997" t="s">
        <v>3058</v>
      </c>
      <c r="C72" s="3003" t="s">
        <v>3059</v>
      </c>
      <c r="D72" s="3024" t="s">
        <v>3426</v>
      </c>
      <c r="E72" s="3024">
        <v>20.34</v>
      </c>
      <c r="F72" s="2998" t="s">
        <v>3061</v>
      </c>
      <c r="G72" s="3005">
        <v>20245</v>
      </c>
      <c r="H72" s="3006">
        <v>411783.3</v>
      </c>
      <c r="I72" s="3004"/>
    </row>
    <row r="73" spans="1:9">
      <c r="A73" s="3000">
        <v>70</v>
      </c>
      <c r="B73" s="2997" t="s">
        <v>3058</v>
      </c>
      <c r="C73" s="3003" t="s">
        <v>3059</v>
      </c>
      <c r="D73" s="3031" t="s">
        <v>3427</v>
      </c>
      <c r="E73" s="3032">
        <v>36.81</v>
      </c>
      <c r="F73" s="2998" t="s">
        <v>3061</v>
      </c>
      <c r="G73" s="3005">
        <v>20245</v>
      </c>
      <c r="H73" s="3006">
        <v>745218.45000000007</v>
      </c>
      <c r="I73" s="3004"/>
    </row>
    <row r="74" spans="1:9">
      <c r="A74" s="3000">
        <v>71</v>
      </c>
      <c r="B74" s="2997" t="s">
        <v>3058</v>
      </c>
      <c r="C74" s="3003" t="s">
        <v>3059</v>
      </c>
      <c r="D74" s="3031" t="s">
        <v>3428</v>
      </c>
      <c r="E74" s="3032">
        <v>36.81</v>
      </c>
      <c r="F74" s="2998" t="s">
        <v>3061</v>
      </c>
      <c r="G74" s="3005">
        <v>20245</v>
      </c>
      <c r="H74" s="3006">
        <v>745218.45000000007</v>
      </c>
      <c r="I74" s="3004"/>
    </row>
    <row r="75" spans="1:9">
      <c r="A75" s="3000">
        <v>72</v>
      </c>
      <c r="B75" s="2997" t="s">
        <v>3058</v>
      </c>
      <c r="C75" s="3007" t="s">
        <v>3059</v>
      </c>
      <c r="D75" s="3033" t="s">
        <v>3429</v>
      </c>
      <c r="E75" s="3034">
        <v>33.159999999999997</v>
      </c>
      <c r="F75" s="2997" t="s">
        <v>3061</v>
      </c>
      <c r="G75" s="3008">
        <v>20245</v>
      </c>
      <c r="H75" s="3009">
        <v>671324.2</v>
      </c>
      <c r="I75" s="3010"/>
    </row>
    <row r="76" spans="1:9">
      <c r="A76" s="3000">
        <v>73</v>
      </c>
      <c r="B76" s="2997" t="s">
        <v>3058</v>
      </c>
      <c r="C76" s="3007" t="s">
        <v>3059</v>
      </c>
      <c r="D76" s="3033" t="s">
        <v>3430</v>
      </c>
      <c r="E76" s="3034">
        <v>33.159999999999997</v>
      </c>
      <c r="F76" s="2997" t="s">
        <v>3061</v>
      </c>
      <c r="G76" s="3008">
        <v>20245</v>
      </c>
      <c r="H76" s="3009">
        <v>671324.2</v>
      </c>
      <c r="I76" s="3010"/>
    </row>
    <row r="77" spans="1:9">
      <c r="A77" s="3000">
        <v>74</v>
      </c>
      <c r="B77" s="2997" t="s">
        <v>3058</v>
      </c>
      <c r="C77" s="3007" t="s">
        <v>3059</v>
      </c>
      <c r="D77" s="3025" t="s">
        <v>3431</v>
      </c>
      <c r="E77" s="3026">
        <v>15.22</v>
      </c>
      <c r="F77" s="2997" t="s">
        <v>3061</v>
      </c>
      <c r="G77" s="3008">
        <v>20245</v>
      </c>
      <c r="H77" s="3009">
        <v>308128.90000000002</v>
      </c>
      <c r="I77" s="3011" t="s">
        <v>3432</v>
      </c>
    </row>
    <row r="78" spans="1:9">
      <c r="A78" s="3012">
        <v>75</v>
      </c>
      <c r="B78" s="2997" t="s">
        <v>3058</v>
      </c>
      <c r="C78" s="3007" t="s">
        <v>3059</v>
      </c>
      <c r="D78" s="3026" t="s">
        <v>3433</v>
      </c>
      <c r="E78" s="3026">
        <v>35.29</v>
      </c>
      <c r="F78" s="2997" t="s">
        <v>3061</v>
      </c>
      <c r="G78" s="3008">
        <v>20245</v>
      </c>
      <c r="H78" s="3009">
        <v>714446.04999999993</v>
      </c>
      <c r="I78" s="3013"/>
    </row>
    <row r="79" spans="1:9">
      <c r="A79" s="3012">
        <v>76</v>
      </c>
      <c r="B79" s="3012" t="s">
        <v>3058</v>
      </c>
      <c r="C79" s="3012" t="s">
        <v>3059</v>
      </c>
      <c r="D79" s="3027" t="s">
        <v>3434</v>
      </c>
      <c r="E79" s="3027">
        <v>35.69</v>
      </c>
      <c r="F79" s="2997" t="s">
        <v>3061</v>
      </c>
      <c r="G79" s="3008">
        <v>20246</v>
      </c>
      <c r="H79" s="3014">
        <v>722579.74</v>
      </c>
      <c r="I79" s="3012"/>
    </row>
    <row r="80" spans="1:9">
      <c r="A80" s="3012">
        <v>77</v>
      </c>
      <c r="B80" s="3012" t="s">
        <v>3058</v>
      </c>
      <c r="C80" s="3012" t="s">
        <v>3059</v>
      </c>
      <c r="D80" s="3030" t="s">
        <v>3435</v>
      </c>
      <c r="E80" s="3030">
        <v>25.41</v>
      </c>
      <c r="F80" s="2997" t="s">
        <v>3061</v>
      </c>
      <c r="G80" s="3008">
        <v>20245</v>
      </c>
      <c r="H80" s="3014">
        <v>514425.45</v>
      </c>
      <c r="I80" s="3012"/>
    </row>
    <row r="81" spans="1:9">
      <c r="A81" s="3012">
        <v>78</v>
      </c>
      <c r="B81" s="3012" t="s">
        <v>3058</v>
      </c>
      <c r="C81" s="3012" t="s">
        <v>3059</v>
      </c>
      <c r="D81" s="3030" t="s">
        <v>3436</v>
      </c>
      <c r="E81" s="3030">
        <v>25.41</v>
      </c>
      <c r="F81" s="2997" t="s">
        <v>3061</v>
      </c>
      <c r="G81" s="3008">
        <v>20245</v>
      </c>
      <c r="H81" s="3014">
        <v>514425.45</v>
      </c>
      <c r="I81" s="3012"/>
    </row>
    <row r="82" spans="1:9">
      <c r="A82" s="3012">
        <v>79</v>
      </c>
      <c r="B82" s="3012" t="s">
        <v>3058</v>
      </c>
      <c r="C82" s="3012" t="s">
        <v>3059</v>
      </c>
      <c r="D82" s="3030" t="s">
        <v>3437</v>
      </c>
      <c r="E82" s="3030">
        <v>25.41</v>
      </c>
      <c r="F82" s="2997" t="s">
        <v>3061</v>
      </c>
      <c r="G82" s="3008">
        <v>20245</v>
      </c>
      <c r="H82" s="3014">
        <v>514425.45</v>
      </c>
      <c r="I82" s="3012"/>
    </row>
    <row r="83" spans="1:9">
      <c r="E83" s="2994">
        <f>SUM(E4:E82)</f>
        <v>2392.79</v>
      </c>
    </row>
  </sheetData>
  <mergeCells count="10">
    <mergeCell ref="A1:I1"/>
    <mergeCell ref="A2:A3"/>
    <mergeCell ref="B2:B3"/>
    <mergeCell ref="C2:C3"/>
    <mergeCell ref="D2:D3"/>
    <mergeCell ref="E2:E3"/>
    <mergeCell ref="F2:F3"/>
    <mergeCell ref="G2:G3"/>
    <mergeCell ref="H2:H3"/>
    <mergeCell ref="I2:I3"/>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1636</v>
      </c>
      <c r="B2" s="3089" t="s">
        <v>1637</v>
      </c>
      <c r="C2" s="3089" t="s">
        <v>1638</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83"/>
      <c r="B3" s="3083"/>
      <c r="C3" s="3083"/>
      <c r="D3" s="1040" t="s">
        <v>1633</v>
      </c>
      <c r="E3" s="1040" t="s">
        <v>1639</v>
      </c>
      <c r="F3" s="1040" t="s">
        <v>1633</v>
      </c>
      <c r="G3" s="1040" t="s">
        <v>1634</v>
      </c>
      <c r="H3" s="1040" t="s">
        <v>1633</v>
      </c>
      <c r="I3" s="1040" t="s">
        <v>1634</v>
      </c>
    </row>
    <row r="4" spans="1:9" ht="15">
      <c r="A4" s="1966" t="str">
        <f>项目基本情况!S2</f>
        <v>房地产</v>
      </c>
      <c r="B4" s="1040">
        <f>项目基本情况!C17</f>
        <v>3497.5499999999993</v>
      </c>
      <c r="C4" s="1040">
        <f>项目基本情况!C18</f>
        <v>0</v>
      </c>
      <c r="D4" s="1040" t="e">
        <f ca="1">结果表!D118</f>
        <v>#REF!</v>
      </c>
      <c r="E4" s="1040" t="e">
        <f ca="1">结果表!E118</f>
        <v>#REF!</v>
      </c>
      <c r="F4" s="1040" t="e">
        <f ca="1">结果表!F118</f>
        <v>#REF!</v>
      </c>
      <c r="G4" s="1040" t="e">
        <f ca="1">结果表!G118</f>
        <v>#REF!</v>
      </c>
      <c r="H4" s="1040">
        <f ca="1">结果表!H118</f>
        <v>11361</v>
      </c>
      <c r="I4" s="1040">
        <f ca="1">结果表!I118</f>
        <v>32483</v>
      </c>
    </row>
    <row r="5" spans="1:9" ht="30" customHeight="1">
      <c r="A5" s="3083" t="s">
        <v>1635</v>
      </c>
      <c r="B5" s="3083"/>
      <c r="C5" s="3083"/>
      <c r="D5" s="3084" t="e">
        <f ca="1">结果表!D119</f>
        <v>#REF!</v>
      </c>
      <c r="E5" s="3084"/>
      <c r="F5" s="3084" t="e">
        <f ca="1">结果表!F119</f>
        <v>#REF!</v>
      </c>
      <c r="G5" s="3084"/>
      <c r="H5" s="3084" t="str">
        <f ca="1">结果表!H119</f>
        <v>壹亿壹仟叁佰陆拾壹万元整</v>
      </c>
      <c r="I5" s="3084"/>
    </row>
    <row r="6" spans="1:9" ht="15.75">
      <c r="A6" s="3082" t="str">
        <f>结果表!A120</f>
        <v>估价师知悉的法定优先受偿款</v>
      </c>
      <c r="B6" s="3082"/>
      <c r="C6" s="3082"/>
      <c r="D6" s="3082">
        <f>结果表!D120</f>
        <v>0</v>
      </c>
      <c r="E6" s="3082"/>
      <c r="F6" s="3082"/>
      <c r="G6" s="3082"/>
      <c r="H6" s="3082"/>
      <c r="I6" s="3082"/>
    </row>
    <row r="7" spans="1:9" ht="15">
      <c r="A7" s="3083" t="s">
        <v>1635</v>
      </c>
      <c r="B7" s="3083"/>
      <c r="C7" s="3083"/>
      <c r="D7" s="3085" t="str">
        <f>结果表!D121</f>
        <v>零元整</v>
      </c>
      <c r="E7" s="3086"/>
      <c r="F7" s="3086"/>
      <c r="G7" s="3086"/>
      <c r="H7" s="3086"/>
      <c r="I7" s="3087"/>
    </row>
    <row r="8" spans="1:9" ht="15.75">
      <c r="A8" s="3082" t="str">
        <f>结果表!A122</f>
        <v>房地产抵押价值</v>
      </c>
      <c r="B8" s="3082"/>
      <c r="C8" s="3082"/>
      <c r="D8" s="3082">
        <f ca="1">结果表!D122</f>
        <v>11361</v>
      </c>
      <c r="E8" s="3082"/>
      <c r="F8" s="3082"/>
      <c r="G8" s="3082"/>
      <c r="H8" s="3082"/>
      <c r="I8" s="3082"/>
    </row>
    <row r="9" spans="1:9" ht="15">
      <c r="A9" s="3083" t="s">
        <v>1635</v>
      </c>
      <c r="B9" s="3083"/>
      <c r="C9" s="3083"/>
      <c r="D9" s="3084" t="str">
        <f ca="1">结果表!D123</f>
        <v>壹亿壹仟叁佰陆拾壹万元整</v>
      </c>
      <c r="E9" s="3084"/>
      <c r="F9" s="3084"/>
      <c r="G9" s="3084"/>
      <c r="H9" s="3084"/>
      <c r="I9" s="3084"/>
    </row>
    <row r="10" spans="1:9" ht="15.75">
      <c r="A10" s="3082" t="str">
        <f>结果表!A124</f>
        <v/>
      </c>
      <c r="B10" s="3082"/>
      <c r="C10" s="3082"/>
      <c r="D10" s="3082" t="str">
        <f>结果表!D124</f>
        <v>——</v>
      </c>
      <c r="E10" s="3082"/>
      <c r="F10" s="3082"/>
      <c r="G10" s="3082"/>
      <c r="H10" s="3082"/>
      <c r="I10" s="3082"/>
    </row>
    <row r="11" spans="1:9" ht="15">
      <c r="A11" s="3083" t="s">
        <v>1635</v>
      </c>
      <c r="B11" s="3083"/>
      <c r="C11" s="3083"/>
      <c r="D11" s="3084" t="e">
        <f>结果表!D125</f>
        <v>#VALUE!</v>
      </c>
      <c r="E11" s="3084"/>
      <c r="F11" s="3084"/>
      <c r="G11" s="3084"/>
      <c r="H11" s="3084"/>
      <c r="I11" s="3084"/>
    </row>
    <row r="12" spans="1:9" ht="15.75">
      <c r="A12" s="3082" t="str">
        <f>结果表!A126</f>
        <v/>
      </c>
      <c r="B12" s="3082"/>
      <c r="C12" s="3082"/>
      <c r="D12" s="3082" t="str">
        <f>结果表!D126</f>
        <v>——</v>
      </c>
      <c r="E12" s="3082"/>
      <c r="F12" s="3082"/>
      <c r="G12" s="3082"/>
      <c r="H12" s="3082"/>
      <c r="I12" s="3082"/>
    </row>
    <row r="13" spans="1:9" ht="15.75" thickBot="1">
      <c r="A13" s="3079" t="s">
        <v>1635</v>
      </c>
      <c r="B13" s="3079"/>
      <c r="C13" s="3079"/>
      <c r="D13" s="3080" t="e">
        <f>结果表!D127</f>
        <v>#VALUE!</v>
      </c>
      <c r="E13" s="3080"/>
      <c r="F13" s="3080"/>
      <c r="G13" s="3080"/>
      <c r="H13" s="3080"/>
      <c r="I13" s="3080"/>
    </row>
    <row r="14" spans="1:9" ht="15" thickTop="1">
      <c r="A14" s="3081" t="s">
        <v>1640</v>
      </c>
      <c r="B14" s="3081"/>
      <c r="C14" s="3081"/>
      <c r="D14" s="3081"/>
      <c r="E14" s="3081"/>
      <c r="F14" s="3081"/>
      <c r="G14" s="3081"/>
      <c r="H14" s="3081"/>
      <c r="I14" s="3081"/>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96" t="s">
        <v>1657</v>
      </c>
      <c r="B1" s="3096"/>
      <c r="C1" s="3096"/>
      <c r="D1" s="3096"/>
    </row>
    <row r="2" spans="1:4" ht="18">
      <c r="A2" s="3097" t="s">
        <v>1641</v>
      </c>
      <c r="B2" s="3097"/>
      <c r="C2" s="3097"/>
      <c r="D2" s="3097"/>
    </row>
    <row r="3" spans="1:4" ht="18.75">
      <c r="A3" s="1970" t="s">
        <v>1642</v>
      </c>
      <c r="B3" s="1970" t="s">
        <v>1643</v>
      </c>
      <c r="C3" s="1970" t="s">
        <v>1644</v>
      </c>
      <c r="D3" s="1970" t="s">
        <v>1645</v>
      </c>
    </row>
    <row r="4" spans="1:4" ht="56.25" customHeight="1">
      <c r="A4" s="1971">
        <f>项目基本情况!B4</f>
        <v>0</v>
      </c>
      <c r="B4" s="1972">
        <f>项目基本情况!C4</f>
        <v>0</v>
      </c>
      <c r="C4" s="1973"/>
      <c r="D4" s="1974" t="s">
        <v>1646</v>
      </c>
    </row>
    <row r="5" spans="1:4" ht="56.25" customHeight="1">
      <c r="A5" s="1971">
        <f>项目基本情况!D4</f>
        <v>0</v>
      </c>
      <c r="B5" s="1972">
        <f>项目基本情况!E4</f>
        <v>0</v>
      </c>
      <c r="C5" s="1975"/>
      <c r="D5" s="1974" t="s">
        <v>1646</v>
      </c>
    </row>
    <row r="6" spans="1:4" ht="18">
      <c r="A6" s="3097" t="s">
        <v>1647</v>
      </c>
      <c r="B6" s="3097"/>
      <c r="C6" s="3097"/>
      <c r="D6" s="3097"/>
    </row>
    <row r="7" spans="1:4" ht="18.75">
      <c r="A7" s="1970" t="s">
        <v>1642</v>
      </c>
      <c r="B7" s="1972" t="s">
        <v>1648</v>
      </c>
      <c r="C7" s="1970" t="s">
        <v>1644</v>
      </c>
      <c r="D7" s="1970" t="s">
        <v>1645</v>
      </c>
    </row>
    <row r="8" spans="1:4" ht="56.25" customHeight="1">
      <c r="A8" s="1976" t="s">
        <v>866</v>
      </c>
      <c r="B8" s="1976" t="s">
        <v>1</v>
      </c>
      <c r="C8" s="1973"/>
      <c r="D8" s="1974" t="s">
        <v>1646</v>
      </c>
    </row>
    <row r="9" spans="1:4">
      <c r="A9" s="724"/>
      <c r="B9" s="724"/>
      <c r="C9" s="724"/>
      <c r="D9" s="724"/>
    </row>
    <row r="10" spans="1:4" ht="18.75">
      <c r="A10" s="1977" t="s">
        <v>1649</v>
      </c>
      <c r="B10" s="724"/>
      <c r="C10" s="724"/>
      <c r="D10" s="724"/>
    </row>
    <row r="11" spans="1:4" ht="30" customHeight="1">
      <c r="A11" s="3098" t="s">
        <v>1650</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5"/>
      <c r="C12" s="3095"/>
      <c r="D12" s="3095"/>
    </row>
    <row r="13" spans="1:4" ht="30" customHeight="1">
      <c r="A13" s="3090" t="str">
        <f>IF(项目基本情况!B8="抵押","3.抵押双方在办理抵押登记手续时，应使用本公司出具的正式《房地产评估报告》，特提醒报告使用者注意。","——")</f>
        <v>——</v>
      </c>
      <c r="B13" s="3095"/>
      <c r="C13" s="3095"/>
      <c r="D13" s="3095"/>
    </row>
    <row r="14" spans="1:4" ht="15.75" customHeight="1">
      <c r="A14" s="3090" t="str">
        <f>IF(项目基本情况!B8="抵押","4.本次评估估价师所知悉的法定优先受偿款情况说明如下：","——")</f>
        <v>——</v>
      </c>
      <c r="B14" s="3095"/>
      <c r="C14" s="3095"/>
      <c r="D14" s="3095"/>
    </row>
    <row r="15" spans="1:4" ht="42" customHeight="1">
      <c r="A15" s="3090" t="str">
        <f>IF(项目基本情况!B8="抵押","（1）"&amp;CONCATENATE(项目基本情况!L20,项目基本情况!L21,项目基本情况!L22),"——")</f>
        <v>——</v>
      </c>
      <c r="B15" s="3090"/>
      <c r="C15" s="3090"/>
      <c r="D15" s="3090"/>
    </row>
    <row r="16" spans="1:4" ht="30" customHeight="1">
      <c r="A16" s="3092" t="s">
        <v>1651</v>
      </c>
      <c r="B16" s="3092"/>
      <c r="C16" s="3092"/>
      <c r="D16" s="3092"/>
    </row>
    <row r="17" spans="1:4" ht="144" customHeight="1">
      <c r="A17" s="3092" t="s">
        <v>1652</v>
      </c>
      <c r="B17" s="3092"/>
      <c r="C17" s="3092"/>
      <c r="D17" s="3092"/>
    </row>
    <row r="18" spans="1:4" ht="15.75" customHeight="1">
      <c r="A18" s="3090" t="str">
        <f>IF(项目基本情况!B8="抵押",结果表!K120,"——")</f>
        <v>——</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0"/>
      <c r="C20" s="3090"/>
      <c r="D20" s="3090"/>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3"/>
      <c r="C21" s="3093"/>
      <c r="D21" s="3093"/>
    </row>
    <row r="22" spans="1:4" ht="18.75" customHeight="1">
      <c r="A22" s="3094" t="s">
        <v>1653</v>
      </c>
      <c r="B22" s="3094"/>
      <c r="C22" s="3094"/>
      <c r="D22" s="3094"/>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3091">
        <v>42551</v>
      </c>
      <c r="D31" s="30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3104" t="s">
        <v>1664</v>
      </c>
      <c r="B15" s="3099" t="s">
        <v>136</v>
      </c>
      <c r="C15" s="3100"/>
    </row>
    <row r="16" spans="1:7" ht="13.5">
      <c r="A16" s="3105"/>
      <c r="B16" s="3099" t="s">
        <v>69</v>
      </c>
      <c r="C16" s="3100"/>
    </row>
    <row r="17" spans="1:3" ht="13.5">
      <c r="A17" s="3105"/>
      <c r="B17" s="3102" t="s">
        <v>1665</v>
      </c>
      <c r="C17" s="1993" t="s">
        <v>1664</v>
      </c>
    </row>
    <row r="18" spans="1:3" ht="13.5">
      <c r="A18" s="3105"/>
      <c r="B18" s="3102"/>
      <c r="C18" s="1993" t="s">
        <v>1666</v>
      </c>
    </row>
    <row r="19" spans="1:3" ht="13.5">
      <c r="A19" s="3105"/>
      <c r="B19" s="3102"/>
      <c r="C19" s="1993" t="s">
        <v>1667</v>
      </c>
    </row>
    <row r="20" spans="1:3" ht="13.5">
      <c r="A20" s="3106"/>
      <c r="B20" s="3101" t="s">
        <v>1668</v>
      </c>
      <c r="C20" s="3100"/>
    </row>
    <row r="21" spans="1:3" ht="13.5">
      <c r="A21" s="1994" t="s">
        <v>1669</v>
      </c>
      <c r="B21" s="1995"/>
      <c r="C21" s="1996"/>
    </row>
    <row r="22" spans="1:3" ht="13.5">
      <c r="A22" s="3103" t="s">
        <v>1670</v>
      </c>
      <c r="B22" s="3101" t="s">
        <v>1671</v>
      </c>
      <c r="C22" s="3100"/>
    </row>
    <row r="23" spans="1:3" ht="13.5">
      <c r="A23" s="3103"/>
      <c r="B23" s="3101" t="s">
        <v>1672</v>
      </c>
      <c r="C23" s="3100"/>
    </row>
    <row r="24" spans="1:3" ht="13.5">
      <c r="A24" s="3103"/>
      <c r="B24" s="3101" t="s">
        <v>1673</v>
      </c>
      <c r="C24" s="3100"/>
    </row>
    <row r="25" spans="1:3" ht="13.5">
      <c r="A25" s="3103"/>
      <c r="B25" s="3102" t="s">
        <v>1674</v>
      </c>
      <c r="C25" s="1993" t="s">
        <v>1675</v>
      </c>
    </row>
    <row r="26" spans="1:3" ht="13.5">
      <c r="A26" s="3103"/>
      <c r="B26" s="3102"/>
      <c r="C26" s="1993" t="s">
        <v>1676</v>
      </c>
    </row>
    <row r="27" spans="1:3" ht="13.5">
      <c r="A27" s="3103"/>
      <c r="B27" s="3102"/>
      <c r="C27" s="1993" t="s">
        <v>1677</v>
      </c>
    </row>
    <row r="28" spans="1:3" ht="13.5">
      <c r="A28" s="3103"/>
      <c r="B28" s="3102"/>
      <c r="C28" s="1993" t="s">
        <v>1678</v>
      </c>
    </row>
    <row r="29" spans="1:3" ht="13.5">
      <c r="A29" s="3103"/>
      <c r="B29" s="3102"/>
      <c r="C29" s="1993" t="s">
        <v>1679</v>
      </c>
    </row>
    <row r="30" spans="1:3" ht="13.5">
      <c r="A30" s="3103"/>
      <c r="B30" s="3102"/>
      <c r="C30" s="1993" t="s">
        <v>1680</v>
      </c>
    </row>
    <row r="31" spans="1:3" ht="13.5">
      <c r="A31" s="3103"/>
      <c r="B31" s="3102"/>
      <c r="C31" s="1993" t="s">
        <v>1681</v>
      </c>
    </row>
    <row r="32" spans="1:3" ht="13.5">
      <c r="A32" s="3103"/>
      <c r="B32" s="3102"/>
      <c r="C32" s="1993" t="s">
        <v>1682</v>
      </c>
    </row>
    <row r="33" spans="1:3" ht="13.5">
      <c r="A33" s="3103"/>
      <c r="B33" s="3102"/>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43682</v>
      </c>
      <c r="C2" s="1015" t="s">
        <v>826</v>
      </c>
      <c r="D2" s="1015"/>
    </row>
    <row r="3" spans="1:6" ht="24" customHeight="1">
      <c r="A3" s="1016" t="s">
        <v>827</v>
      </c>
      <c r="B3" s="1017" t="s">
        <v>828</v>
      </c>
      <c r="C3" s="2341" t="s">
        <v>829</v>
      </c>
      <c r="D3" s="2344" t="s">
        <v>830</v>
      </c>
      <c r="E3" s="1018" t="s">
        <v>831</v>
      </c>
      <c r="F3" s="1017" t="s">
        <v>829</v>
      </c>
    </row>
    <row r="4" spans="1:6" ht="24" customHeight="1">
      <c r="A4" s="1696" t="s">
        <v>832</v>
      </c>
      <c r="B4" s="1018">
        <f ca="1">IF(C4&lt;B2,"已过期",1119970066)</f>
        <v>1119970066</v>
      </c>
      <c r="C4" s="2342">
        <v>43849</v>
      </c>
      <c r="D4" s="2345" t="s">
        <v>832</v>
      </c>
      <c r="E4" s="1018">
        <f ca="1">IF(F4&lt;B2,"已过期",96010014)</f>
        <v>96010014</v>
      </c>
      <c r="F4" s="1026">
        <v>47118</v>
      </c>
    </row>
    <row r="5" spans="1:6" ht="24" customHeight="1">
      <c r="A5" s="1696" t="s">
        <v>833</v>
      </c>
      <c r="B5" s="1018">
        <f ca="1">IF(C5&lt;B2,"已过期",1119970074)</f>
        <v>1119970074</v>
      </c>
      <c r="C5" s="2342">
        <v>43849</v>
      </c>
      <c r="D5" s="2345" t="s">
        <v>833</v>
      </c>
      <c r="E5" s="1018">
        <f ca="1">IF(F5&lt;B2,"已过期",2002110027)</f>
        <v>2002110027</v>
      </c>
      <c r="F5" s="1026">
        <v>46752</v>
      </c>
    </row>
    <row r="6" spans="1:6" ht="24" customHeight="1">
      <c r="A6" s="1696" t="s">
        <v>834</v>
      </c>
      <c r="B6" s="1018">
        <f ca="1">IF(C6&lt;B2,"已过期",1119970111)</f>
        <v>1119970111</v>
      </c>
      <c r="C6" s="2342">
        <v>43849</v>
      </c>
      <c r="D6" s="2345" t="s">
        <v>834</v>
      </c>
      <c r="E6" s="1018">
        <f ca="1">IF(F6&lt;B2,"已过期",94010078)</f>
        <v>94010078</v>
      </c>
      <c r="F6" s="1026">
        <v>46387</v>
      </c>
    </row>
    <row r="7" spans="1:6" ht="24" customHeight="1">
      <c r="A7" s="1696" t="s">
        <v>835</v>
      </c>
      <c r="B7" s="1018">
        <f ca="1">IF(C7&lt;B2,"已过期",1120050019)</f>
        <v>1120050019</v>
      </c>
      <c r="C7" s="2342">
        <v>44395</v>
      </c>
      <c r="D7" s="2345" t="s">
        <v>835</v>
      </c>
      <c r="E7" s="1018">
        <f ca="1">IF(F7&lt;B2,"已过期",2002110030)</f>
        <v>2002110030</v>
      </c>
      <c r="F7" s="1026">
        <v>46387</v>
      </c>
    </row>
    <row r="8" spans="1:6" ht="24" customHeight="1">
      <c r="A8" s="1696" t="s">
        <v>836</v>
      </c>
      <c r="B8" s="1018">
        <f ca="1">IF(C8&lt;B2,"已过期",1120000080)</f>
        <v>1120000080</v>
      </c>
      <c r="C8" s="2342">
        <v>43849</v>
      </c>
      <c r="D8" s="2345" t="s">
        <v>836</v>
      </c>
      <c r="E8" s="1018">
        <f ca="1">IF(F8&lt;B2,"已过期",2000110082)</f>
        <v>2000110082</v>
      </c>
      <c r="F8" s="1026">
        <v>46387</v>
      </c>
    </row>
    <row r="9" spans="1:6" ht="24" customHeight="1">
      <c r="A9" s="1696" t="s">
        <v>837</v>
      </c>
      <c r="B9" s="1018">
        <f ca="1">IF(C9&lt;B2,"已过期",1419970001)</f>
        <v>1419970001</v>
      </c>
      <c r="C9" s="2342">
        <v>43867</v>
      </c>
      <c r="D9" s="2345" t="s">
        <v>837</v>
      </c>
      <c r="E9" s="1018">
        <f ca="1">IF(F9&lt;B2,"已过期",2002110125)</f>
        <v>2002110125</v>
      </c>
      <c r="F9" s="1026">
        <v>47118</v>
      </c>
    </row>
    <row r="10" spans="1:6" ht="24" customHeight="1">
      <c r="A10" s="1696" t="s">
        <v>838</v>
      </c>
      <c r="B10" s="1018">
        <f ca="1">IF(C10&lt;B2,"已过期",1120060040)</f>
        <v>1120060040</v>
      </c>
      <c r="C10" s="2342">
        <v>44554</v>
      </c>
      <c r="D10" s="2345" t="s">
        <v>838</v>
      </c>
      <c r="E10" s="1018">
        <f ca="1">IF(F10&lt;B2,"已过期",2004110096)</f>
        <v>2004110096</v>
      </c>
      <c r="F10" s="1026">
        <v>47118</v>
      </c>
    </row>
    <row r="11" spans="1:6" ht="24" customHeight="1">
      <c r="A11" s="1696" t="s">
        <v>839</v>
      </c>
      <c r="B11" s="1018">
        <f ca="1">IF(C11&lt;B2,"已过期",1120100036)</f>
        <v>1120100036</v>
      </c>
      <c r="C11" s="2342">
        <v>44675</v>
      </c>
      <c r="D11" s="2345" t="s">
        <v>839</v>
      </c>
      <c r="E11" s="1018">
        <f ca="1">IF(F11&lt;B2,"已过期",2010110070)</f>
        <v>2010110070</v>
      </c>
      <c r="F11" s="1026">
        <v>47907</v>
      </c>
    </row>
    <row r="12" spans="1:6" ht="24" customHeight="1">
      <c r="A12" s="1696"/>
      <c r="B12" s="1018"/>
      <c r="C12" s="2925"/>
      <c r="D12" s="1696"/>
      <c r="E12" s="1018"/>
      <c r="F12" s="1026"/>
    </row>
    <row r="13" spans="1:6" ht="24" customHeight="1">
      <c r="A13" s="1696" t="s">
        <v>840</v>
      </c>
      <c r="B13" s="1018">
        <f ca="1">IF(C13&lt;B2,"已过期",1120070131)</f>
        <v>1120070131</v>
      </c>
      <c r="C13" s="2342">
        <v>43814</v>
      </c>
      <c r="D13" s="2345" t="s">
        <v>840</v>
      </c>
      <c r="E13" s="1018">
        <f ca="1">IF(F13&lt;B2,"已过期",2014110011)</f>
        <v>2014110011</v>
      </c>
      <c r="F13" s="1026">
        <v>49302</v>
      </c>
    </row>
    <row r="14" spans="1:6" ht="24" customHeight="1">
      <c r="A14" s="1696" t="s">
        <v>3036</v>
      </c>
      <c r="B14" s="1018">
        <f ca="1">IF(C14&lt;B2,"已过期",1120040230)</f>
        <v>1120040230</v>
      </c>
      <c r="C14" s="2342">
        <v>43835</v>
      </c>
      <c r="D14" s="2345" t="s">
        <v>3036</v>
      </c>
      <c r="E14" s="1018">
        <f ca="1">IF(F14&lt;B2,"已过期",98030020)</f>
        <v>98030020</v>
      </c>
      <c r="F14" s="1026">
        <v>47118</v>
      </c>
    </row>
    <row r="15" spans="1:6" ht="24" customHeight="1">
      <c r="A15" s="1697" t="s">
        <v>3037</v>
      </c>
      <c r="B15" s="1018">
        <f ca="1">IF(C15&lt;B2,"已过期",1120070085)</f>
        <v>1120070085</v>
      </c>
      <c r="C15" s="2342">
        <v>43814</v>
      </c>
      <c r="D15" s="2346" t="s">
        <v>3037</v>
      </c>
      <c r="E15" s="1018">
        <f ca="1">IF(F15&lt;B2,"已过期",2004110128)</f>
        <v>2004110128</v>
      </c>
      <c r="F15" s="1019">
        <v>47118</v>
      </c>
    </row>
    <row r="16" spans="1:6" ht="24" customHeight="1">
      <c r="A16" s="1696" t="s">
        <v>3038</v>
      </c>
      <c r="B16" s="1018">
        <f ca="1">IF(C16&lt;B2,"已过期",1120140022)</f>
        <v>1120140022</v>
      </c>
      <c r="C16" s="2925">
        <v>44029</v>
      </c>
      <c r="D16" s="2345" t="s">
        <v>3038</v>
      </c>
      <c r="E16" s="1018">
        <f ca="1">IF(F16&lt;B2,"已过期",2008110059)</f>
        <v>2008110059</v>
      </c>
      <c r="F16" s="1026">
        <v>47177</v>
      </c>
    </row>
    <row r="17" spans="1:7" ht="24" customHeight="1">
      <c r="A17" s="1696"/>
      <c r="B17" s="1018"/>
      <c r="C17" s="2342"/>
      <c r="D17" s="2345" t="s">
        <v>3039</v>
      </c>
      <c r="E17" s="1018">
        <f ca="1">IF(F17&lt;B2,"已过期",2014110076)</f>
        <v>2014110076</v>
      </c>
      <c r="F17" s="1026">
        <v>49302</v>
      </c>
    </row>
    <row r="18" spans="1:7" ht="24" customHeight="1">
      <c r="A18" s="1696"/>
      <c r="B18" s="1018"/>
      <c r="C18" s="2342"/>
      <c r="D18" s="2345"/>
      <c r="E18" s="1018"/>
      <c r="F18" s="1026"/>
    </row>
    <row r="19" spans="1:7" ht="24" customHeight="1">
      <c r="A19" s="1696"/>
      <c r="B19" s="1018"/>
      <c r="C19" s="2342"/>
      <c r="D19" s="2345"/>
      <c r="E19" s="1018"/>
      <c r="F19" s="1018"/>
    </row>
    <row r="20" spans="1:7" ht="24" customHeight="1">
      <c r="A20" s="1696"/>
      <c r="B20" s="1018"/>
      <c r="C20" s="2342"/>
      <c r="D20" s="2345"/>
      <c r="E20" s="1018"/>
      <c r="F20" s="1018"/>
    </row>
    <row r="21" spans="1:7" ht="24" customHeight="1">
      <c r="A21" s="1696"/>
      <c r="B21" s="1018"/>
      <c r="C21" s="2342"/>
      <c r="D21" s="2345" t="s">
        <v>841</v>
      </c>
      <c r="E21" s="1018">
        <f ca="1">IF(F21&lt;B2,"已过期",2011110090)</f>
        <v>2011110090</v>
      </c>
      <c r="F21" s="1026">
        <v>48302</v>
      </c>
    </row>
    <row r="22" spans="1:7" ht="24" customHeight="1">
      <c r="A22" s="1696" t="s">
        <v>842</v>
      </c>
      <c r="B22" s="1018">
        <f ca="1">IF(C22&lt;B2,"已过期",1120020033)</f>
        <v>1120020033</v>
      </c>
      <c r="C22" s="2925">
        <v>44339</v>
      </c>
      <c r="D22" s="2345" t="s">
        <v>842</v>
      </c>
      <c r="E22" s="1018">
        <f ca="1">IF(F22&lt;B2,"已过期",2000110137)</f>
        <v>2000110137</v>
      </c>
      <c r="F22" s="1026">
        <v>46387</v>
      </c>
    </row>
    <row r="23" spans="1:7" ht="24" customHeight="1">
      <c r="A23" s="1696"/>
      <c r="B23" s="1018"/>
      <c r="C23" s="2342"/>
      <c r="D23" s="2345"/>
      <c r="E23" s="1018"/>
      <c r="F23" s="1018"/>
    </row>
    <row r="24" spans="1:7" s="1020" customFormat="1" ht="24" customHeight="1">
      <c r="A24" s="1697" t="s">
        <v>1329</v>
      </c>
      <c r="B24" s="1697" t="s">
        <v>1329</v>
      </c>
      <c r="C24" s="2343" t="s">
        <v>1329</v>
      </c>
      <c r="D24" s="2346" t="s">
        <v>1329</v>
      </c>
      <c r="E24" s="1697" t="s">
        <v>1329</v>
      </c>
      <c r="F24" s="1697" t="s">
        <v>1329</v>
      </c>
    </row>
    <row r="25" spans="1:7" ht="24" customHeight="1">
      <c r="A25" s="3107" t="s">
        <v>843</v>
      </c>
      <c r="B25" s="3107"/>
      <c r="C25" s="3107"/>
      <c r="D25" s="3107"/>
      <c r="E25" s="3107"/>
      <c r="F25" s="3107"/>
      <c r="G25" s="3107"/>
    </row>
    <row r="26" spans="1:7" s="1021" customFormat="1" ht="24" customHeight="1">
      <c r="A26" s="3108" t="s">
        <v>844</v>
      </c>
      <c r="B26" s="3108"/>
      <c r="C26" s="3109"/>
      <c r="D26" s="3110" t="s">
        <v>845</v>
      </c>
      <c r="E26" s="3108"/>
      <c r="F26" s="3108"/>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3043</v>
      </c>
      <c r="F29" s="1199">
        <v>43646</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2019-08-05T06:08:59Z</dcterms:modified>
</cp:coreProperties>
</file>