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及中指"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37" i="34" l="1"/>
  <c r="C37" i="34"/>
  <c r="I10" i="34"/>
  <c r="C10" i="34"/>
  <c r="G10" i="34"/>
  <c r="E10" i="34"/>
  <c r="N6" i="1" l="1"/>
  <c r="N26" i="9" l="1"/>
  <c r="L25" i="9" l="1"/>
  <c r="L24" i="9"/>
  <c r="L23" i="9"/>
  <c r="K25" i="9"/>
  <c r="K24" i="9"/>
  <c r="K23" i="9"/>
  <c r="D3" i="4"/>
  <c r="F121" i="34" l="1"/>
  <c r="E121" i="34"/>
  <c r="D121" i="34"/>
  <c r="C121" i="34"/>
  <c r="B58" i="1"/>
  <c r="B21" i="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AA34" i="71" s="1"/>
  <c r="O34" i="71"/>
  <c r="Y34" i="71" s="1"/>
  <c r="Z34" i="71" s="1"/>
  <c r="N34" i="71"/>
  <c r="Q33" i="71"/>
  <c r="F34" i="71" s="1"/>
  <c r="P33" i="71"/>
  <c r="E34" i="71" s="1"/>
  <c r="E35" i="71" s="1"/>
  <c r="E36" i="71" s="1"/>
  <c r="U36" i="71" s="1"/>
  <c r="O33" i="71"/>
  <c r="N33" i="71"/>
  <c r="D33" i="71"/>
  <c r="Q32" i="71"/>
  <c r="AB32" i="71" s="1"/>
  <c r="P32" i="71"/>
  <c r="O32" i="71"/>
  <c r="Y32" i="71" s="1"/>
  <c r="Z32" i="71" s="1"/>
  <c r="N32" i="71"/>
  <c r="X31"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X33" i="71"/>
  <c r="X37" i="71"/>
  <c r="N68" i="71"/>
  <c r="C30" i="71"/>
  <c r="AA30" i="71"/>
  <c r="AA31" i="71"/>
  <c r="AA32" i="71"/>
  <c r="C34" i="71"/>
  <c r="C35" i="71" s="1"/>
  <c r="Y33" i="71"/>
  <c r="Z33" i="71" s="1"/>
  <c r="X34" i="71"/>
  <c r="X35" i="71"/>
  <c r="AA35" i="71"/>
  <c r="X36" i="71"/>
  <c r="AA36" i="71"/>
  <c r="C38" i="71"/>
  <c r="C39" i="71" s="1"/>
  <c r="D39" i="71" s="1"/>
  <c r="Y37" i="71"/>
  <c r="Z37" i="71" s="1"/>
  <c r="AB37" i="71"/>
  <c r="X38" i="71"/>
  <c r="AA38" i="71"/>
  <c r="C28" i="71"/>
  <c r="Y25" i="71"/>
  <c r="Z25" i="71" s="1"/>
  <c r="Y26" i="71"/>
  <c r="Z26" i="71" s="1"/>
  <c r="Y27" i="71"/>
  <c r="Z27" i="71" s="1"/>
  <c r="Y28" i="71"/>
  <c r="Z28" i="71" s="1"/>
  <c r="B28" i="71"/>
  <c r="B27" i="71" s="1"/>
  <c r="B26" i="71" s="1"/>
  <c r="X25" i="71"/>
  <c r="X26" i="71"/>
  <c r="X27" i="71"/>
  <c r="X28" i="71"/>
  <c r="C31" i="71"/>
  <c r="D31" i="71" s="1"/>
  <c r="D30" i="71"/>
  <c r="D34" i="71"/>
  <c r="D38" i="71"/>
  <c r="C51" i="71"/>
  <c r="D50" i="71"/>
  <c r="P28" i="71"/>
  <c r="E55" i="71"/>
  <c r="E56" i="71" s="1"/>
  <c r="U56" i="71" s="1"/>
  <c r="E59" i="71"/>
  <c r="E60" i="71" s="1"/>
  <c r="U60" i="71" s="1"/>
  <c r="E64" i="71"/>
  <c r="U64" i="71" s="1"/>
  <c r="U68" i="71"/>
  <c r="E67" i="71"/>
  <c r="E66" i="71" s="1"/>
  <c r="P65" i="71" s="1"/>
  <c r="Q28" i="71"/>
  <c r="C55" i="71"/>
  <c r="D55" i="71" s="1"/>
  <c r="C59" i="71"/>
  <c r="D59" i="71" s="1"/>
  <c r="D58" i="71"/>
  <c r="C63" i="71"/>
  <c r="D63" i="71" s="1"/>
  <c r="N67" i="71"/>
  <c r="B66" i="71"/>
  <c r="T68" i="71"/>
  <c r="O68" i="71"/>
  <c r="D68" i="71"/>
  <c r="C67" i="71"/>
  <c r="Q68" i="71"/>
  <c r="C71" i="71"/>
  <c r="E71" i="71"/>
  <c r="E70" i="71" s="1"/>
  <c r="D72" i="71"/>
  <c r="C75" i="71"/>
  <c r="E75" i="71"/>
  <c r="E74" i="71" s="1"/>
  <c r="D76" i="71"/>
  <c r="C79" i="71"/>
  <c r="E79" i="71"/>
  <c r="E78" i="71" s="1"/>
  <c r="D80" i="71"/>
  <c r="C83" i="71"/>
  <c r="C87" i="71"/>
  <c r="D87" i="71" s="1"/>
  <c r="T28" i="71"/>
  <c r="C27" i="71"/>
  <c r="D27" i="71" s="1"/>
  <c r="F28" i="71"/>
  <c r="F27" i="71" s="1"/>
  <c r="F26" i="71" s="1"/>
  <c r="AB25" i="71"/>
  <c r="AB26" i="71"/>
  <c r="AB27" i="71"/>
  <c r="AB28" i="71"/>
  <c r="E28" i="71"/>
  <c r="E27" i="71" s="1"/>
  <c r="E26" i="71" s="1"/>
  <c r="AA3" i="71"/>
  <c r="AA25" i="71"/>
  <c r="AA26" i="71"/>
  <c r="AA27" i="71"/>
  <c r="AA28" i="71"/>
  <c r="D28" i="71"/>
  <c r="U28" i="71" s="1"/>
  <c r="C66" i="71"/>
  <c r="O67" i="71"/>
  <c r="D67" i="71"/>
  <c r="C64" i="71"/>
  <c r="T64" i="71" s="1"/>
  <c r="D83" i="71"/>
  <c r="C82" i="71"/>
  <c r="D82" i="71" s="1"/>
  <c r="D75" i="71"/>
  <c r="C74" i="71"/>
  <c r="D74" i="71"/>
  <c r="N65" i="71"/>
  <c r="N66" i="71"/>
  <c r="C86" i="71"/>
  <c r="D86" i="71" s="1"/>
  <c r="D79" i="71"/>
  <c r="C78" i="71"/>
  <c r="D78" i="71" s="1"/>
  <c r="D71" i="71"/>
  <c r="C70" i="71"/>
  <c r="D70" i="71" s="1"/>
  <c r="C56" i="71"/>
  <c r="T56" i="71" s="1"/>
  <c r="P67" i="71"/>
  <c r="C52" i="71"/>
  <c r="T52" i="71" s="1"/>
  <c r="D51" i="71"/>
  <c r="C40" i="71"/>
  <c r="C26" i="71"/>
  <c r="D26" i="71" s="1"/>
  <c r="P66" i="71"/>
  <c r="O66" i="71"/>
  <c r="D66" i="71"/>
  <c r="O65"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J25" i="40"/>
  <c r="H29" i="39"/>
  <c r="AB29" i="39" s="1"/>
  <c r="J29" i="39"/>
  <c r="AC29" i="39" s="1"/>
  <c r="J18" i="36"/>
  <c r="F68" i="35"/>
  <c r="H18" i="35"/>
  <c r="AB18" i="35" s="1"/>
  <c r="S18" i="35"/>
  <c r="G68" i="35"/>
  <c r="J18" i="35"/>
  <c r="H21" i="37"/>
  <c r="U21" i="37" s="1"/>
  <c r="F21" i="37"/>
  <c r="H21" i="34"/>
  <c r="U21" i="34" s="1"/>
  <c r="H21" i="33"/>
  <c r="F21" i="33"/>
  <c r="S21" i="33" s="1"/>
  <c r="E83" i="21"/>
  <c r="S21" i="21"/>
  <c r="H1" i="69"/>
  <c r="AC25" i="40"/>
  <c r="W25" i="40"/>
  <c r="AB25" i="40"/>
  <c r="U25" i="40"/>
  <c r="U29" i="39"/>
  <c r="W29" i="39"/>
  <c r="AC18" i="36"/>
  <c r="W18" i="36"/>
  <c r="AB21" i="37"/>
  <c r="AA21" i="37"/>
  <c r="S21" i="37"/>
  <c r="U21" i="33"/>
  <c r="AB21" i="33"/>
  <c r="AA21" i="33"/>
  <c r="U18" i="35"/>
  <c r="AC18" i="35"/>
  <c r="W18" i="35"/>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AB42" i="34" s="1"/>
  <c r="J42" i="34"/>
  <c r="W42" i="34" s="1"/>
  <c r="F42" i="34"/>
  <c r="AA42" i="34" s="1"/>
  <c r="J38" i="34"/>
  <c r="D114" i="34"/>
  <c r="F38" i="34"/>
  <c r="S38" i="34" s="1"/>
  <c r="D112" i="34"/>
  <c r="E112" i="34" s="1"/>
  <c r="F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H11" i="36" s="1"/>
  <c r="U11"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J45" i="34" s="1"/>
  <c r="W45" i="34" s="1"/>
  <c r="B99" i="34"/>
  <c r="B97" i="34"/>
  <c r="B95" i="34"/>
  <c r="B93" i="34"/>
  <c r="F29" i="34" s="1"/>
  <c r="S29" i="34" s="1"/>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J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B98" i="2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45" i="39"/>
  <c r="S45" i="39" s="1"/>
  <c r="J45" i="39"/>
  <c r="W45" i="39" s="1"/>
  <c r="J35" i="39"/>
  <c r="AC35" i="39" s="1"/>
  <c r="F35" i="39"/>
  <c r="AA35" i="39" s="1"/>
  <c r="U9" i="39"/>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AA36" i="34" s="1"/>
  <c r="J35" i="34"/>
  <c r="AC35" i="34" s="1"/>
  <c r="H39" i="33"/>
  <c r="AB39" i="33" s="1"/>
  <c r="U33" i="33"/>
  <c r="W39" i="33"/>
  <c r="H39" i="37"/>
  <c r="AB39" i="37"/>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S34"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36" i="34"/>
  <c r="U36" i="34" s="1"/>
  <c r="F28" i="34"/>
  <c r="F25" i="34"/>
  <c r="S25" i="34" s="1"/>
  <c r="H23" i="34"/>
  <c r="U23" i="34" s="1"/>
  <c r="J23" i="34"/>
  <c r="AC23" i="34" s="1"/>
  <c r="H17" i="34"/>
  <c r="J28" i="34"/>
  <c r="W28" i="34" s="1"/>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J40" i="34"/>
  <c r="H114" i="34"/>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S42" i="34"/>
  <c r="AA38" i="34"/>
  <c r="J11" i="33"/>
  <c r="W11" i="33" s="1"/>
  <c r="U23" i="40"/>
  <c r="I123" i="21"/>
  <c r="J123" i="21" s="1"/>
  <c r="K123" i="21" s="1"/>
  <c r="L123" i="21" s="1"/>
  <c r="M123" i="21" s="1"/>
  <c r="J42" i="21"/>
  <c r="AC42" i="21"/>
  <c r="H42" i="21"/>
  <c r="U42" i="21"/>
  <c r="J44" i="34"/>
  <c r="AC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30" i="33"/>
  <c r="AB30" i="33" s="1"/>
  <c r="F30" i="33"/>
  <c r="H44" i="33"/>
  <c r="J13" i="34"/>
  <c r="W13" i="34" s="1"/>
  <c r="J29" i="34"/>
  <c r="H29" i="34"/>
  <c r="AB29" i="34" s="1"/>
  <c r="H31" i="34"/>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28" i="37"/>
  <c r="AA28" i="37" s="1"/>
  <c r="J28" i="37"/>
  <c r="AC28" i="37" s="1"/>
  <c r="H28" i="37"/>
  <c r="U28" i="37" s="1"/>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c r="J10" i="36"/>
  <c r="AC10" i="36" s="1"/>
  <c r="AA14" i="37"/>
  <c r="W13" i="36"/>
  <c r="AA14" i="34"/>
  <c r="S45" i="33"/>
  <c r="AB31" i="33"/>
  <c r="W29" i="33"/>
  <c r="F17" i="21"/>
  <c r="AA17" i="21"/>
  <c r="H17" i="21"/>
  <c r="AB17" i="21"/>
  <c r="F15" i="21"/>
  <c r="S15" i="21"/>
  <c r="J41" i="39"/>
  <c r="W41" i="39" s="1"/>
  <c r="AC45" i="39"/>
  <c r="W35" i="39"/>
  <c r="S35" i="39"/>
  <c r="G544" i="3"/>
  <c r="G536" i="3"/>
  <c r="G532" i="3"/>
  <c r="G528" i="3"/>
  <c r="G523" i="3"/>
  <c r="G514" i="3"/>
  <c r="G508" i="3"/>
  <c r="G500" i="3"/>
  <c r="G584" i="3"/>
  <c r="G576" i="3"/>
  <c r="G568"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c r="BA554" i="3"/>
  <c r="AZ554" i="3"/>
  <c r="BA552" i="3"/>
  <c r="BA548" i="3"/>
  <c r="BA546" i="3"/>
  <c r="BA544" i="3"/>
  <c r="AZ544" i="3" s="1"/>
  <c r="BA542" i="3"/>
  <c r="AZ542" i="3" s="1"/>
  <c r="BA540" i="3"/>
  <c r="BA538" i="3"/>
  <c r="BA536" i="3"/>
  <c r="AZ536" i="3" s="1"/>
  <c r="BA534" i="3"/>
  <c r="AZ534" i="3" s="1"/>
  <c r="BA532" i="3"/>
  <c r="AZ532" i="3" s="1"/>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35" i="35"/>
  <c r="AA12" i="35"/>
  <c r="W14" i="37"/>
  <c r="U33" i="37"/>
  <c r="U39" i="37"/>
  <c r="AA13" i="33"/>
  <c r="AC45" i="33"/>
  <c r="U19" i="21"/>
  <c r="W44" i="21"/>
  <c r="U26" i="21"/>
  <c r="AC46"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8" i="3"/>
  <c r="AZ497" i="3"/>
  <c r="BL549" i="3"/>
  <c r="AZ494" i="3"/>
  <c r="AZ502" i="3"/>
  <c r="AZ514"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s="1"/>
  <c r="AZ55" i="3"/>
  <c r="AZ59" i="3"/>
  <c r="AZ63" i="3"/>
  <c r="AZ67" i="3"/>
  <c r="AZ75" i="3"/>
  <c r="AZ79" i="3"/>
  <c r="AZ144" i="3"/>
  <c r="AZ152" i="3"/>
  <c r="AZ168" i="3"/>
  <c r="AZ176" i="3"/>
  <c r="AZ184" i="3"/>
  <c r="AZ89" i="3"/>
  <c r="AZ97"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G393" i="3"/>
  <c r="AZ275" i="3"/>
  <c r="AZ287" i="3"/>
  <c r="AZ295" i="3"/>
  <c r="AZ299" i="3"/>
  <c r="BO5" i="3"/>
  <c r="BM5" i="3"/>
  <c r="BJ5" i="3"/>
  <c r="BH5" i="3"/>
  <c r="BF5" i="3"/>
  <c r="BD5" i="3"/>
  <c r="AZ317" i="3"/>
  <c r="AZ333" i="3"/>
  <c r="BQ5" i="3"/>
  <c r="AZ549" i="3"/>
  <c r="AZ496" i="3"/>
  <c r="G548" i="3"/>
  <c r="G538" i="3"/>
  <c r="G520" i="3"/>
  <c r="G502" i="3"/>
  <c r="BS5" i="3"/>
  <c r="BP5" i="3"/>
  <c r="G29" i="6" s="1"/>
  <c r="BN5" i="3"/>
  <c r="BK5" i="3"/>
  <c r="BI5" i="3"/>
  <c r="BG5" i="3"/>
  <c r="BE5" i="3"/>
  <c r="BC5" i="3"/>
  <c r="G17" i="3"/>
  <c r="BA17" i="3"/>
  <c r="BT5" i="3"/>
  <c r="AZ352" i="3"/>
  <c r="AZ368" i="3"/>
  <c r="BA15" i="3"/>
  <c r="BB5" i="3"/>
  <c r="BR5" i="3"/>
  <c r="AZ380" i="3"/>
  <c r="AZ392" i="3"/>
  <c r="AZ499" i="3"/>
  <c r="G509" i="3"/>
  <c r="BL493" i="3"/>
  <c r="AZ493" i="3" s="1"/>
  <c r="AZ390" i="3"/>
  <c r="U36" i="40"/>
  <c r="F83" i="43"/>
  <c r="H85" i="43" s="1"/>
  <c r="F50" i="43"/>
  <c r="H54" i="43" s="1"/>
  <c r="F72" i="43"/>
  <c r="H75" i="43" s="1"/>
  <c r="U17" i="39"/>
  <c r="S14" i="35"/>
  <c r="U43" i="21"/>
  <c r="U35" i="21"/>
  <c r="AC35" i="21"/>
  <c r="G10" i="1"/>
  <c r="AC11" i="39"/>
  <c r="AZ501" i="3"/>
  <c r="W37" i="37"/>
  <c r="W44" i="34"/>
  <c r="S15" i="37"/>
  <c r="U13" i="37"/>
  <c r="J37" i="33"/>
  <c r="W37" i="33"/>
  <c r="F106" i="33"/>
  <c r="G106" i="33"/>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4" i="3"/>
  <c r="AZ386" i="3"/>
  <c r="C40" i="11"/>
  <c r="AZ223" i="3"/>
  <c r="AZ235" i="3"/>
  <c r="AZ240" i="3"/>
  <c r="AZ251" i="3"/>
  <c r="AZ256" i="3"/>
  <c r="AZ268" i="3"/>
  <c r="AZ271" i="3"/>
  <c r="AZ296" i="3"/>
  <c r="AZ117" i="3"/>
  <c r="AZ133" i="3"/>
  <c r="AZ21" i="3"/>
  <c r="AZ29" i="3"/>
  <c r="AZ31" i="3"/>
  <c r="AZ33" i="3"/>
  <c r="AZ37" i="3"/>
  <c r="AZ42" i="3"/>
  <c r="AZ50" i="3"/>
  <c r="AZ53" i="3"/>
  <c r="AZ61" i="3"/>
  <c r="AZ72" i="3"/>
  <c r="AZ74" i="3"/>
  <c r="AZ77" i="3"/>
  <c r="AZ82" i="3"/>
  <c r="AZ86" i="3"/>
  <c r="AZ94" i="3"/>
  <c r="AZ110" i="3"/>
  <c r="F23" i="39"/>
  <c r="AA23" i="39"/>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Z417" i="3"/>
  <c r="AZ433" i="3"/>
  <c r="AZ465" i="3"/>
  <c r="AA32" i="36"/>
  <c r="S32" i="36"/>
  <c r="AZ457" i="3"/>
  <c r="AZ473" i="3"/>
  <c r="AZ490" i="3"/>
  <c r="BL14" i="3"/>
  <c r="AZ266" i="3"/>
  <c r="U30" i="33"/>
  <c r="AC13" i="34"/>
  <c r="AA47" i="34"/>
  <c r="W28" i="37"/>
  <c r="S19" i="39"/>
  <c r="F12" i="33"/>
  <c r="H12" i="39"/>
  <c r="AB12" i="39" s="1"/>
  <c r="F39" i="40"/>
  <c r="BA14" i="3"/>
  <c r="AZ224" i="3"/>
  <c r="AZ238" i="3"/>
  <c r="AZ254" i="3"/>
  <c r="AZ297" i="3"/>
  <c r="AZ157" i="3"/>
  <c r="AZ173" i="3"/>
  <c r="AZ189" i="3"/>
  <c r="AZ19" i="3"/>
  <c r="AZ35"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H10" i="37"/>
  <c r="AB10" i="37" s="1"/>
  <c r="F63" i="37"/>
  <c r="F11" i="37"/>
  <c r="S11" i="37" s="1"/>
  <c r="AA33" i="34"/>
  <c r="AC42" i="34"/>
  <c r="U39" i="34"/>
  <c r="AA45" i="34"/>
  <c r="AA25" i="34"/>
  <c r="U28" i="34"/>
  <c r="S17" i="34"/>
  <c r="AA29" i="34"/>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0" i="34"/>
  <c r="AB45" i="34"/>
  <c r="U25" i="34"/>
  <c r="AB36" i="34"/>
  <c r="AC14" i="34"/>
  <c r="AC32" i="34"/>
  <c r="AC29" i="34"/>
  <c r="W29" i="34"/>
  <c r="W46" i="34"/>
  <c r="AC46" i="34"/>
  <c r="S32" i="34"/>
  <c r="AA32" i="34"/>
  <c r="U30" i="34"/>
  <c r="AB30" i="34"/>
  <c r="U38" i="34"/>
  <c r="AC40" i="34"/>
  <c r="W40" i="34"/>
  <c r="S36" i="34"/>
  <c r="AA8" i="34"/>
  <c r="S8" i="34"/>
  <c r="S46" i="34"/>
  <c r="AA46" i="34"/>
  <c r="U32" i="34"/>
  <c r="AB32" i="34"/>
  <c r="U14" i="34"/>
  <c r="AB14"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F23" i="33"/>
  <c r="AA23" i="33" s="1"/>
  <c r="G85" i="33"/>
  <c r="AC23" i="33"/>
  <c r="AA19" i="33"/>
  <c r="H19" i="33"/>
  <c r="AB19" i="33" s="1"/>
  <c r="G81" i="33"/>
  <c r="G79" i="33"/>
  <c r="H17" i="33"/>
  <c r="U17" i="33" s="1"/>
  <c r="F17" i="33"/>
  <c r="AA17" i="33" s="1"/>
  <c r="W17" i="33"/>
  <c r="S37" i="21"/>
  <c r="AA23" i="21"/>
  <c r="AB15" i="21"/>
  <c r="J23" i="21"/>
  <c r="AC23" i="21" s="1"/>
  <c r="F85" i="21"/>
  <c r="G85" i="21" s="1"/>
  <c r="H23" i="21"/>
  <c r="U23" i="21" s="1"/>
  <c r="S13" i="21"/>
  <c r="D6" i="52"/>
  <c r="AP7" i="1"/>
  <c r="AB45" i="21"/>
  <c r="AB9" i="21"/>
  <c r="U9" i="21"/>
  <c r="AA32" i="21"/>
  <c r="W9" i="21"/>
  <c r="AB32" i="21"/>
  <c r="AC32" i="39"/>
  <c r="W32" i="39"/>
  <c r="W19" i="37"/>
  <c r="AC19" i="37"/>
  <c r="W23" i="37"/>
  <c r="H63" i="37"/>
  <c r="I63" i="37" s="1"/>
  <c r="J63" i="37" s="1"/>
  <c r="K63" i="37" s="1"/>
  <c r="L63" i="37" s="1"/>
  <c r="M63" i="37" s="1"/>
  <c r="J11" i="37"/>
  <c r="AC11" i="37" s="1"/>
  <c r="J11" i="34"/>
  <c r="W11" i="34" s="1"/>
  <c r="AB36" i="33"/>
  <c r="AC25" i="33"/>
  <c r="S23" i="33"/>
  <c r="U19" i="33"/>
  <c r="S17" i="33"/>
  <c r="AB17" i="33"/>
  <c r="AB23" i="21"/>
  <c r="W23" i="21"/>
  <c r="H109" i="9"/>
  <c r="H112" i="9"/>
  <c r="H111" i="9"/>
  <c r="D126" i="9"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2" i="68"/>
  <c r="M24" i="67"/>
  <c r="D6" i="73"/>
  <c r="L48" i="15"/>
  <c r="B11" i="76"/>
  <c r="F5" i="73"/>
  <c r="F20" i="31"/>
  <c r="M23" i="67"/>
  <c r="F3" i="73"/>
  <c r="J15" i="67"/>
  <c r="F6" i="15"/>
  <c r="M28" i="15"/>
  <c r="D7" i="73"/>
  <c r="E13" i="76"/>
  <c r="F16" i="67"/>
  <c r="F42" i="67"/>
  <c r="B8" i="76"/>
  <c r="E9" i="76"/>
  <c r="F36" i="67"/>
  <c r="E10" i="76"/>
  <c r="E12" i="76"/>
  <c r="E8" i="76"/>
  <c r="F4" i="73"/>
  <c r="F6" i="73"/>
  <c r="F9" i="67"/>
  <c r="F26" i="67"/>
  <c r="F26" i="15"/>
  <c r="F7" i="15"/>
  <c r="B13" i="76"/>
  <c r="B12" i="76"/>
  <c r="D5" i="73"/>
  <c r="M9" i="67"/>
  <c r="B10" i="76"/>
  <c r="F37" i="67"/>
  <c r="B9" i="76"/>
  <c r="J15" i="15"/>
  <c r="D35" i="9"/>
  <c r="F7" i="73"/>
  <c r="M26" i="67"/>
  <c r="F43" i="15"/>
  <c r="M6" i="67"/>
  <c r="AO13" i="1"/>
  <c r="F38" i="15"/>
  <c r="M8" i="67"/>
  <c r="E7" i="76"/>
  <c r="E11" i="76"/>
  <c r="D34" i="9"/>
  <c r="F42" i="15"/>
  <c r="M29" i="15"/>
  <c r="M28" i="67"/>
  <c r="M24" i="15"/>
  <c r="F9" i="15"/>
  <c r="B7" i="76"/>
  <c r="E2" i="69"/>
  <c r="AB9" i="34" l="1"/>
  <c r="U9" i="34"/>
  <c r="AA40" i="34"/>
  <c r="W41" i="34"/>
  <c r="AA41" i="34"/>
  <c r="AB21" i="34"/>
  <c r="F28" i="6"/>
  <c r="AC43" i="34"/>
  <c r="AB41" i="34"/>
  <c r="U27" i="34"/>
  <c r="S12" i="21"/>
  <c r="AA12" i="21"/>
  <c r="U27" i="37"/>
  <c r="AB27" i="37"/>
  <c r="D20" i="71"/>
  <c r="U20" i="71" s="1"/>
  <c r="T20" i="71"/>
  <c r="AC27" i="33"/>
  <c r="AZ351" i="3"/>
  <c r="AC15" i="34"/>
  <c r="W15" i="34"/>
  <c r="AC40" i="40"/>
  <c r="W40" i="40"/>
  <c r="BA585" i="3"/>
  <c r="BL548" i="3"/>
  <c r="BL16" i="3"/>
  <c r="AZ16" i="3" s="1"/>
  <c r="G399" i="3"/>
  <c r="BL399" i="3"/>
  <c r="BA400" i="3"/>
  <c r="AZ400" i="3" s="1"/>
  <c r="BA401" i="3"/>
  <c r="AZ401" i="3" s="1"/>
  <c r="BA402" i="3"/>
  <c r="BL402" i="3"/>
  <c r="G404" i="3"/>
  <c r="BL404" i="3"/>
  <c r="BA405" i="3"/>
  <c r="AZ405" i="3" s="1"/>
  <c r="BA406" i="3"/>
  <c r="BL406" i="3"/>
  <c r="BA407" i="3"/>
  <c r="AZ407" i="3" s="1"/>
  <c r="BA408" i="3"/>
  <c r="AZ408" i="3" s="1"/>
  <c r="AZ14" i="3"/>
  <c r="AC5" i="3"/>
  <c r="AZ379" i="3"/>
  <c r="AZ345" i="3"/>
  <c r="AZ318" i="3"/>
  <c r="AZ372" i="3"/>
  <c r="AZ337" i="3"/>
  <c r="AZ320" i="3"/>
  <c r="AZ305" i="3"/>
  <c r="AZ362" i="3"/>
  <c r="S14" i="40"/>
  <c r="U11" i="33"/>
  <c r="AC31" i="33"/>
  <c r="AB28" i="37"/>
  <c r="U14" i="40"/>
  <c r="U43" i="33"/>
  <c r="AC28" i="34"/>
  <c r="AZ511" i="3"/>
  <c r="AZ519" i="3"/>
  <c r="AZ495" i="3"/>
  <c r="AZ513" i="3"/>
  <c r="AZ517" i="3"/>
  <c r="AZ516" i="3"/>
  <c r="AZ524" i="3"/>
  <c r="AZ528" i="3"/>
  <c r="AZ566" i="3"/>
  <c r="AZ574" i="3"/>
  <c r="AZ582" i="3"/>
  <c r="AZ540" i="3"/>
  <c r="AZ552" i="3"/>
  <c r="AZ538" i="3"/>
  <c r="AZ584" i="3"/>
  <c r="AB45" i="33"/>
  <c r="U40" i="33"/>
  <c r="C21" i="39"/>
  <c r="C25" i="39"/>
  <c r="U34" i="21"/>
  <c r="S40" i="33"/>
  <c r="S34" i="35"/>
  <c r="U30" i="37"/>
  <c r="H12" i="21"/>
  <c r="B73" i="43"/>
  <c r="B79" i="43"/>
  <c r="B76" i="43"/>
  <c r="B75" i="43"/>
  <c r="F9" i="33"/>
  <c r="AA9" i="33" s="1"/>
  <c r="F9" i="36"/>
  <c r="F40" i="40"/>
  <c r="H40" i="40"/>
  <c r="G580" i="3"/>
  <c r="G570" i="3"/>
  <c r="G564" i="3"/>
  <c r="G556" i="3"/>
  <c r="BA550" i="3"/>
  <c r="G526" i="3"/>
  <c r="G518" i="3"/>
  <c r="G510" i="3"/>
  <c r="G504" i="3"/>
  <c r="G496" i="3"/>
  <c r="AZ399" i="3"/>
  <c r="AZ404" i="3"/>
  <c r="AZ418" i="3"/>
  <c r="AZ422" i="3"/>
  <c r="AZ434" i="3"/>
  <c r="AZ450" i="3"/>
  <c r="AZ454" i="3"/>
  <c r="AZ459"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G475" i="3"/>
  <c r="BL475" i="3"/>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AZ385" i="3"/>
  <c r="AZ210" i="3"/>
  <c r="AZ225" i="3"/>
  <c r="AZ239" i="3"/>
  <c r="AZ255" i="3"/>
  <c r="AZ270" i="3"/>
  <c r="AZ274" i="3"/>
  <c r="AZ277" i="3"/>
  <c r="AZ301" i="3"/>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BA192" i="3"/>
  <c r="AZ192" i="3" s="1"/>
  <c r="BL193" i="3"/>
  <c r="G196" i="3"/>
  <c r="BA197" i="3"/>
  <c r="BL197" i="3"/>
  <c r="G198" i="3"/>
  <c r="BL199" i="3"/>
  <c r="AZ199" i="3" s="1"/>
  <c r="BA201" i="3"/>
  <c r="AZ201" i="3" s="1"/>
  <c r="BA202" i="3"/>
  <c r="AZ202" i="3" s="1"/>
  <c r="BL203" i="3"/>
  <c r="AZ203" i="3" s="1"/>
  <c r="BA205" i="3"/>
  <c r="AZ205" i="3" s="1"/>
  <c r="BA206" i="3"/>
  <c r="AZ206" i="3" s="1"/>
  <c r="G19" i="3"/>
  <c r="G20" i="3"/>
  <c r="G21" i="3"/>
  <c r="G22" i="3"/>
  <c r="BL22" i="3"/>
  <c r="BA23" i="3"/>
  <c r="AZ23" i="3" s="1"/>
  <c r="BA24" i="3"/>
  <c r="AZ24" i="3" s="1"/>
  <c r="BL26" i="3"/>
  <c r="AZ26" i="3" s="1"/>
  <c r="G28" i="3"/>
  <c r="G29" i="3"/>
  <c r="G30" i="3"/>
  <c r="BL30" i="3"/>
  <c r="BL32" i="3"/>
  <c r="AZ32" i="3" s="1"/>
  <c r="G35" i="3"/>
  <c r="G36" i="3"/>
  <c r="BL36" i="3"/>
  <c r="BA38" i="3"/>
  <c r="AZ38" i="3" s="1"/>
  <c r="BA39" i="3"/>
  <c r="AZ39" i="3" s="1"/>
  <c r="BL41" i="3"/>
  <c r="AZ41" i="3" s="1"/>
  <c r="BL43" i="3"/>
  <c r="AZ43" i="3" s="1"/>
  <c r="BA44" i="3"/>
  <c r="AZ44" i="3" s="1"/>
  <c r="BA45" i="3"/>
  <c r="AZ45" i="3" s="1"/>
  <c r="BL47" i="3"/>
  <c r="AZ47" i="3" s="1"/>
  <c r="G49" i="3"/>
  <c r="BL49" i="3"/>
  <c r="BL51" i="3"/>
  <c r="AZ51" i="3" s="1"/>
  <c r="G53" i="3"/>
  <c r="G54" i="3"/>
  <c r="BL54" i="3"/>
  <c r="AZ54" i="3" s="1"/>
  <c r="BA56" i="3"/>
  <c r="AZ56" i="3" s="1"/>
  <c r="BL58" i="3"/>
  <c r="AZ58" i="3" s="1"/>
  <c r="G61" i="3"/>
  <c r="G62" i="3"/>
  <c r="BL62" i="3"/>
  <c r="BA64" i="3"/>
  <c r="AZ64" i="3" s="1"/>
  <c r="BL66" i="3"/>
  <c r="AZ66"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AZ99" i="3" s="1"/>
  <c r="BA100" i="3"/>
  <c r="AZ100" i="3" s="1"/>
  <c r="BA101" i="3"/>
  <c r="AZ101" i="3" s="1"/>
  <c r="BA102" i="3"/>
  <c r="AZ102" i="3" s="1"/>
  <c r="G105" i="3"/>
  <c r="G106" i="3"/>
  <c r="BL106" i="3"/>
  <c r="G109" i="3"/>
  <c r="G110" i="3"/>
  <c r="G111" i="3"/>
  <c r="BA112" i="3"/>
  <c r="AZ112" i="3" s="1"/>
  <c r="T40" i="71"/>
  <c r="D40" i="71"/>
  <c r="AZ22" i="3"/>
  <c r="AZ36" i="3"/>
  <c r="AZ62" i="3"/>
  <c r="AZ96" i="3"/>
  <c r="AZ106" i="3"/>
  <c r="AC21" i="34"/>
  <c r="C29" i="39"/>
  <c r="B68" i="43"/>
  <c r="B77" i="43"/>
  <c r="D52" i="71"/>
  <c r="V28" i="71"/>
  <c r="C32" i="71"/>
  <c r="C60" i="71"/>
  <c r="S28" i="71"/>
  <c r="AB33" i="71"/>
  <c r="X32" i="71"/>
  <c r="AA33" i="71"/>
  <c r="AA37" i="71"/>
  <c r="AB29" i="71"/>
  <c r="X29" i="71"/>
  <c r="AB31" i="71"/>
  <c r="F35" i="71"/>
  <c r="F36" i="71" s="1"/>
  <c r="V36" i="71" s="1"/>
  <c r="AB35" i="71"/>
  <c r="F39" i="71"/>
  <c r="F40" i="71" s="1"/>
  <c r="V40" i="71" s="1"/>
  <c r="B59" i="71"/>
  <c r="B60" i="71" s="1"/>
  <c r="S60" i="71" s="1"/>
  <c r="E19" i="71"/>
  <c r="E18" i="71" s="1"/>
  <c r="E17" i="71" s="1"/>
  <c r="E16" i="71" s="1"/>
  <c r="V20" i="71"/>
  <c r="AZ581" i="3"/>
  <c r="AZ568" i="3"/>
  <c r="AZ576" i="3"/>
  <c r="AA11" i="36"/>
  <c r="S11" i="36"/>
  <c r="W11" i="35"/>
  <c r="AC11" i="35"/>
  <c r="U46" i="34"/>
  <c r="AB46" i="34"/>
  <c r="W30" i="34"/>
  <c r="AC30" i="34"/>
  <c r="U17" i="34"/>
  <c r="AB17" i="34"/>
  <c r="AA28" i="34"/>
  <c r="S28" i="34"/>
  <c r="D17" i="71"/>
  <c r="C16" i="71"/>
  <c r="U32" i="39"/>
  <c r="W17" i="21"/>
  <c r="AZ557" i="3"/>
  <c r="AZ567" i="3"/>
  <c r="AZ571" i="3"/>
  <c r="AZ575" i="3"/>
  <c r="AZ579" i="3"/>
  <c r="S13" i="35"/>
  <c r="AA13" i="35"/>
  <c r="AB31" i="34"/>
  <c r="U31" i="34"/>
  <c r="BA587" i="3"/>
  <c r="AZ587" i="3" s="1"/>
  <c r="AZ548" i="3"/>
  <c r="U26" i="33"/>
  <c r="AB26" i="33"/>
  <c r="AA41" i="33"/>
  <c r="S41" i="33"/>
  <c r="F12" i="36"/>
  <c r="F26" i="33"/>
  <c r="W9" i="34"/>
  <c r="W40" i="39"/>
  <c r="AB41" i="21"/>
  <c r="BL586" i="3"/>
  <c r="BA586" i="3"/>
  <c r="J14" i="21"/>
  <c r="F14" i="21"/>
  <c r="H14" i="21"/>
  <c r="H30" i="21"/>
  <c r="F30" i="21"/>
  <c r="J30" i="21"/>
  <c r="J45" i="21"/>
  <c r="F45" i="21"/>
  <c r="AC33" i="33"/>
  <c r="W33" i="33"/>
  <c r="E78" i="34"/>
  <c r="F78" i="34" s="1"/>
  <c r="G78" i="34" s="1"/>
  <c r="F15" i="34"/>
  <c r="H15" i="34"/>
  <c r="E82" i="34"/>
  <c r="F82" i="34" s="1"/>
  <c r="G82" i="34" s="1"/>
  <c r="F19" i="34"/>
  <c r="U12" i="35"/>
  <c r="AB12" i="35"/>
  <c r="AC34" i="35"/>
  <c r="W34" i="35"/>
  <c r="J12" i="33"/>
  <c r="H12" i="33"/>
  <c r="H14" i="33"/>
  <c r="F14" i="33"/>
  <c r="J14" i="33"/>
  <c r="J44" i="33"/>
  <c r="F44" i="33"/>
  <c r="J46" i="33"/>
  <c r="F46" i="33"/>
  <c r="H46" i="33"/>
  <c r="H13" i="34"/>
  <c r="F13" i="34"/>
  <c r="J31" i="34"/>
  <c r="F31" i="34"/>
  <c r="H47" i="34"/>
  <c r="J47" i="34"/>
  <c r="H12" i="36"/>
  <c r="F13" i="37"/>
  <c r="J13" i="37"/>
  <c r="J26" i="37"/>
  <c r="H26" i="37"/>
  <c r="F26" i="37"/>
  <c r="H44" i="39"/>
  <c r="F44" i="39"/>
  <c r="J44" i="39"/>
  <c r="AC31" i="40"/>
  <c r="W31" i="40"/>
  <c r="AC32" i="40"/>
  <c r="J39" i="40"/>
  <c r="H39" i="40"/>
  <c r="W38" i="34"/>
  <c r="AC38" i="34"/>
  <c r="AB34" i="37"/>
  <c r="U34" i="37"/>
  <c r="BA551" i="3"/>
  <c r="AZ551" i="3" s="1"/>
  <c r="AZ409" i="3"/>
  <c r="AZ416" i="3"/>
  <c r="AZ425" i="3"/>
  <c r="AZ432" i="3"/>
  <c r="AZ445" i="3"/>
  <c r="AZ447" i="3"/>
  <c r="AZ464" i="3"/>
  <c r="AZ467" i="3"/>
  <c r="AZ474" i="3"/>
  <c r="BL585" i="3"/>
  <c r="AZ585" i="3" s="1"/>
  <c r="H28" i="21"/>
  <c r="F28" i="21"/>
  <c r="J28" i="21"/>
  <c r="H31" i="21"/>
  <c r="J31" i="21"/>
  <c r="F31" i="21"/>
  <c r="AB35" i="33"/>
  <c r="U35" i="33"/>
  <c r="J27" i="34"/>
  <c r="F27" i="34"/>
  <c r="AA27" i="34" s="1"/>
  <c r="AB34" i="35"/>
  <c r="U34" i="35"/>
  <c r="H23" i="35"/>
  <c r="J23" i="35"/>
  <c r="F23" i="35"/>
  <c r="AB9" i="36"/>
  <c r="U9" i="36"/>
  <c r="J24" i="36"/>
  <c r="F24" i="36"/>
  <c r="AB31" i="36"/>
  <c r="U31" i="36"/>
  <c r="AC31" i="37"/>
  <c r="W31" i="37"/>
  <c r="AB14" i="37"/>
  <c r="U14" i="37"/>
  <c r="H25" i="37"/>
  <c r="J25" i="37"/>
  <c r="F25" i="37"/>
  <c r="U8" i="39"/>
  <c r="AB8" i="39"/>
  <c r="J14" i="39"/>
  <c r="AC14" i="39" s="1"/>
  <c r="H14" i="39"/>
  <c r="H31" i="39"/>
  <c r="F31" i="39"/>
  <c r="J31" i="39"/>
  <c r="J12" i="40"/>
  <c r="F12" i="40"/>
  <c r="H12" i="40"/>
  <c r="F38" i="40"/>
  <c r="J38" i="40"/>
  <c r="H38" i="40"/>
  <c r="AB31" i="35"/>
  <c r="U31" i="35"/>
  <c r="F36" i="39"/>
  <c r="H36" i="39"/>
  <c r="J36" i="39"/>
  <c r="BL550" i="3"/>
  <c r="AZ550" i="3" s="1"/>
  <c r="AZ421" i="3"/>
  <c r="AZ489" i="3"/>
  <c r="AZ316" i="3"/>
  <c r="AZ332" i="3"/>
  <c r="AZ397" i="3"/>
  <c r="AZ212" i="3"/>
  <c r="AZ217" i="3"/>
  <c r="AZ220" i="3"/>
  <c r="AZ228" i="3"/>
  <c r="AZ231" i="3"/>
  <c r="AZ244" i="3"/>
  <c r="AZ247" i="3"/>
  <c r="AZ260" i="3"/>
  <c r="AZ264" i="3"/>
  <c r="AZ282" i="3"/>
  <c r="AZ285" i="3"/>
  <c r="AZ290" i="3"/>
  <c r="AZ293" i="3"/>
  <c r="AZ153" i="3"/>
  <c r="AZ169" i="3"/>
  <c r="AZ185" i="3"/>
  <c r="A15" i="62"/>
  <c r="B61" i="72" s="1"/>
  <c r="AZ475" i="3"/>
  <c r="AZ479" i="3"/>
  <c r="AZ485" i="3"/>
  <c r="AZ193" i="3"/>
  <c r="AZ30" i="3"/>
  <c r="AZ40" i="3"/>
  <c r="AZ49" i="3"/>
  <c r="AZ65" i="3"/>
  <c r="AZ103" i="3"/>
  <c r="AZ81" i="3"/>
  <c r="AZ90" i="3"/>
  <c r="D35" i="71"/>
  <c r="C36" i="71"/>
  <c r="C43" i="71"/>
  <c r="D42" i="71"/>
  <c r="C47" i="71"/>
  <c r="D47" i="71" s="1"/>
  <c r="D46" i="71"/>
  <c r="U18" i="36"/>
  <c r="F30" i="71"/>
  <c r="F31" i="71" s="1"/>
  <c r="F32" i="71" s="1"/>
  <c r="V32" i="71" s="1"/>
  <c r="Y9" i="71"/>
  <c r="Z9" i="71" s="1"/>
  <c r="Y10" i="71"/>
  <c r="Z10" i="71" s="1"/>
  <c r="AA9" i="71"/>
  <c r="AA10" i="71"/>
  <c r="X22" i="71"/>
  <c r="AA24" i="71"/>
  <c r="Y22" i="71"/>
  <c r="Z22" i="71" s="1"/>
  <c r="AB23" i="71"/>
  <c r="Y21" i="71"/>
  <c r="Z21" i="71" s="1"/>
  <c r="AB21" i="71"/>
  <c r="Y18" i="71"/>
  <c r="Z18" i="71" s="1"/>
  <c r="X17" i="71"/>
  <c r="Y17" i="71"/>
  <c r="Z17" i="71" s="1"/>
  <c r="AA17" i="71"/>
  <c r="AB18" i="71"/>
  <c r="Y14" i="71"/>
  <c r="Z14" i="71" s="1"/>
  <c r="X9" i="71"/>
  <c r="X10" i="71"/>
  <c r="Y39" i="71"/>
  <c r="Z39" i="71" s="1"/>
  <c r="AA39" i="71"/>
  <c r="AB10" i="71"/>
  <c r="AB9" i="71"/>
  <c r="AB24" i="71"/>
  <c r="AA23" i="71"/>
  <c r="AA22" i="71"/>
  <c r="X21" i="71"/>
  <c r="AA21" i="71"/>
  <c r="X18" i="71"/>
  <c r="AA18" i="71"/>
  <c r="X12" i="71"/>
  <c r="AA14" i="71"/>
  <c r="X24" i="71"/>
  <c r="Y24" i="71"/>
  <c r="Z24" i="71" s="1"/>
  <c r="AB15" i="71"/>
  <c r="AB17" i="71"/>
  <c r="AB11" i="71"/>
  <c r="AB14" i="71"/>
  <c r="Y11" i="71"/>
  <c r="Z11" i="71" s="1"/>
  <c r="Y12" i="71"/>
  <c r="Z12" i="71" s="1"/>
  <c r="AA12" i="71"/>
  <c r="X11" i="71"/>
  <c r="F67" i="71"/>
  <c r="Y23" i="71"/>
  <c r="Z23" i="71" s="1"/>
  <c r="X15" i="71"/>
  <c r="AA15" i="71"/>
  <c r="AB12" i="71"/>
  <c r="AB13" i="71"/>
  <c r="Y13" i="71"/>
  <c r="Z13" i="71" s="1"/>
  <c r="AA11" i="71"/>
  <c r="AA13" i="71"/>
  <c r="X13" i="71"/>
  <c r="X14" i="71"/>
  <c r="F8" i="1"/>
  <c r="G8" i="1" s="1"/>
  <c r="W8" i="34"/>
  <c r="G124" i="34"/>
  <c r="H124" i="34" s="1"/>
  <c r="I124" i="34" s="1"/>
  <c r="J124" i="34" s="1"/>
  <c r="K124" i="34" s="1"/>
  <c r="L124" i="34" s="1"/>
  <c r="M124" i="34" s="1"/>
  <c r="F43" i="34"/>
  <c r="AA43" i="34" s="1"/>
  <c r="S44" i="34"/>
  <c r="U44" i="34"/>
  <c r="U43" i="34"/>
  <c r="S43" i="34"/>
  <c r="AC39" i="34"/>
  <c r="AA39" i="34"/>
  <c r="G112" i="34"/>
  <c r="F37" i="34" s="1"/>
  <c r="H37" i="34"/>
  <c r="U37" i="34" s="1"/>
  <c r="AC36" i="34"/>
  <c r="W35" i="34"/>
  <c r="AB35" i="34"/>
  <c r="S35" i="34"/>
  <c r="W33" i="34"/>
  <c r="W25" i="34"/>
  <c r="W23" i="34"/>
  <c r="S23" i="34"/>
  <c r="AB23" i="34"/>
  <c r="S21" i="34"/>
  <c r="U19" i="34"/>
  <c r="AC17" i="34"/>
  <c r="AB8" i="34"/>
  <c r="C21" i="68"/>
  <c r="C40" i="69"/>
  <c r="BA5" i="3"/>
  <c r="AZ15" i="3"/>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F50" i="15"/>
  <c r="F71" i="15"/>
  <c r="F66" i="15"/>
  <c r="C27" i="67"/>
  <c r="C27" i="15"/>
  <c r="B13" i="70"/>
  <c r="F64" i="67"/>
  <c r="C36" i="68"/>
  <c r="D9" i="69"/>
  <c r="D9" i="68"/>
  <c r="D4" i="73"/>
  <c r="G1" i="73"/>
  <c r="M26" i="15"/>
  <c r="F13" i="67"/>
  <c r="F37" i="15"/>
  <c r="L47" i="15"/>
  <c r="M6" i="15"/>
  <c r="F40" i="67"/>
  <c r="F13" i="15"/>
  <c r="M22" i="67"/>
  <c r="C76" i="67"/>
  <c r="C76" i="15"/>
  <c r="L47" i="67"/>
  <c r="F36" i="15"/>
  <c r="M23" i="15"/>
  <c r="M22" i="15"/>
  <c r="F38" i="67"/>
  <c r="F8" i="67"/>
  <c r="L48" i="67"/>
  <c r="M8" i="15"/>
  <c r="D3" i="73"/>
  <c r="M9" i="15"/>
  <c r="F8" i="15"/>
  <c r="F40" i="15"/>
  <c r="F6" i="67"/>
  <c r="F16" i="15"/>
  <c r="S27" i="34" l="1"/>
  <c r="F51" i="67"/>
  <c r="L59" i="15"/>
  <c r="Q61" i="15" s="1"/>
  <c r="L58" i="15"/>
  <c r="Q60" i="15" s="1"/>
  <c r="N59" i="15"/>
  <c r="M59" i="15"/>
  <c r="F68" i="67"/>
  <c r="F66" i="67"/>
  <c r="F65" i="15"/>
  <c r="Q71" i="67"/>
  <c r="F51" i="15"/>
  <c r="C49" i="15" s="1"/>
  <c r="C6" i="15"/>
  <c r="C32" i="15" s="1"/>
  <c r="J53" i="67"/>
  <c r="Q52" i="67" s="1"/>
  <c r="L56" i="67"/>
  <c r="J57" i="67"/>
  <c r="J55" i="67" s="1"/>
  <c r="J58" i="67" s="1"/>
  <c r="Q50" i="67" s="1"/>
  <c r="I54" i="67"/>
  <c r="F68" i="15"/>
  <c r="L59" i="67"/>
  <c r="Q74" i="67" s="1"/>
  <c r="M59" i="67"/>
  <c r="N59" i="67"/>
  <c r="L58" i="67"/>
  <c r="Q73" i="67" s="1"/>
  <c r="F64" i="15"/>
  <c r="Q71" i="15"/>
  <c r="T60" i="71"/>
  <c r="D60" i="71"/>
  <c r="AA40" i="40"/>
  <c r="S40" i="40"/>
  <c r="AZ402" i="3"/>
  <c r="J6" i="15"/>
  <c r="J18" i="15" s="1"/>
  <c r="AB37" i="34"/>
  <c r="AZ586" i="3"/>
  <c r="T32" i="71"/>
  <c r="D32" i="71"/>
  <c r="AZ197" i="3"/>
  <c r="AZ469" i="3"/>
  <c r="AB40" i="40"/>
  <c r="U40" i="40"/>
  <c r="AA9" i="36"/>
  <c r="S9" i="36"/>
  <c r="AB12" i="21"/>
  <c r="U12" i="21"/>
  <c r="AZ406" i="3"/>
  <c r="G5" i="3"/>
  <c r="B3" i="3" s="1"/>
  <c r="E105" i="3" s="1"/>
  <c r="B15" i="71"/>
  <c r="B14" i="71" s="1"/>
  <c r="B13" i="71" s="1"/>
  <c r="B12" i="71" s="1"/>
  <c r="S16" i="71"/>
  <c r="AZ5" i="3"/>
  <c r="D43" i="71"/>
  <c r="C44" i="71"/>
  <c r="AB36" i="39"/>
  <c r="U36" i="39"/>
  <c r="U38" i="40"/>
  <c r="AB38" i="40"/>
  <c r="S38" i="40"/>
  <c r="AA38" i="40"/>
  <c r="S12" i="40"/>
  <c r="AA12" i="40"/>
  <c r="W31" i="39"/>
  <c r="AC31" i="39"/>
  <c r="AB31" i="39"/>
  <c r="U31" i="39"/>
  <c r="W25" i="37"/>
  <c r="AC25" i="37"/>
  <c r="S24" i="36"/>
  <c r="AA24" i="36"/>
  <c r="AA23" i="35"/>
  <c r="S23" i="35"/>
  <c r="U23" i="35"/>
  <c r="AB23" i="35"/>
  <c r="W27" i="34"/>
  <c r="AC27" i="34"/>
  <c r="AC31" i="21"/>
  <c r="W31" i="21"/>
  <c r="W28" i="21"/>
  <c r="AC28" i="21"/>
  <c r="U28" i="21"/>
  <c r="AB28" i="21"/>
  <c r="AB39" i="40"/>
  <c r="U39" i="40"/>
  <c r="AA44" i="39"/>
  <c r="S44" i="39"/>
  <c r="AA26" i="37"/>
  <c r="S26" i="37"/>
  <c r="AC26" i="37"/>
  <c r="W26" i="37"/>
  <c r="S13" i="37"/>
  <c r="AA13" i="37"/>
  <c r="AC47" i="34"/>
  <c r="W47" i="34"/>
  <c r="S31" i="34"/>
  <c r="AA31" i="34"/>
  <c r="AA13" i="34"/>
  <c r="S13" i="34"/>
  <c r="U46" i="33"/>
  <c r="AB46" i="33"/>
  <c r="W46" i="33"/>
  <c r="AC46" i="33"/>
  <c r="AC44" i="33"/>
  <c r="W44" i="33"/>
  <c r="S14" i="33"/>
  <c r="AA14" i="33"/>
  <c r="U12" i="33"/>
  <c r="AB12" i="33"/>
  <c r="AA19" i="34"/>
  <c r="S19" i="34"/>
  <c r="AB15" i="34"/>
  <c r="U15" i="34"/>
  <c r="W45" i="21"/>
  <c r="AC45" i="21"/>
  <c r="AA30" i="21"/>
  <c r="S30" i="21"/>
  <c r="U14" i="21"/>
  <c r="AB14" i="21"/>
  <c r="W14" i="21"/>
  <c r="AC14" i="21"/>
  <c r="AA26" i="33"/>
  <c r="S26" i="33"/>
  <c r="BL5" i="3"/>
  <c r="F66" i="71"/>
  <c r="Q67" i="71"/>
  <c r="T36" i="71"/>
  <c r="D36" i="71"/>
  <c r="AC36" i="39"/>
  <c r="W36" i="39"/>
  <c r="S36" i="39"/>
  <c r="AA36" i="39"/>
  <c r="AC38" i="40"/>
  <c r="W38" i="40"/>
  <c r="AB12" i="40"/>
  <c r="U12" i="40"/>
  <c r="AC12" i="40"/>
  <c r="W12" i="40"/>
  <c r="AA31" i="39"/>
  <c r="S31" i="39"/>
  <c r="AB14" i="39"/>
  <c r="U14" i="39"/>
  <c r="AA25" i="37"/>
  <c r="S25" i="37"/>
  <c r="U25" i="37"/>
  <c r="AB25" i="37"/>
  <c r="AC24" i="36"/>
  <c r="W24" i="36"/>
  <c r="AC23" i="35"/>
  <c r="W23" i="35"/>
  <c r="S31" i="21"/>
  <c r="AA31" i="21"/>
  <c r="AB31" i="21"/>
  <c r="U31" i="21"/>
  <c r="AA28" i="21"/>
  <c r="S28" i="21"/>
  <c r="AC39" i="40"/>
  <c r="W39" i="40"/>
  <c r="W44" i="39"/>
  <c r="AC44" i="39"/>
  <c r="AB44" i="39"/>
  <c r="U44" i="39"/>
  <c r="AB26" i="37"/>
  <c r="U26" i="37"/>
  <c r="W13" i="37"/>
  <c r="AC13" i="37"/>
  <c r="U12" i="36"/>
  <c r="AB12" i="36"/>
  <c r="U47" i="34"/>
  <c r="AB47" i="34"/>
  <c r="AC31" i="34"/>
  <c r="W31" i="34"/>
  <c r="U13" i="34"/>
  <c r="AB13" i="34"/>
  <c r="AA46" i="33"/>
  <c r="S46" i="33"/>
  <c r="S44" i="33"/>
  <c r="AA44" i="33"/>
  <c r="W14" i="33"/>
  <c r="AC14" i="33"/>
  <c r="U14" i="33"/>
  <c r="AB14" i="33"/>
  <c r="AC12" i="33"/>
  <c r="W12" i="33"/>
  <c r="S15" i="34"/>
  <c r="AA15" i="34"/>
  <c r="AA45" i="21"/>
  <c r="S45" i="21"/>
  <c r="AC30" i="21"/>
  <c r="W30" i="21"/>
  <c r="U30" i="21"/>
  <c r="AB30" i="21"/>
  <c r="S14" i="21"/>
  <c r="AA14" i="21"/>
  <c r="S12" i="36"/>
  <c r="AA12" i="36"/>
  <c r="C15" i="71"/>
  <c r="T16" i="71"/>
  <c r="E15" i="71"/>
  <c r="E14" i="71" s="1"/>
  <c r="E13" i="71" s="1"/>
  <c r="E12" i="71" s="1"/>
  <c r="V16" i="71"/>
  <c r="F10" i="34"/>
  <c r="H10" i="34"/>
  <c r="J10" i="34"/>
  <c r="AA37" i="34"/>
  <c r="S37" i="34"/>
  <c r="H112" i="34"/>
  <c r="I112" i="34" s="1"/>
  <c r="J112" i="34" s="1"/>
  <c r="K112" i="34" s="1"/>
  <c r="L112" i="34" s="1"/>
  <c r="M112" i="34" s="1"/>
  <c r="J37" i="34"/>
  <c r="N370" i="46"/>
  <c r="G26" i="43"/>
  <c r="D18" i="53"/>
  <c r="B35" i="72" s="1"/>
  <c r="F7" i="36"/>
  <c r="S7" i="36" s="1"/>
  <c r="J7" i="37"/>
  <c r="H7" i="36"/>
  <c r="AB7" i="36" s="1"/>
  <c r="T36" i="36" s="1"/>
  <c r="G36" i="36" s="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AY6" i="3"/>
  <c r="M14" i="1"/>
  <c r="D5" i="43"/>
  <c r="D26" i="43"/>
  <c r="C25" i="43" s="1"/>
  <c r="C7" i="43"/>
  <c r="C5" i="43" s="1"/>
  <c r="D10" i="52"/>
  <c r="D125" i="9"/>
  <c r="D11" i="52" s="1"/>
  <c r="B7" i="74"/>
  <c r="C7" i="74" s="1"/>
  <c r="F67" i="39"/>
  <c r="F59" i="67"/>
  <c r="H7" i="37"/>
  <c r="AB7" i="37" s="1"/>
  <c r="T42" i="37" s="1"/>
  <c r="G42" i="37" s="1"/>
  <c r="B40" i="1"/>
  <c r="L36" i="43" s="1"/>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AE11" i="1"/>
  <c r="AE9" i="1"/>
  <c r="AE7" i="1"/>
  <c r="AE8" i="1"/>
  <c r="AE12" i="1"/>
  <c r="AE10" i="1"/>
  <c r="C16" i="15"/>
  <c r="E3" i="6" l="1"/>
  <c r="C34" i="34" s="1"/>
  <c r="F19" i="6"/>
  <c r="Q61" i="67"/>
  <c r="Q74" i="15"/>
  <c r="Q73" i="15"/>
  <c r="F1" i="67"/>
  <c r="Q60" i="67"/>
  <c r="J5" i="15"/>
  <c r="J24" i="15" s="1"/>
  <c r="E222" i="3"/>
  <c r="E425" i="3"/>
  <c r="E349" i="3"/>
  <c r="E138" i="3"/>
  <c r="E158" i="3"/>
  <c r="E178" i="3"/>
  <c r="E20" i="3"/>
  <c r="E35" i="3"/>
  <c r="E76" i="3"/>
  <c r="E81" i="3"/>
  <c r="E96" i="3"/>
  <c r="E504" i="3"/>
  <c r="E223" i="3"/>
  <c r="E416" i="3"/>
  <c r="E467" i="3"/>
  <c r="E483" i="3"/>
  <c r="E296" i="3"/>
  <c r="E139" i="3"/>
  <c r="E152" i="3"/>
  <c r="E179" i="3"/>
  <c r="E19" i="3"/>
  <c r="E36" i="3"/>
  <c r="E75" i="3"/>
  <c r="E510" i="3"/>
  <c r="E205" i="3"/>
  <c r="E16" i="3"/>
  <c r="E188" i="3"/>
  <c r="E140" i="3"/>
  <c r="E197" i="3"/>
  <c r="E116" i="3"/>
  <c r="E173" i="3"/>
  <c r="E369" i="3"/>
  <c r="E393" i="3"/>
  <c r="E525" i="3"/>
  <c r="E493" i="3"/>
  <c r="E534" i="3"/>
  <c r="T6" i="3"/>
  <c r="E543" i="3"/>
  <c r="E405" i="3"/>
  <c r="E427" i="3"/>
  <c r="E456" i="3"/>
  <c r="E486" i="3"/>
  <c r="E469" i="3"/>
  <c r="E507" i="3"/>
  <c r="E512" i="3"/>
  <c r="E422" i="3"/>
  <c r="E408" i="3"/>
  <c r="E440" i="3"/>
  <c r="E451" i="3"/>
  <c r="E490" i="3"/>
  <c r="E360" i="3"/>
  <c r="E376" i="3"/>
  <c r="AH6" i="3"/>
  <c r="E497" i="3"/>
  <c r="J6" i="3"/>
  <c r="E498" i="3"/>
  <c r="E494" i="3"/>
  <c r="E419" i="3"/>
  <c r="E452" i="3"/>
  <c r="E470" i="3"/>
  <c r="E401" i="3"/>
  <c r="E420" i="3"/>
  <c r="E463" i="3"/>
  <c r="E26" i="3"/>
  <c r="E40" i="3"/>
  <c r="E104" i="3"/>
  <c r="E25" i="3"/>
  <c r="E41" i="3"/>
  <c r="E108" i="3"/>
  <c r="E115" i="3"/>
  <c r="E202" i="3"/>
  <c r="E242" i="3"/>
  <c r="E281" i="3"/>
  <c r="E226" i="3"/>
  <c r="E243" i="3"/>
  <c r="E276" i="3"/>
  <c r="E332" i="3"/>
  <c r="E346" i="3"/>
  <c r="E391" i="3"/>
  <c r="E333" i="3"/>
  <c r="E356" i="3"/>
  <c r="E372" i="3"/>
  <c r="AL6" i="3"/>
  <c r="L6" i="3"/>
  <c r="E42" i="3"/>
  <c r="E60" i="3"/>
  <c r="E94" i="3"/>
  <c r="E43" i="3"/>
  <c r="E540" i="3"/>
  <c r="E428" i="3"/>
  <c r="E482" i="3"/>
  <c r="E15" i="3"/>
  <c r="E412" i="3"/>
  <c r="E455" i="3"/>
  <c r="E18" i="3"/>
  <c r="E38" i="3"/>
  <c r="E78" i="3"/>
  <c r="E100" i="3"/>
  <c r="E129" i="3"/>
  <c r="E170" i="3"/>
  <c r="E137" i="3"/>
  <c r="E194" i="3"/>
  <c r="E220" i="3"/>
  <c r="E234" i="3"/>
  <c r="E275" i="3"/>
  <c r="E219" i="3"/>
  <c r="E235" i="3"/>
  <c r="E299" i="3"/>
  <c r="E324" i="3"/>
  <c r="E339" i="3"/>
  <c r="E383" i="3"/>
  <c r="E325" i="3"/>
  <c r="E342" i="3"/>
  <c r="E392" i="3"/>
  <c r="E522" i="3"/>
  <c r="AQ6" i="3"/>
  <c r="E52" i="3"/>
  <c r="E86" i="3"/>
  <c r="E34" i="3"/>
  <c r="E112" i="3"/>
  <c r="E123" i="3"/>
  <c r="E206" i="3"/>
  <c r="E232" i="3"/>
  <c r="E289" i="3"/>
  <c r="E251" i="3"/>
  <c r="E340" i="3"/>
  <c r="E370" i="3"/>
  <c r="E364" i="3"/>
  <c r="AF6" i="3"/>
  <c r="E50" i="3"/>
  <c r="E102" i="3"/>
  <c r="E113" i="3"/>
  <c r="E176" i="3"/>
  <c r="E218" i="3"/>
  <c r="E287" i="3"/>
  <c r="E265" i="3"/>
  <c r="E308" i="3"/>
  <c r="E365" i="3"/>
  <c r="E326" i="3"/>
  <c r="E524" i="3"/>
  <c r="E101" i="3"/>
  <c r="E83" i="3"/>
  <c r="E266" i="3"/>
  <c r="E66" i="3"/>
  <c r="E67" i="3"/>
  <c r="E33" i="3"/>
  <c r="E144" i="3"/>
  <c r="E233" i="3"/>
  <c r="E355" i="3"/>
  <c r="E381" i="3"/>
  <c r="E68" i="3"/>
  <c r="E63" i="3"/>
  <c r="E154" i="3"/>
  <c r="E283" i="3"/>
  <c r="E513" i="3"/>
  <c r="E539" i="3"/>
  <c r="E165" i="3"/>
  <c r="E536" i="3"/>
  <c r="E244" i="3"/>
  <c r="E148" i="3"/>
  <c r="E149" i="3"/>
  <c r="E212" i="3"/>
  <c r="E167" i="3"/>
  <c r="E199" i="3"/>
  <c r="E141" i="3"/>
  <c r="E286" i="3"/>
  <c r="E312" i="3"/>
  <c r="E575" i="3"/>
  <c r="AD6" i="3"/>
  <c r="E499" i="3"/>
  <c r="E542" i="3"/>
  <c r="R6" i="3"/>
  <c r="E552" i="3"/>
  <c r="E502" i="3"/>
  <c r="E421" i="3"/>
  <c r="E442" i="3"/>
  <c r="E466" i="3"/>
  <c r="E541" i="3"/>
  <c r="E398" i="3"/>
  <c r="E430" i="3"/>
  <c r="E449" i="3"/>
  <c r="E459" i="3"/>
  <c r="E374" i="3"/>
  <c r="I3" i="6"/>
  <c r="E566" i="3"/>
  <c r="AP6" i="3"/>
  <c r="E500" i="3"/>
  <c r="E554" i="3"/>
  <c r="E582" i="3"/>
  <c r="E517" i="3"/>
  <c r="E413" i="3"/>
  <c r="E435" i="3"/>
  <c r="E460" i="3"/>
  <c r="E491" i="3"/>
  <c r="E520" i="3"/>
  <c r="E417" i="3"/>
  <c r="E436" i="3"/>
  <c r="E479" i="3"/>
  <c r="E39" i="3"/>
  <c r="E56" i="3"/>
  <c r="E37" i="3"/>
  <c r="E57" i="3"/>
  <c r="E95" i="3"/>
  <c r="E131" i="3"/>
  <c r="E187" i="3"/>
  <c r="E132" i="3"/>
  <c r="E155" i="3"/>
  <c r="E192" i="3"/>
  <c r="E240" i="3"/>
  <c r="E258" i="3"/>
  <c r="E241" i="3"/>
  <c r="E259" i="3"/>
  <c r="E292" i="3"/>
  <c r="E348" i="3"/>
  <c r="E363" i="3"/>
  <c r="E378" i="3"/>
  <c r="E375" i="3"/>
  <c r="E389" i="3"/>
  <c r="E544" i="3"/>
  <c r="E58" i="3"/>
  <c r="E59" i="3"/>
  <c r="E488" i="3"/>
  <c r="E409" i="3"/>
  <c r="E484" i="3"/>
  <c r="E521" i="3"/>
  <c r="E446" i="3"/>
  <c r="E47" i="3"/>
  <c r="E64" i="3"/>
  <c r="E98" i="3"/>
  <c r="E46" i="3"/>
  <c r="E65" i="3"/>
  <c r="E103" i="3"/>
  <c r="E160" i="3"/>
  <c r="E195" i="3"/>
  <c r="E200" i="3"/>
  <c r="E248" i="3"/>
  <c r="E267" i="3"/>
  <c r="E249" i="3"/>
  <c r="E300" i="3"/>
  <c r="E307" i="3"/>
  <c r="E371" i="3"/>
  <c r="E386" i="3"/>
  <c r="E310" i="3"/>
  <c r="E354" i="3"/>
  <c r="E492" i="3"/>
  <c r="E584" i="3"/>
  <c r="E23" i="3"/>
  <c r="E84" i="3"/>
  <c r="E24" i="3"/>
  <c r="E48" i="3"/>
  <c r="E87" i="3"/>
  <c r="E127" i="3"/>
  <c r="E250" i="3"/>
  <c r="E284" i="3"/>
  <c r="E341" i="3"/>
  <c r="Y6" i="3"/>
  <c r="E51" i="3"/>
  <c r="E118" i="3"/>
  <c r="E264" i="3"/>
  <c r="E323" i="3"/>
  <c r="E309" i="3"/>
  <c r="E373" i="3"/>
  <c r="E82"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56" i="3"/>
  <c r="E255" i="3"/>
  <c r="E462" i="3"/>
  <c r="E487" i="3"/>
  <c r="E297" i="3"/>
  <c r="E142" i="3"/>
  <c r="E174" i="3"/>
  <c r="E190" i="3"/>
  <c r="E198" i="3"/>
  <c r="E22" i="3"/>
  <c r="E49" i="3"/>
  <c r="E79" i="3"/>
  <c r="E90" i="3"/>
  <c r="E564" i="3"/>
  <c r="E209" i="3"/>
  <c r="E225" i="3"/>
  <c r="E464" i="3"/>
  <c r="E473" i="3"/>
  <c r="E329" i="3"/>
  <c r="E119" i="3"/>
  <c r="E147" i="3"/>
  <c r="E163" i="3"/>
  <c r="E184" i="3"/>
  <c r="E21" i="3"/>
  <c r="E62" i="3"/>
  <c r="E80" i="3"/>
  <c r="E110" i="3"/>
  <c r="E11" i="71"/>
  <c r="E10" i="71" s="1"/>
  <c r="E9" i="71" s="1"/>
  <c r="E8" i="71" s="1"/>
  <c r="E7" i="71" s="1"/>
  <c r="E6" i="71" s="1"/>
  <c r="E5" i="71" s="1"/>
  <c r="V12" i="71"/>
  <c r="C14" i="71"/>
  <c r="D15" i="71"/>
  <c r="Q66" i="71"/>
  <c r="Q65" i="71"/>
  <c r="T44" i="71"/>
  <c r="D44" i="71"/>
  <c r="B11" i="71"/>
  <c r="B10" i="71" s="1"/>
  <c r="B9" i="71" s="1"/>
  <c r="B8" i="71" s="1"/>
  <c r="B7" i="71" s="1"/>
  <c r="B6" i="71" s="1"/>
  <c r="B5" i="71" s="1"/>
  <c r="S12" i="71"/>
  <c r="AB10" i="34"/>
  <c r="U10" i="34"/>
  <c r="AC10" i="34"/>
  <c r="W10" i="34"/>
  <c r="AA10" i="34"/>
  <c r="S10" i="34"/>
  <c r="AC37" i="34"/>
  <c r="W37" i="34"/>
  <c r="E65" i="39"/>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19" i="11"/>
  <c r="C19" i="11" s="1"/>
  <c r="L18" i="9"/>
  <c r="N27"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67"/>
  <c r="AE6" i="1"/>
  <c r="M27" i="15"/>
  <c r="F41" i="15"/>
  <c r="E19" i="6" l="1"/>
  <c r="F27" i="6"/>
  <c r="F31" i="6" s="1"/>
  <c r="H34" i="34"/>
  <c r="J34" i="34"/>
  <c r="F34" i="34"/>
  <c r="H6" i="3"/>
  <c r="AC6" i="3"/>
  <c r="B14" i="74"/>
  <c r="B1" i="74" s="1"/>
  <c r="D14" i="71"/>
  <c r="C13" i="71"/>
  <c r="D116" i="43"/>
  <c r="P37" i="43"/>
  <c r="M37" i="43"/>
  <c r="Q37" i="43"/>
  <c r="O37" i="43"/>
  <c r="N37" i="43"/>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9"/>
  <c r="D10" i="68"/>
  <c r="F41" i="67"/>
  <c r="C17" i="15"/>
  <c r="AA34" i="34" l="1"/>
  <c r="R49" i="34" s="1"/>
  <c r="E49" i="34" s="1"/>
  <c r="E53" i="34" s="1"/>
  <c r="F53" i="34" s="1"/>
  <c r="S34" i="34"/>
  <c r="U34" i="34"/>
  <c r="AB34" i="34"/>
  <c r="T49" i="34" s="1"/>
  <c r="G49" i="34" s="1"/>
  <c r="G53" i="34" s="1"/>
  <c r="H53" i="34" s="1"/>
  <c r="K6" i="1"/>
  <c r="E27" i="6"/>
  <c r="K19" i="6"/>
  <c r="D3" i="34"/>
  <c r="AC34" i="34"/>
  <c r="V49" i="34" s="1"/>
  <c r="I49" i="34" s="1"/>
  <c r="W34" i="34"/>
  <c r="F69" i="67"/>
  <c r="E6" i="3"/>
  <c r="D13" i="71"/>
  <c r="C12" i="71"/>
  <c r="C30" i="43"/>
  <c r="B2" i="43" s="1"/>
  <c r="B3" i="43" s="1"/>
  <c r="C31" i="43"/>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F43" i="67"/>
  <c r="F7" i="67"/>
  <c r="M29" i="67"/>
  <c r="E6" i="76"/>
  <c r="B6" i="76"/>
  <c r="C14" i="15"/>
  <c r="C16" i="67"/>
  <c r="E54" i="34" l="1"/>
  <c r="F54" i="34" s="1"/>
  <c r="R50" i="34"/>
  <c r="C49" i="34" s="1"/>
  <c r="F50" i="67"/>
  <c r="C49" i="67" s="1"/>
  <c r="C48" i="67" s="1"/>
  <c r="M7" i="67"/>
  <c r="J6" i="67" s="1"/>
  <c r="C6" i="67"/>
  <c r="F71" i="67"/>
  <c r="K26" i="6"/>
  <c r="M26" i="6" s="1"/>
  <c r="I26" i="6" s="1"/>
  <c r="K21" i="6"/>
  <c r="K25" i="6"/>
  <c r="M25" i="6" s="1"/>
  <c r="I25" i="6" s="1"/>
  <c r="K23" i="6"/>
  <c r="M23" i="6" s="1"/>
  <c r="I23" i="6" s="1"/>
  <c r="E31" i="6"/>
  <c r="K20" i="6"/>
  <c r="M20" i="6" s="1"/>
  <c r="I20" i="6" s="1"/>
  <c r="K22" i="6"/>
  <c r="M22" i="6" s="1"/>
  <c r="I22" i="6" s="1"/>
  <c r="K24" i="6"/>
  <c r="M24" i="6" s="1"/>
  <c r="I24" i="6" s="1"/>
  <c r="S6" i="1"/>
  <c r="E6" i="70" s="1"/>
  <c r="M19" i="6"/>
  <c r="AP6" i="1"/>
  <c r="C36" i="69" s="1"/>
  <c r="M6" i="1"/>
  <c r="H16" i="1"/>
  <c r="Q16" i="1"/>
  <c r="G16" i="1"/>
  <c r="K16" i="1"/>
  <c r="C34" i="69"/>
  <c r="C11" i="71"/>
  <c r="T12" i="71"/>
  <c r="D12" i="71"/>
  <c r="U12" i="71" s="1"/>
  <c r="C50" i="34"/>
  <c r="I53" i="34"/>
  <c r="J53" i="34" s="1"/>
  <c r="G54" i="34"/>
  <c r="H54" i="34" s="1"/>
  <c r="I54" i="34"/>
  <c r="J54" i="34" s="1"/>
  <c r="C18" i="15"/>
  <c r="C15" i="15"/>
  <c r="C36" i="11"/>
  <c r="C37" i="11"/>
  <c r="C23" i="12"/>
  <c r="C14" i="12"/>
  <c r="C16" i="12" s="1"/>
  <c r="C21" i="12" s="1"/>
  <c r="C22" i="12" s="1"/>
  <c r="C19" i="68"/>
  <c r="D37" i="68"/>
  <c r="C37" i="68" s="1"/>
  <c r="C19" i="69"/>
  <c r="C24" i="69" s="1"/>
  <c r="D37" i="69"/>
  <c r="C37" i="69" s="1"/>
  <c r="I5" i="6"/>
  <c r="I6" i="6"/>
  <c r="C23" i="69"/>
  <c r="E2" i="76"/>
  <c r="B2" i="76"/>
  <c r="I69" i="39"/>
  <c r="J67" i="39"/>
  <c r="I63" i="40"/>
  <c r="H65" i="40"/>
  <c r="I58" i="21"/>
  <c r="J58" i="21" s="1"/>
  <c r="K58" i="21" s="1"/>
  <c r="L58" i="21" s="1"/>
  <c r="M58" i="21" s="1"/>
  <c r="N58" i="21" s="1"/>
  <c r="O58" i="21" s="1"/>
  <c r="H7" i="21" s="1"/>
  <c r="J48" i="35"/>
  <c r="C17" i="67"/>
  <c r="C14" i="67"/>
  <c r="C18" i="67" l="1"/>
  <c r="C15" i="67"/>
  <c r="F10" i="39"/>
  <c r="H10" i="39"/>
  <c r="J10" i="39"/>
  <c r="J10" i="40"/>
  <c r="F10" i="40"/>
  <c r="H10" i="40"/>
  <c r="K27" i="6"/>
  <c r="S24" i="6"/>
  <c r="H24" i="6"/>
  <c r="R24" i="6" s="1"/>
  <c r="R11" i="1" s="1"/>
  <c r="S20" i="6"/>
  <c r="H20" i="6"/>
  <c r="R20" i="6" s="1"/>
  <c r="R7" i="1" s="1"/>
  <c r="S23" i="6"/>
  <c r="H23" i="6"/>
  <c r="R23" i="6" s="1"/>
  <c r="R10" i="1" s="1"/>
  <c r="S8" i="1"/>
  <c r="M21" i="6"/>
  <c r="I21" i="6" s="1"/>
  <c r="J18" i="67"/>
  <c r="J5" i="67"/>
  <c r="J24" i="67" s="1"/>
  <c r="J19" i="67"/>
  <c r="C38" i="69"/>
  <c r="C35" i="69"/>
  <c r="F27" i="69"/>
  <c r="F28" i="12"/>
  <c r="C29" i="12" s="1"/>
  <c r="D28" i="12" s="1"/>
  <c r="F27" i="11"/>
  <c r="F27" i="68"/>
  <c r="O6" i="1"/>
  <c r="O16" i="1" s="1"/>
  <c r="M16" i="1"/>
  <c r="I19" i="6"/>
  <c r="AR6" i="1"/>
  <c r="AQ6" i="1"/>
  <c r="T6" i="1"/>
  <c r="S16" i="1"/>
  <c r="S22" i="6"/>
  <c r="H22" i="6"/>
  <c r="R22" i="6" s="1"/>
  <c r="R9" i="1" s="1"/>
  <c r="S25" i="6"/>
  <c r="H25" i="6"/>
  <c r="R25" i="6" s="1"/>
  <c r="R12" i="1" s="1"/>
  <c r="S26" i="6"/>
  <c r="H26" i="6"/>
  <c r="R26" i="6" s="1"/>
  <c r="C32" i="67"/>
  <c r="C10" i="67"/>
  <c r="C5" i="67" s="1"/>
  <c r="C38" i="67" s="1"/>
  <c r="C33" i="67"/>
  <c r="C66" i="67"/>
  <c r="C60" i="67"/>
  <c r="C10" i="71"/>
  <c r="D11" i="71"/>
  <c r="F7" i="21"/>
  <c r="J7" i="21"/>
  <c r="C19" i="15"/>
  <c r="C20" i="15" s="1"/>
  <c r="C26" i="15" s="1"/>
  <c r="C27" i="12"/>
  <c r="C25" i="12" s="1"/>
  <c r="C20" i="69"/>
  <c r="C28" i="69" s="1"/>
  <c r="C27" i="69"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W7" i="21"/>
  <c r="C19" i="67" l="1"/>
  <c r="C33" i="69"/>
  <c r="C39" i="69" s="1"/>
  <c r="C20" i="67"/>
  <c r="C26" i="67" s="1"/>
  <c r="C30" i="12"/>
  <c r="C28" i="12" s="1"/>
  <c r="C32" i="12" s="1"/>
  <c r="B2" i="12" s="1"/>
  <c r="B3" i="12" s="1"/>
  <c r="M27" i="6"/>
  <c r="C29" i="11"/>
  <c r="D27" i="11" s="1"/>
  <c r="C47" i="11"/>
  <c r="D45" i="11" s="1"/>
  <c r="C28" i="11"/>
  <c r="C27" i="11" s="1"/>
  <c r="C31" i="11" s="1"/>
  <c r="F45" i="69"/>
  <c r="C47" i="69"/>
  <c r="D45" i="69" s="1"/>
  <c r="C29" i="69"/>
  <c r="D27" i="69" s="1"/>
  <c r="E8" i="70"/>
  <c r="E2" i="70" s="1"/>
  <c r="AQ8" i="1"/>
  <c r="AR8" i="1"/>
  <c r="T8" i="1"/>
  <c r="T16" i="1" s="1"/>
  <c r="AB10" i="40"/>
  <c r="U10" i="40"/>
  <c r="AC10" i="40"/>
  <c r="W10" i="40"/>
  <c r="U10" i="39"/>
  <c r="AB10" i="39"/>
  <c r="H19" i="6"/>
  <c r="I27" i="6"/>
  <c r="S19" i="6"/>
  <c r="N16" i="1"/>
  <c r="L16" i="1"/>
  <c r="C34" i="68"/>
  <c r="C34" i="11"/>
  <c r="C47" i="68"/>
  <c r="D45" i="68" s="1"/>
  <c r="F45" i="68"/>
  <c r="C29" i="68"/>
  <c r="D27" i="68" s="1"/>
  <c r="S21" i="6"/>
  <c r="H21" i="6"/>
  <c r="R21" i="6" s="1"/>
  <c r="R8" i="1" s="1"/>
  <c r="S10" i="40"/>
  <c r="AA10" i="40"/>
  <c r="W10" i="39"/>
  <c r="AC10" i="39"/>
  <c r="AA10" i="39"/>
  <c r="S10" i="39"/>
  <c r="C9" i="71"/>
  <c r="D10" i="71"/>
  <c r="J7" i="35"/>
  <c r="W7" i="35" s="1"/>
  <c r="C61" i="67"/>
  <c r="C23" i="15"/>
  <c r="C29" i="15" s="1"/>
  <c r="C25" i="69"/>
  <c r="C22" i="69" s="1"/>
  <c r="C31" i="69" s="1"/>
  <c r="C25" i="68"/>
  <c r="C22" i="68" s="1"/>
  <c r="L67" i="39"/>
  <c r="K69" i="39"/>
  <c r="J65" i="40"/>
  <c r="K63" i="40"/>
  <c r="I52" i="21"/>
  <c r="J52" i="21" s="1"/>
  <c r="U7" i="35"/>
  <c r="AB7" i="35"/>
  <c r="T38" i="35" s="1"/>
  <c r="G38" i="35" s="1"/>
  <c r="R49" i="21"/>
  <c r="E48" i="21"/>
  <c r="G52" i="21"/>
  <c r="H52" i="21" s="1"/>
  <c r="G53" i="21"/>
  <c r="H53" i="21" s="1"/>
  <c r="F7" i="35"/>
  <c r="F35" i="15"/>
  <c r="M21" i="15"/>
  <c r="C23" i="67" l="1"/>
  <c r="C29" i="67" s="1"/>
  <c r="J59" i="67" s="1"/>
  <c r="J60" i="67" s="1"/>
  <c r="Q48" i="67" s="1"/>
  <c r="C31" i="68"/>
  <c r="C42" i="69"/>
  <c r="C43" i="69"/>
  <c r="C46" i="69"/>
  <c r="C45" i="69" s="1"/>
  <c r="C38" i="11"/>
  <c r="C35" i="11"/>
  <c r="S27" i="6"/>
  <c r="H27" i="6"/>
  <c r="R19" i="6"/>
  <c r="C35" i="68"/>
  <c r="C38" i="68"/>
  <c r="F50" i="11"/>
  <c r="F50" i="69"/>
  <c r="F50" i="68"/>
  <c r="AC7" i="35"/>
  <c r="V38" i="35" s="1"/>
  <c r="I38" i="35" s="1"/>
  <c r="C8" i="71"/>
  <c r="D9" i="71"/>
  <c r="C36" i="15"/>
  <c r="J59" i="15"/>
  <c r="J60" i="15" s="1"/>
  <c r="Q48" i="15" s="1"/>
  <c r="J19" i="15"/>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13" i="67" l="1"/>
  <c r="C75" i="67" s="1"/>
  <c r="C57" i="67"/>
  <c r="C64" i="67" s="1"/>
  <c r="Q49" i="67"/>
  <c r="J14" i="67"/>
  <c r="C36" i="67"/>
  <c r="C33" i="68"/>
  <c r="C39" i="68" s="1"/>
  <c r="C43" i="68" s="1"/>
  <c r="C41" i="69"/>
  <c r="C49" i="69" s="1"/>
  <c r="C51" i="69" s="1"/>
  <c r="C52" i="69" s="1"/>
  <c r="B2" i="69" s="1"/>
  <c r="B3" i="69" s="1"/>
  <c r="C33" i="11"/>
  <c r="C39" i="11" s="1"/>
  <c r="C43" i="11" s="1"/>
  <c r="C42" i="11"/>
  <c r="C46" i="11"/>
  <c r="C45" i="11" s="1"/>
  <c r="R27" i="6"/>
  <c r="R6" i="1"/>
  <c r="D8" i="71"/>
  <c r="C7" i="71"/>
  <c r="J22" i="15"/>
  <c r="C61" i="15"/>
  <c r="C59" i="15" s="1"/>
  <c r="C64" i="15"/>
  <c r="C37" i="15"/>
  <c r="C56" i="15"/>
  <c r="C65" i="15" s="1"/>
  <c r="C75" i="15"/>
  <c r="J17" i="15"/>
  <c r="C31" i="15"/>
  <c r="M69" i="39"/>
  <c r="N67" i="39"/>
  <c r="R39" i="35"/>
  <c r="E38" i="35"/>
  <c r="M63" i="40"/>
  <c r="L65" i="40"/>
  <c r="F35" i="67"/>
  <c r="M21" i="67"/>
  <c r="D2" i="21"/>
  <c r="Q70" i="67" l="1"/>
  <c r="C56" i="67"/>
  <c r="C65" i="67" s="1"/>
  <c r="C37" i="67"/>
  <c r="C57" i="69"/>
  <c r="C56" i="69" s="1"/>
  <c r="J13" i="67"/>
  <c r="J23" i="67" s="1"/>
  <c r="J22" i="67"/>
  <c r="C41" i="11"/>
  <c r="C42" i="68"/>
  <c r="C41" i="68" s="1"/>
  <c r="C49" i="11"/>
  <c r="C51" i="11" s="1"/>
  <c r="C52" i="11" s="1"/>
  <c r="B2" i="11" s="1"/>
  <c r="B3" i="11" s="1"/>
  <c r="J20" i="67"/>
  <c r="J17" i="67" s="1"/>
  <c r="F63" i="67"/>
  <c r="C62" i="67" s="1"/>
  <c r="C59" i="67" s="1"/>
  <c r="C58" i="67" s="1"/>
  <c r="C67" i="67" s="1"/>
  <c r="C68" i="67" s="1"/>
  <c r="C71" i="67" s="1"/>
  <c r="C34" i="67"/>
  <c r="C31" i="67" s="1"/>
  <c r="R16" i="1"/>
  <c r="C46" i="68"/>
  <c r="C45" i="68" s="1"/>
  <c r="D7" i="71"/>
  <c r="C6" i="7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0" i="67" l="1"/>
  <c r="C39" i="67" s="1"/>
  <c r="J16" i="67"/>
  <c r="J25" i="67" s="1"/>
  <c r="J26" i="67" s="1"/>
  <c r="J29" i="67" s="1"/>
  <c r="C49" i="68"/>
  <c r="C51" i="68" s="1"/>
  <c r="C56" i="11"/>
  <c r="C57" i="11" s="1"/>
  <c r="C52" i="68"/>
  <c r="B2" i="68" s="1"/>
  <c r="B3" i="68" s="1"/>
  <c r="C5" i="71"/>
  <c r="D5" i="71" s="1"/>
  <c r="M24" i="43" s="1"/>
  <c r="D6" i="71"/>
  <c r="L57" i="67"/>
  <c r="L60" i="67" s="1"/>
  <c r="L46" i="67" s="1"/>
  <c r="B2" i="33"/>
  <c r="B3" i="33" s="1"/>
  <c r="C80" i="15"/>
  <c r="C79" i="15" s="1"/>
  <c r="C40" i="15"/>
  <c r="C46" i="15" s="1"/>
  <c r="H7" i="39"/>
  <c r="J7" i="39"/>
  <c r="S7" i="39"/>
  <c r="AA7" i="39"/>
  <c r="R47" i="39" s="1"/>
  <c r="O63" i="40"/>
  <c r="O65" i="40" s="1"/>
  <c r="N65" i="40"/>
  <c r="L51" i="67"/>
  <c r="L51" i="15"/>
  <c r="D2" i="37"/>
  <c r="D2" i="35"/>
  <c r="D2" i="34"/>
  <c r="D2" i="36"/>
  <c r="Q67" i="67" l="1"/>
  <c r="H40" i="67"/>
  <c r="C40" i="67"/>
  <c r="Q56" i="67" s="1"/>
  <c r="Q69" i="67"/>
  <c r="Q68" i="67" s="1"/>
  <c r="C80" i="67"/>
  <c r="C79" i="67" s="1"/>
  <c r="C57" i="68"/>
  <c r="C56" i="68"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7" i="1"/>
  <c r="AO11" i="1"/>
  <c r="AO8" i="1"/>
  <c r="AO9" i="1"/>
  <c r="AO10" i="1"/>
  <c r="Q65" i="67" l="1"/>
  <c r="Q75" i="67" s="1"/>
  <c r="C43" i="67"/>
  <c r="Q62" i="67"/>
  <c r="D2" i="67"/>
  <c r="C83" i="67"/>
  <c r="C82" i="67" s="1"/>
  <c r="C45" i="67"/>
  <c r="C46" i="67" s="1"/>
  <c r="Q47" i="67"/>
  <c r="Q53" i="67" s="1"/>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D103" i="9" l="1"/>
  <c r="G20" i="9"/>
  <c r="D102" i="9"/>
  <c r="D22" i="9"/>
  <c r="D21" i="9"/>
  <c r="G19" i="9"/>
  <c r="G21" i="9" s="1"/>
  <c r="B6" i="70"/>
  <c r="B2" i="70" s="1"/>
  <c r="B3" i="70" s="1"/>
  <c r="M23" i="9"/>
  <c r="G30" i="1"/>
  <c r="M24" i="9"/>
  <c r="M25" i="9"/>
  <c r="C32" i="9"/>
  <c r="C35" i="9" s="1"/>
  <c r="C34" i="9" s="1"/>
  <c r="C42" i="40"/>
  <c r="C43" i="40"/>
  <c r="E47" i="40"/>
  <c r="F47" i="40" s="1"/>
  <c r="E46" i="40"/>
  <c r="F46" i="40" s="1"/>
  <c r="I47" i="40"/>
  <c r="J47" i="40" s="1"/>
  <c r="M26" i="9" l="1"/>
  <c r="B58" i="40"/>
  <c r="F58" i="40" s="1"/>
  <c r="B54" i="40"/>
  <c r="F54" i="40" s="1"/>
  <c r="B53" i="40"/>
  <c r="F53" i="40" s="1"/>
  <c r="B59" i="40"/>
  <c r="F59" i="40" s="1"/>
  <c r="B52" i="40"/>
  <c r="F52" i="40" s="1"/>
  <c r="B56" i="40"/>
  <c r="F56" i="40" s="1"/>
  <c r="B60" i="40"/>
  <c r="F60" i="40" s="1"/>
  <c r="B57" i="40"/>
  <c r="F57" i="40" s="1"/>
  <c r="B51" i="40"/>
  <c r="F51" i="40" s="1"/>
  <c r="F61" i="40"/>
  <c r="B2" i="40" s="1"/>
  <c r="B3" i="40" s="1"/>
  <c r="O26" i="9" l="1"/>
  <c r="B6" i="74"/>
  <c r="D6" i="74" s="1"/>
  <c r="G118" i="9"/>
  <c r="G4" i="52" s="1"/>
  <c r="B52" i="72" s="1"/>
  <c r="I118" i="9"/>
  <c r="I4" i="52" s="1"/>
  <c r="H118" i="9" l="1"/>
  <c r="H119" i="9" s="1"/>
  <c r="H5" i="52" s="1"/>
  <c r="F118" i="9"/>
  <c r="F4" i="52" s="1"/>
  <c r="B51" i="72" s="1"/>
  <c r="E118" i="9"/>
  <c r="H102" i="9"/>
  <c r="C105" i="9"/>
  <c r="H101" i="9" l="1"/>
  <c r="M48" i="9" s="1"/>
  <c r="H4" i="52"/>
  <c r="F119" i="9"/>
  <c r="F5" i="52" s="1"/>
  <c r="B53" i="72" s="1"/>
  <c r="C104" i="9"/>
  <c r="D14" i="74"/>
  <c r="D7" i="53"/>
  <c r="B21" i="72" s="1"/>
  <c r="E4" i="52"/>
  <c r="B48" i="72" s="1"/>
  <c r="D118" i="9"/>
  <c r="D45" i="9" l="1"/>
  <c r="C93" i="9" s="1"/>
  <c r="C86" i="9" s="1"/>
  <c r="H107" i="9"/>
  <c r="D122" i="9" s="1"/>
  <c r="D5" i="53"/>
  <c r="B20" i="72" s="1"/>
  <c r="F14" i="74"/>
  <c r="E14" i="74"/>
  <c r="B5" i="74"/>
  <c r="D119" i="9"/>
  <c r="D5" i="52" s="1"/>
  <c r="B49" i="72" s="1"/>
  <c r="D4" i="52"/>
  <c r="B47" i="72" s="1"/>
  <c r="D52" i="9" l="1"/>
  <c r="H108" i="9"/>
  <c r="C6" i="74" s="1"/>
  <c r="M49" i="9"/>
  <c r="L65" i="9" s="1"/>
  <c r="M65" i="9" s="1"/>
  <c r="C78" i="9"/>
  <c r="C73" i="9" s="1"/>
  <c r="C85" i="9"/>
  <c r="D53" i="9"/>
  <c r="C64" i="9"/>
  <c r="C63" i="9" s="1"/>
  <c r="C67" i="9" s="1"/>
  <c r="D59" i="9" s="1"/>
  <c r="M55" i="9" s="1"/>
  <c r="C72" i="9"/>
  <c r="D55" i="9"/>
  <c r="M53" i="9" s="1"/>
  <c r="D13" i="53"/>
  <c r="B30" i="72" s="1"/>
  <c r="C95" i="9"/>
  <c r="C96" i="9" s="1"/>
  <c r="E96" i="9" s="1"/>
  <c r="E97" i="9" s="1"/>
  <c r="D6" i="53"/>
  <c r="B22" i="72" s="1"/>
  <c r="D5" i="74"/>
  <c r="C5" i="74"/>
  <c r="D8" i="52"/>
  <c r="D123" i="9"/>
  <c r="D9" i="52" s="1"/>
  <c r="C79" i="9" l="1"/>
  <c r="D15" i="53"/>
  <c r="B31" i="72" s="1"/>
  <c r="C68" i="9"/>
  <c r="D54" i="9" s="1"/>
  <c r="L63" i="9"/>
  <c r="M63" i="9" s="1"/>
  <c r="L64" i="9"/>
  <c r="M64" i="9" s="1"/>
  <c r="L68" i="9"/>
  <c r="M68" i="9" s="1"/>
  <c r="L66" i="9"/>
  <c r="M66" i="9" s="1"/>
  <c r="L67" i="9"/>
  <c r="M67" i="9" s="1"/>
  <c r="C97" i="9"/>
  <c r="D58" i="9" s="1"/>
  <c r="D56" i="9" s="1"/>
  <c r="M54" i="9" s="1"/>
  <c r="N57" i="9" s="1"/>
  <c r="N59" i="9" s="1"/>
  <c r="N61" i="9" s="1"/>
  <c r="D14" i="53"/>
  <c r="B32" i="72" s="1"/>
  <c r="C80" i="9"/>
  <c r="E80" i="9" s="1"/>
  <c r="E81" i="9" s="1"/>
  <c r="M69" i="9" l="1"/>
  <c r="N69" i="9" s="1"/>
  <c r="P57" i="9"/>
  <c r="N58" i="9"/>
  <c r="N60" i="9"/>
  <c r="C81" i="9"/>
  <c r="O2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<sst xmlns="http://schemas.openxmlformats.org/spreadsheetml/2006/main" count="7889" uniqueCount="3434">
  <si>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</si>
  <si>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</si>
  <si>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</si>
  <si>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</si>
  <si>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</si>
  <si>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</si>
  <si>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</si>
  <si>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</si>
  <si>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</si>
  <si>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</si>
  <si>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</si>
  <si>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</si>
  <si>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</si>
  <si>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</si>
  <si>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</si>
  <si>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</si>
  <si>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</si>
  <si>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</si>
  <si>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</si>
  <si>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</si>
  <si>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</si>
  <si>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</si>
  <si>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</si>
  <si>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</si>
  <si>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</si>
  <si>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</si>
  <si>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</si>
  <si>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</si>
  <si>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</si>
  <si>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</si>
  <si>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</si>
  <si>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</si>
  <si>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</si>
  <si>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</si>
  <si>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</si>
  <si>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</si>
  <si>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</si>
  <si>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</si>
  <si>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</si>
  <si>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</si>
  <si>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</si>
  <si>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</si>
  <si>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</si>
  <si>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</si>
  <si>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</si>
  <si>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</si>
  <si>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</si>
  <si>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</si>
  <si>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</si>
  <si>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</si>
  <si>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</si>
  <si>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</si>
  <si>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</si>
  <si>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</si>
  <si>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</si>
  <si>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</si>
  <si>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</si>
  <si>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</si>
  <si>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</si>
  <si>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</si>
  <si>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</si>
  <si>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</si>
  <si>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</si>
  <si>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</si>
  <si>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</si>
  <si>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</si>
  <si>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</si>
  <si>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</si>
  <si>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</si>
  <si>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</si>
  <si>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</si>
  <si>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</si>
  <si>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</si>
  <si>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</si>
  <si>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</si>
  <si>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</si>
  <si>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</si>
  <si>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</si>
  <si>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</si>
  <si>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</si>
  <si>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</si>
  <si>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</si>
  <si>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</si>
  <si>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</si>
  <si>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</si>
  <si>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</si>
  <si>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</si>
  <si>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</si>
  <si>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</si>
  <si>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</si>
  <si>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</si>
  <si>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</si>
  <si>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</si>
  <si>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</si>
  <si>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</si>
  <si>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</si>
  <si>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</si>
  <si>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</si>
  <si>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</si>
  <si>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</si>
  <si>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</si>
  <si>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</si>
  <si>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</si>
  <si>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</si>
  <si>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</si>
  <si>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</si>
  <si>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</si>
  <si>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</si>
  <si>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</si>
  <si>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</si>
  <si>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</si>
  <si>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</si>
  <si>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</si>
  <si>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</si>
  <si>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</si>
  <si>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</si>
  <si>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</si>
  <si>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</si>
  <si>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</si>
  <si>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</si>
  <si>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</si>
  <si>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</si>
  <si>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</si>
  <si>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</si>
  <si>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</si>
  <si>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</si>
  <si>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</si>
  <si>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</si>
  <si>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</si>
  <si>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</si>
  <si>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</si>
  <si>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</si>
  <si>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</si>
  <si>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</si>
  <si>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</si>
  <si>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</si>
  <si>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</si>
  <si>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</si>
  <si>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</si>
  <si>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</si>
  <si>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</si>
  <si>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</si>
  <si>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</si>
  <si>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</si>
  <si>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</si>
  <si>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</si>
  <si>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</si>
  <si>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</si>
  <si>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</si>
  <si>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</si>
  <si>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</si>
  <si>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</si>
  <si>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</si>
  <si>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</si>
  <si>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</si>
  <si>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</si>
  <si>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</si>
  <si>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</si>
  <si>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</si>
  <si>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</si>
  <si>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</si>
  <si>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</si>
  <si>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</si>
  <si>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</si>
  <si>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</si>
  <si>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</si>
  <si>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</si>
  <si>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</si>
  <si>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</si>
  <si>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</si>
  <si>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</si>
  <si>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</si>
  <si>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</si>
  <si>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</si>
  <si>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</si>
  <si>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</si>
  <si>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</si>
  <si>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</si>
  <si>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</si>
  <si>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</si>
  <si>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</si>
  <si>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</si>
  <si>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</si>
  <si>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</si>
  <si>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</si>
  <si>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</si>
  <si>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</si>
  <si>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</si>
  <si>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</si>
  <si>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</si>
  <si>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</si>
  <si>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</si>
  <si>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</si>
  <si>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</si>
  <si>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</si>
  <si>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</si>
  <si>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</si>
  <si>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</si>
  <si>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</si>
  <si>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</si>
  <si>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</si>
  <si>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</si>
  <si>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</si>
  <si>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</si>
  <si>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</si>
  <si>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</si>
  <si>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</si>
  <si>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</si>
  <si>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</si>
  <si>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</si>
  <si>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</si>
  <si>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</si>
  <si>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</si>
  <si>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</si>
  <si>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</si>
  <si>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</si>
  <si>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</si>
  <si>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</si>
  <si>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</si>
  <si>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</si>
  <si>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</si>
  <si>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</si>
  <si>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</si>
  <si>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</si>
  <si>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</si>
  <si>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</si>
  <si>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</si>
  <si>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</si>
  <si>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</si>
  <si>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</si>
  <si>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</si>
  <si>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</si>
  <si>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</si>
  <si>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</si>
  <si>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</si>
  <si>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</si>
  <si>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</si>
  <si>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</si>
  <si>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</si>
  <si>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</si>
  <si>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</si>
  <si>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</si>
  <si>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</si>
  <si>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</si>
  <si>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</si>
  <si>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</si>
  <si>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</si>
  <si>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</si>
  <si>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</si>
  <si>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</si>
  <si>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</si>
  <si>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</si>
  <si>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</si>
  <si>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</si>
  <si>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</si>
  <si>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</si>
  <si>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</si>
  <si>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</si>
  <si>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</si>
  <si>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</si>
  <si>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</si>
  <si>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</si>
  <si>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</si>
  <si>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</si>
  <si>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</si>
  <si>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</si>
  <si>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</si>
  <si>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</si>
  <si>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</si>
  <si>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</si>
  <si>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</si>
  <si>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</si>
  <si>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</si>
  <si>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</si>
  <si>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</si>
  <si>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</si>
  <si>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</si>
  <si>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</si>
  <si>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</si>
  <si>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</si>
  <si>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</si>
  <si>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</si>
  <si>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</si>
  <si>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</si>
  <si>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</si>
  <si>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</si>
  <si>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</si>
  <si>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</si>
  <si>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</si>
  <si>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</si>
  <si>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</si>
  <si>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</si>
  <si>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</si>
  <si>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</si>
  <si>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</si>
  <si>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</si>
  <si>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</si>
  <si>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</si>
  <si>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</si>
  <si>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</si>
  <si>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</si>
  <si>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</si>
  <si>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</si>
  <si>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</si>
  <si>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</si>
  <si>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</si>
  <si>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</si>
  <si>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</si>
  <si>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</si>
  <si>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</si>
  <si>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</si>
  <si>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</si>
  <si>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</si>
  <si>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</si>
  <si>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</si>
  <si>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</si>
  <si>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</si>
  <si>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</si>
  <si>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</si>
  <si>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</si>
  <si>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</si>
  <si>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</si>
  <si>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</si>
  <si>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</si>
  <si>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</si>
  <si>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</si>
  <si>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</si>
  <si>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</si>
  <si>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</si>
  <si>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</si>
  <si>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</si>
  <si>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</si>
  <si>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</si>
  <si>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</si>
  <si>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</si>
  <si>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</si>
  <si>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</si>
  <si>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</si>
  <si>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</si>
  <si>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</si>
  <si>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</si>
  <si>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</si>
  <si>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</si>
  <si>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</si>
  <si>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</si>
  <si>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</si>
  <si>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</si>
  <si>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</si>
  <si>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</si>
  <si>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</si>
  <si>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</si>
  <si>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</si>
  <si>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</si>
  <si>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</si>
  <si>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</si>
  <si>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</si>
  <si>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</si>
  <si>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</si>
  <si>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</si>
  <si>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</si>
  <si>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</si>
  <si>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</si>
  <si>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</si>
  <si>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</si>
  <si>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</si>
  <si>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</si>
  <si>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</si>
  <si>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</si>
  <si>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</si>
  <si>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</si>
  <si>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</si>
  <si>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</si>
  <si>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</si>
  <si>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</si>
  <si>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</si>
  <si>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</si>
  <si>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</si>
  <si>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</si>
  <si>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</si>
  <si>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</si>
  <si>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</si>
  <si>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</si>
  <si>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</si>
  <si>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</si>
  <si>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</si>
  <si>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</si>
  <si>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</si>
  <si>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</si>
  <si>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</si>
  <si>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</si>
  <si>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</si>
  <si>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</si>
  <si>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</si>
  <si>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</si>
  <si>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</si>
  <si>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</si>
  <si>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</si>
  <si>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</si>
  <si>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</si>
  <si>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</si>
  <si>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</si>
  <si>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</si>
  <si>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</si>
  <si>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</si>
  <si>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</si>
  <si>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</si>
  <si>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</si>
  <si>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</si>
  <si>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</si>
  <si>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</si>
  <si>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</si>
  <si>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</si>
  <si>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</si>
  <si>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</si>
  <si>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</si>
  <si>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</si>
  <si>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</si>
  <si>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</si>
  <si>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</si>
  <si>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</si>
  <si>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</si>
  <si>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</si>
  <si>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</si>
  <si>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</si>
  <si>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</si>
  <si>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</si>
  <si>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</si>
  <si>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</si>
  <si>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</si>
  <si>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</si>
  <si>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</si>
  <si>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</si>
  <si>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</si>
  <si>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</si>
  <si>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</si>
  <si>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</si>
  <si>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</si>
  <si>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</si>
  <si>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</si>
  <si>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</si>
  <si>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</si>
  <si>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</si>
  <si>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</si>
  <si>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</si>
  <si>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</si>
  <si>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</si>
  <si>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</si>
  <si>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</si>
  <si>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</si>
  <si>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</si>
  <si>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</si>
  <si>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</si>
  <si>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</si>
  <si>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</si>
  <si>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</si>
  <si>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</si>
  <si>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</si>
  <si>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</si>
  <si>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</si>
  <si>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</si>
  <si>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</si>
  <si>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</si>
  <si>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</si>
  <si>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</si>
  <si>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</si>
  <si>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</si>
  <si>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</si>
  <si>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</si>
  <si>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</si>
  <si>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</si>
  <si>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</si>
  <si>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</si>
  <si>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</si>
  <si>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</si>
  <si>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</si>
  <si>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</si>
  <si>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</si>
  <si>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</si>
  <si>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</si>
  <si>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</si>
  <si>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</si>
  <si>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</si>
  <si>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</si>
  <si>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</si>
  <si>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</si>
  <si>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</si>
  <si>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</si>
  <si>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</si>
  <si>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</si>
  <si>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</si>
  <si>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</si>
  <si>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</si>
  <si>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</si>
  <si>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</si>
  <si>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</si>
  <si>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</si>
  <si>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</si>
  <si>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</si>
  <si>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</si>
  <si>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</si>
  <si>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</si>
  <si>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</si>
  <si>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</si>
  <si>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</si>
  <si>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</si>
  <si>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</si>
  <si>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</si>
  <si>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</si>
  <si>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</si>
  <si>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</si>
  <si>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</si>
  <si>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</si>
  <si>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</si>
  <si>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</si>
  <si>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</si>
  <si>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</si>
  <si>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</si>
  <si>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</si>
  <si>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</si>
  <si>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</si>
  <si>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</si>
  <si>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</si>
  <si>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</si>
  <si>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</si>
  <si>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</si>
  <si>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</si>
  <si>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</si>
  <si>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</si>
  <si>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</si>
  <si>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</si>
  <si>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</si>
  <si>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</si>
  <si>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</si>
  <si>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</si>
  <si>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</si>
  <si>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</si>
  <si>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</si>
  <si>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</si>
  <si>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</si>
  <si>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</si>
  <si>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</si>
  <si>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</si>
  <si>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</si>
  <si>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</si>
  <si>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</si>
  <si>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</si>
  <si>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</si>
  <si>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</si>
  <si>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</si>
  <si>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</si>
  <si>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</si>
  <si>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</si>
  <si>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</si>
  <si>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</si>
  <si>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</si>
  <si>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</si>
  <si>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</si>
  <si>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</si>
  <si>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</si>
  <si>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</si>
  <si>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</si>
  <si>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</si>
  <si>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</si>
  <si>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</si>
  <si>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</si>
  <si>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</si>
  <si>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</si>
  <si>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</si>
  <si>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</si>
  <si>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</si>
  <si>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</si>
  <si>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</si>
  <si>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</si>
  <si>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</si>
  <si>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</si>
  <si>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</si>
  <si>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</si>
  <si>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</si>
  <si>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</si>
  <si>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</si>
  <si>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</si>
  <si>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</si>
  <si>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</si>
  <si>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</si>
  <si>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</si>
  <si>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</si>
  <si>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</si>
  <si>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</si>
  <si>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</si>
  <si>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</si>
  <si>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</si>
  <si>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</si>
  <si>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</si>
  <si>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</si>
  <si>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</si>
  <si>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</si>
  <si>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</si>
  <si>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</si>
  <si>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</si>
  <si>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</si>
  <si>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</si>
  <si>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</si>
  <si>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</si>
  <si>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</si>
  <si>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</si>
  <si>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</si>
  <si>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</si>
  <si>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</si>
  <si>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</si>
  <si>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</si>
  <si>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</si>
  <si>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</si>
  <si>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</si>
  <si>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</si>
  <si>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</si>
  <si>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</si>
  <si>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</si>
  <si>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</si>
  <si>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</si>
  <si>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</si>
  <si>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</si>
  <si>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</si>
  <si>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</si>
  <si>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</si>
  <si>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</si>
  <si>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</si>
  <si>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</si>
  <si>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</si>
  <si>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</si>
  <si>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</si>
  <si>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</si>
  <si>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</si>
  <si>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</si>
  <si>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</si>
  <si>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</si>
  <si>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</si>
  <si>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</si>
  <si>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</si>
  <si>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</si>
  <si>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</si>
  <si>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</si>
  <si>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</si>
  <si>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</si>
  <si>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</si>
  <si>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</si>
  <si>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</si>
  <si>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</si>
  <si>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</si>
  <si>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</si>
  <si>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</si>
  <si>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</si>
  <si>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</si>
  <si>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</si>
  <si>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</si>
  <si>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</si>
  <si>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</si>
  <si>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</si>
  <si>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</si>
  <si>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</si>
  <si>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</si>
  <si>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</si>
  <si>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</si>
  <si>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</si>
  <si>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</si>
  <si>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</si>
  <si>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</si>
  <si>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</si>
  <si>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</si>
  <si>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</si>
  <si>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</si>
  <si>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</si>
  <si>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</si>
  <si>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</si>
  <si>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</si>
  <si>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</si>
  <si>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</si>
  <si>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</si>
  <si>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</si>
  <si>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</si>
  <si>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</si>
  <si>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</si>
  <si>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</si>
  <si>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</si>
  <si>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</si>
  <si>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</si>
  <si>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</si>
  <si>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</si>
  <si>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</si>
  <si>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</si>
  <si>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</si>
  <si>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</si>
  <si>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</si>
  <si>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</si>
  <si>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</si>
  <si>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</si>
  <si>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</si>
  <si>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</si>
  <si>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</si>
  <si>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</si>
  <si>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</si>
  <si>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</si>
  <si>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</si>
  <si>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</si>
  <si>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</si>
  <si>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</si>
  <si>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</si>
  <si>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</si>
  <si>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</si>
  <si>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</si>
  <si>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</si>
  <si>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</si>
  <si>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</si>
  <si>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</si>
  <si>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</si>
  <si>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</si>
  <si>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</si>
  <si>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</si>
  <si>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</si>
  <si>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</si>
  <si>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</si>
  <si>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</si>
  <si>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</si>
  <si>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</si>
  <si>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</si>
  <si>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</si>
  <si>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</si>
  <si>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</si>
  <si>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</si>
  <si>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</si>
  <si>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</si>
  <si>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</si>
  <si>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</si>
  <si>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</si>
  <si>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</si>
  <si>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</si>
  <si>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</si>
  <si>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</si>
  <si>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</si>
  <si>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</si>
  <si>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</si>
  <si>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</si>
  <si>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</si>
  <si>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</si>
  <si>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</si>
  <si>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</si>
  <si>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</si>
  <si>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</si>
  <si>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</si>
  <si>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</si>
  <si>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</si>
  <si>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</si>
  <si>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</si>
  <si>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</si>
  <si>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</si>
  <si>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</si>
  <si>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</si>
  <si>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</si>
  <si>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</si>
  <si>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</si>
  <si>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</si>
  <si>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</si>
  <si>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</si>
  <si>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</si>
  <si>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</si>
  <si>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</si>
  <si>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</si>
  <si>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</si>
  <si>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</si>
  <si>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</si>
  <si>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</si>
  <si>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</si>
  <si>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</si>
  <si>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</si>
  <si>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</si>
  <si>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</si>
  <si>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</si>
  <si>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</si>
  <si>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</si>
  <si>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</si>
  <si>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</si>
  <si>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</si>
  <si>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</si>
  <si>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</si>
  <si>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</si>
  <si>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</si>
  <si>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</si>
  <si>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</si>
  <si>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</si>
  <si>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</si>
  <si>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</si>
  <si>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</si>
  <si>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</si>
  <si>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</si>
  <si>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</si>
  <si>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</si>
  <si>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</si>
  <si>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</si>
  <si>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</si>
  <si>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</si>
  <si>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</si>
  <si>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</si>
  <si>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</si>
  <si>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</si>
  <si>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</si>
  <si>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</si>
  <si>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</si>
  <si>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</si>
  <si>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</si>
  <si>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</si>
  <si>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</si>
  <si>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</si>
  <si>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</si>
  <si>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</si>
  <si>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</si>
  <si>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</si>
  <si>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</si>
  <si>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</si>
  <si>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</si>
  <si>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</si>
  <si>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</si>
  <si>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</si>
  <si>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</si>
  <si>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</si>
  <si>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</si>
  <si>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</si>
  <si>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</si>
  <si>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</si>
  <si>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</si>
  <si>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</si>
  <si>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</si>
  <si>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</si>
  <si>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</si>
  <si>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</si>
  <si>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</si>
  <si>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</si>
  <si>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</si>
  <si>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</si>
  <si>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</si>
  <si>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</si>
  <si>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</si>
  <si>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</si>
  <si>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</si>
  <si>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</si>
  <si>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</si>
  <si>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</si>
  <si>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</si>
  <si>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</si>
  <si>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</si>
  <si>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</si>
  <si>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</si>
  <si>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</si>
  <si>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</si>
  <si>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</si>
  <si>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</si>
  <si>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</si>
  <si>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</si>
  <si>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</si>
  <si>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</si>
  <si>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</si>
  <si>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</si>
  <si>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</si>
  <si>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</si>
  <si>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</si>
  <si>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</si>
  <si>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</si>
  <si>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</si>
  <si>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</si>
  <si>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</si>
  <si>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</si>
  <si>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</si>
  <si>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</si>
  <si>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</si>
  <si>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</si>
  <si>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</si>
  <si>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</si>
  <si>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</si>
  <si>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</si>
  <si>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</si>
  <si>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</si>
  <si>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</si>
  <si>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</si>
  <si>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</si>
  <si>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</si>
  <si>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</si>
  <si>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</si>
  <si>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</si>
  <si>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</si>
  <si>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</si>
  <si>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</si>
  <si>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</si>
  <si>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</si>
  <si>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</si>
  <si>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</si>
  <si>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</si>
  <si>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</si>
  <si>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</si>
  <si>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</si>
  <si>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</si>
  <si>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</si>
  <si>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</si>
  <si>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</si>
  <si>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</si>
  <si>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</si>
  <si>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</si>
  <si>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</si>
  <si>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</si>
  <si>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</si>
  <si>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</si>
  <si>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</si>
  <si>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</si>
  <si>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</si>
  <si>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</si>
  <si>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</si>
  <si>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</si>
  <si>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</si>
  <si>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</si>
  <si>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</si>
  <si>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</si>
  <si>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</si>
  <si>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</si>
  <si>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</si>
  <si>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</si>
  <si>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</si>
  <si>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</si>
  <si>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</si>
  <si>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</si>
  <si>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</si>
  <si>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</si>
  <si>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</si>
  <si>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</si>
  <si>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</si>
  <si>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</si>
  <si>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</si>
  <si>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</si>
  <si>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</si>
  <si>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</si>
  <si>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</si>
  <si>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</si>
  <si>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</si>
  <si>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</si>
  <si>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</si>
  <si>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</si>
  <si>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</si>
  <si>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</si>
  <si>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</si>
  <si>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</si>
  <si>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</si>
  <si>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</si>
  <si>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</si>
  <si>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</si>
  <si>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</si>
  <si>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</si>
  <si>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</si>
  <si>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</si>
  <si>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</si>
  <si>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</si>
  <si>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</si>
  <si>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</si>
  <si>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</si>
  <si>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</si>
  <si>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</si>
  <si>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</si>
  <si>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</si>
  <si>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</si>
  <si>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</si>
  <si>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</si>
  <si>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</si>
  <si>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</si>
  <si>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</si>
  <si>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</si>
  <si>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</si>
  <si>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</si>
  <si>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</si>
  <si>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</si>
  <si>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</si>
  <si>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</si>
  <si>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</si>
  <si>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</si>
  <si>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</si>
  <si>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</si>
  <si>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</si>
  <si>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</si>
  <si>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</si>
  <si>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</si>
  <si>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</si>
  <si>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</si>
  <si>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</si>
  <si>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</si>
  <si>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</si>
  <si>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</si>
  <si>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</si>
  <si>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</si>
  <si>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</si>
  <si>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</si>
  <si>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</si>
  <si>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</si>
  <si>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</si>
  <si>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</si>
  <si>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</si>
  <si>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</si>
  <si>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</si>
  <si>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</si>
  <si>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</si>
  <si>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</si>
  <si>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</si>
  <si>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</si>
  <si>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</si>
  <si>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</si>
  <si>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</si>
  <si>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</si>
  <si>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</si>
  <si>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</si>
  <si>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</si>
  <si>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</si>
  <si>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</si>
  <si>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</si>
  <si>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</si>
  <si>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</si>
  <si>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</si>
  <si>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</si>
  <si>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</si>
  <si>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</si>
  <si>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</si>
  <si>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</si>
  <si>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</si>
  <si>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</si>
  <si>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</si>
  <si>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</si>
  <si>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</si>
  <si>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</si>
  <si>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</si>
  <si>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</si>
  <si>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</si>
  <si>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</si>
  <si>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</si>
  <si>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</si>
  <si>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</si>
  <si>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</si>
  <si>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</si>
  <si>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</si>
  <si>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</si>
  <si>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</si>
  <si>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</si>
  <si>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</si>
  <si>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</si>
  <si>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</si>
  <si>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</si>
  <si>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</si>
  <si>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</si>
  <si>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</si>
  <si>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</si>
  <si>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</si>
  <si>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</si>
  <si>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</si>
  <si>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</si>
  <si>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</si>
  <si>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</si>
  <si>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</si>
  <si>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</si>
  <si>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</si>
  <si>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</si>
  <si>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</si>
  <si>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</si>
  <si>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</si>
  <si>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</si>
  <si>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</si>
  <si>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</si>
  <si>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</si>
  <si>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</si>
  <si>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</si>
  <si>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</si>
  <si>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</si>
  <si>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</si>
  <si>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</si>
  <si>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</si>
  <si>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</si>
  <si>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</si>
  <si>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</si>
  <si>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</si>
  <si>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</si>
  <si>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</si>
  <si>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</si>
  <si>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</si>
  <si>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</si>
  <si>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</si>
  <si>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</si>
  <si>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</si>
  <si>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</si>
  <si>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</si>
  <si>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</si>
  <si>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</si>
  <si>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</si>
  <si>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</si>
  <si>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</si>
  <si>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</si>
  <si>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</si>
  <si>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</si>
  <si>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</si>
  <si>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</si>
  <si>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</si>
  <si>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</si>
  <si>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</si>
  <si>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</si>
  <si>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</si>
  <si>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</si>
  <si>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</si>
  <si>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</si>
  <si>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</si>
  <si>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</si>
  <si>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</si>
  <si>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</si>
  <si>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</si>
  <si>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</si>
  <si>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</si>
  <si>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</si>
  <si>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</si>
  <si>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</si>
  <si>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</si>
  <si>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</si>
  <si>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</si>
  <si>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</si>
  <si>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</si>
  <si>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</si>
  <si>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</si>
  <si>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</si>
  <si>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</si>
  <si>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</si>
  <si>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</si>
  <si>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</si>
  <si>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</si>
  <si>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</si>
  <si>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</si>
  <si>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</si>
  <si>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</si>
  <si>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</si>
  <si>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</si>
  <si>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</si>
  <si>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</si>
  <si>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</si>
  <si>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</si>
  <si>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</si>
  <si>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</si>
  <si>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</si>
  <si>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</si>
  <si>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</si>
  <si>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</si>
  <si>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</si>
  <si>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</si>
  <si>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</si>
  <si>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</si>
  <si>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</si>
  <si>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</si>
  <si>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</si>
  <si>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</si>
  <si>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</si>
  <si>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</si>
  <si>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</si>
  <si>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</si>
  <si>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</si>
  <si>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</si>
  <si>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</si>
  <si>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</si>
  <si>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</si>
  <si>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</si>
  <si>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</si>
  <si>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</si>
  <si>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</si>
  <si>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</si>
  <si>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</si>
  <si>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</si>
  <si>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</si>
  <si>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</si>
  <si>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</si>
  <si>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</si>
  <si>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</si>
  <si>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</si>
  <si>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</si>
  <si>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</si>
  <si>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</si>
  <si>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</si>
  <si>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</si>
  <si>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</si>
  <si>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</si>
  <si>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</si>
  <si>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</si>
  <si>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</si>
  <si>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</si>
  <si>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</si>
  <si>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</si>
  <si>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</si>
  <si>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</si>
  <si>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</si>
  <si>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</si>
  <si>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</si>
  <si>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</si>
  <si>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</si>
  <si>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</si>
  <si>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</si>
  <si>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</si>
  <si>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</si>
  <si>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</si>
  <si>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</si>
  <si>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</si>
  <si>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</si>
  <si>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</si>
  <si>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</si>
  <si>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</si>
  <si>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</si>
  <si>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</si>
  <si>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</si>
  <si>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</si>
  <si>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</si>
  <si>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</si>
  <si>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</si>
  <si>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</si>
  <si>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</si>
  <si>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</si>
  <si>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</si>
  <si>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</si>
  <si>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</si>
  <si>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</si>
  <si>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</si>
  <si>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</si>
  <si>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</si>
  <si>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</si>
  <si>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</si>
  <si>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</si>
  <si>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</si>
  <si>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</si>
  <si>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</si>
  <si>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</si>
  <si>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</si>
  <si>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</si>
  <si>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</si>
  <si>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</si>
  <si>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</si>
  <si>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</si>
  <si>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</si>
  <si>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</si>
  <si>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</si>
  <si>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</si>
  <si>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</si>
  <si>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</si>
  <si>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</si>
  <si>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</si>
  <si>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</si>
  <si>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</si>
  <si>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</si>
  <si>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</si>
  <si>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</si>
  <si>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</si>
  <si>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</si>
  <si>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</si>
  <si>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</si>
  <si>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</si>
  <si>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</si>
  <si>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</si>
  <si>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</si>
  <si>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</si>
  <si>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</si>
  <si>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</si>
  <si>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</si>
  <si>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</si>
  <si>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</si>
  <si>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</si>
  <si>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</si>
  <si>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</si>
  <si>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</si>
  <si>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</si>
  <si>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</si>
  <si>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</si>
  <si>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</si>
  <si>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</si>
  <si>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</si>
  <si>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</si>
  <si>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</si>
  <si>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</si>
  <si>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</si>
  <si>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</si>
  <si>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</si>
  <si>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</si>
  <si>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</si>
  <si>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</si>
  <si>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</si>
  <si>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</si>
  <si>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</si>
  <si>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</si>
  <si>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</si>
  <si>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</si>
  <si>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</si>
  <si>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</si>
  <si>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</si>
  <si>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</si>
  <si>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</si>
  <si>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</si>
  <si>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</si>
  <si>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</si>
  <si>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</si>
  <si>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</si>
  <si>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</si>
  <si>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</si>
  <si>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</si>
  <si>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</si>
  <si>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</si>
  <si>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</si>
  <si>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</si>
  <si>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</si>
  <si>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</si>
  <si>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</si>
  <si>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</si>
  <si>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</si>
  <si>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</si>
  <si>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</si>
  <si>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</si>
  <si>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</si>
  <si>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</si>
  <si>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</si>
  <si>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</si>
  <si>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</si>
  <si>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</si>
  <si>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</si>
  <si>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</si>
  <si>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</si>
  <si>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</si>
  <si>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</si>
  <si>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</si>
  <si>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</si>
  <si>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</si>
  <si>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</si>
  <si>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</si>
  <si>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</si>
  <si>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</si>
  <si>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</si>
  <si>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</si>
  <si>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</si>
  <si>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</si>
  <si>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</si>
  <si>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</si>
  <si>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</si>
  <si>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</si>
  <si>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</si>
  <si>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</si>
  <si>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</si>
  <si>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</si>
  <si>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</si>
  <si>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</si>
  <si>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</si>
  <si>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</si>
  <si>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</si>
  <si>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</si>
  <si>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</si>
  <si>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</si>
  <si>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</si>
  <si>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</si>
  <si>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</si>
  <si>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</si>
  <si>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</si>
  <si>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</si>
  <si>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</si>
  <si>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</si>
  <si>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</si>
  <si>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</si>
  <si>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</si>
  <si>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</si>
  <si>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</si>
  <si>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</si>
  <si>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</si>
  <si>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</si>
  <si>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</si>
  <si>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</si>
  <si>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</si>
  <si>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</si>
  <si>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</si>
  <si>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</si>
  <si>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</si>
  <si>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</si>
  <si>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</si>
  <si>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</si>
  <si>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</si>
  <si>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</si>
  <si>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</si>
  <si>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</si>
  <si>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</si>
  <si>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</si>
  <si>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</si>
  <si>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</si>
  <si>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</si>
  <si>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</si>
  <si>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</si>
  <si>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</si>
  <si>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</si>
  <si>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</si>
  <si>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</si>
  <si>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</si>
  <si>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</si>
  <si>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</si>
  <si>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</si>
  <si>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</si>
  <si>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</si>
  <si>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</si>
  <si>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</si>
  <si>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</si>
  <si>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</si>
  <si>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</si>
  <si>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</si>
  <si>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</si>
  <si>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</si>
  <si>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</si>
  <si>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</si>
  <si>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</si>
  <si>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</si>
  <si>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</si>
  <si>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</si>
  <si>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</si>
  <si>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</si>
  <si>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</si>
  <si>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</si>
  <si>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</si>
  <si>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</si>
  <si>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</si>
  <si>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</si>
  <si>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</si>
  <si>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</si>
  <si>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</si>
  <si>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</si>
  <si>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</si>
  <si>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</si>
  <si>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</si>
  <si>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</si>
  <si>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</si>
  <si>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</si>
  <si>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</si>
  <si>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</si>
  <si>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</si>
  <si>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</si>
  <si>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</si>
  <si>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</si>
  <si>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</si>
  <si>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</si>
  <si>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</si>
  <si>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</si>
  <si>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</si>
  <si>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</si>
  <si>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</si>
  <si>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</si>
  <si>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</si>
  <si>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</si>
  <si>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</si>
  <si>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</si>
  <si>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</si>
  <si>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</si>
  <si>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</si>
  <si>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</si>
  <si>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</si>
  <si>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</si>
  <si>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</si>
  <si>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</si>
  <si>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</si>
  <si>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</si>
  <si>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</si>
  <si>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</si>
  <si>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</si>
  <si>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</si>
  <si>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</si>
  <si>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</si>
  <si>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</si>
  <si>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</si>
  <si>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</si>
  <si>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</si>
  <si>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</si>
  <si>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</si>
  <si>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</si>
  <si>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</si>
  <si>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</si>
  <si>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</si>
  <si>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</si>
  <si>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</si>
  <si>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</si>
  <si>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</si>
  <si>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</si>
  <si>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</si>
  <si>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</si>
  <si>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</si>
  <si>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</si>
  <si>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</si>
  <si>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</si>
  <si>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</si>
  <si>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</si>
  <si>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</si>
  <si>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</si>
  <si>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</si>
  <si>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</si>
  <si>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</si>
  <si>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</si>
  <si>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</si>
  <si>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</si>
  <si>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</si>
  <si>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</si>
  <si>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</si>
  <si>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</si>
  <si>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</si>
  <si>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</si>
  <si>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</si>
  <si>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</si>
  <si>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</si>
  <si>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</si>
  <si>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</si>
  <si>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</si>
  <si>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</si>
  <si>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</si>
  <si>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</si>
  <si>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</si>
  <si>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</si>
  <si>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</si>
  <si>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</si>
  <si>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</si>
  <si>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</si>
  <si>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</si>
  <si>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</si>
  <si>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</si>
  <si>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</si>
  <si>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</si>
  <si>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</si>
  <si>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</si>
  <si>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</si>
  <si>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</si>
  <si>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</si>
  <si>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</si>
  <si>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</si>
  <si>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</si>
  <si>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</si>
  <si>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</si>
  <si>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</si>
  <si>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</si>
  <si>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</si>
  <si>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</si>
  <si>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</si>
  <si>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</si>
  <si>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</si>
  <si>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</si>
  <si>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</si>
  <si>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</si>
  <si>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</si>
  <si>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</si>
  <si>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</si>
  <si>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</si>
  <si>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</si>
  <si>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</si>
  <si>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</si>
  <si>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</si>
  <si>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</si>
  <si>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</si>
  <si>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</si>
  <si>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</si>
  <si>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</si>
  <si>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</si>
  <si>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</si>
  <si>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</si>
  <si>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</si>
  <si>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</si>
  <si>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</si>
  <si>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</si>
  <si>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</si>
  <si>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</si>
  <si>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</si>
  <si>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</si>
  <si>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</si>
  <si>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</si>
  <si>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</si>
  <si>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</si>
  <si>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</si>
  <si>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</si>
  <si>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</si>
  <si>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</si>
  <si>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</si>
  <si>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</si>
  <si>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</si>
  <si>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</si>
  <si>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</si>
  <si>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</si>
  <si>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</si>
  <si>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</si>
  <si>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</si>
  <si>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</si>
  <si>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</si>
  <si>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</si>
  <si>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</si>
  <si>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</si>
  <si>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</si>
  <si>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</si>
  <si>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</si>
  <si>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</si>
  <si>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</si>
  <si>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</si>
  <si>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</si>
  <si>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</si>
  <si>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</si>
  <si>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</si>
  <si>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</si>
  <si>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</si>
  <si>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</si>
  <si>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</si>
  <si>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</si>
  <si>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</si>
  <si>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</si>
  <si>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</si>
  <si>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</si>
  <si>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</si>
  <si>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</si>
  <si>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</si>
  <si>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</si>
  <si>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</si>
  <si>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</si>
  <si>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</si>
  <si>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</si>
  <si>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</si>
  <si>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</si>
  <si>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</si>
  <si>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</si>
  <si>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</si>
  <si>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</si>
  <si>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</si>
  <si>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</si>
  <si>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</si>
  <si>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</si>
  <si>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</si>
  <si>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</si>
  <si>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</si>
  <si>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</si>
  <si>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</si>
  <si>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</si>
  <si>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</si>
  <si>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</si>
  <si>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</si>
  <si>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</si>
  <si>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</si>
  <si>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</si>
  <si>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</si>
  <si>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</si>
  <si>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</si>
  <si>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</si>
  <si>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</si>
  <si>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</si>
  <si>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</si>
  <si>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</si>
  <si>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</si>
  <si>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</si>
  <si>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</si>
  <si>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</si>
  <si>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</si>
  <si>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</si>
  <si>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</si>
  <si>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</si>
  <si>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</si>
  <si>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</si>
  <si>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</si>
  <si>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</si>
  <si>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</si>
  <si>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</si>
  <si>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</si>
  <si>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</si>
  <si>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</si>
  <si>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</si>
  <si>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</si>
  <si>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</si>
  <si>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</si>
  <si>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</si>
  <si>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</si>
  <si>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</si>
  <si>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</si>
  <si>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</si>
  <si>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</si>
  <si>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</si>
  <si>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</si>
  <si>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</si>
  <si>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</si>
  <si>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</si>
  <si>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</si>
  <si>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</si>
  <si>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</si>
  <si>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</si>
  <si>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</si>
  <si>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</si>
  <si>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</si>
  <si>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</si>
  <si>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</si>
  <si>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</si>
  <si>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</si>
  <si>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</si>
  <si>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</si>
  <si>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</si>
  <si>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</si>
  <si>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</si>
  <si>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</si>
  <si>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</si>
  <si>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</si>
  <si>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</si>
  <si>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</si>
  <si>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</si>
  <si>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</si>
  <si>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</si>
  <si>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</si>
  <si>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</si>
  <si>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</si>
  <si>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</si>
  <si>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</si>
  <si>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</si>
  <si>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</si>
  <si>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</si>
  <si>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</si>
  <si>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</si>
  <si>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</si>
  <si>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</si>
  <si>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</si>
  <si>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</si>
  <si>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</si>
  <si>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</si>
  <si>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</si>
  <si>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</si>
  <si>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</si>
  <si>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</si>
  <si>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</si>
  <si>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</si>
  <si>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</si>
  <si>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</si>
  <si>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</si>
  <si>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</si>
  <si>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</si>
  <si>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</si>
  <si>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</si>
  <si>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</si>
  <si>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</si>
  <si>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</si>
  <si>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</si>
  <si>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</si>
  <si>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</si>
  <si>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</si>
  <si>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</si>
  <si>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</si>
  <si>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</si>
  <si>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</si>
  <si>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</si>
  <si>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</si>
  <si>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</si>
  <si>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</si>
  <si>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</si>
  <si>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</si>
  <si>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</si>
  <si>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</si>
  <si>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</si>
  <si>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</si>
  <si>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</si>
  <si>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</si>
  <si>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</si>
  <si>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</si>
  <si>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</si>
  <si>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</si>
  <si>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</si>
  <si>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</si>
  <si>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</si>
  <si>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</si>
  <si>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</si>
  <si>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</si>
  <si>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</si>
  <si>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</si>
  <si>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</si>
  <si>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</si>
  <si>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</si>
  <si>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</si>
  <si>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</si>
  <si>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</si>
  <si>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</si>
  <si>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</si>
  <si>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</si>
  <si>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</si>
  <si>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</si>
  <si>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</si>
  <si>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</si>
  <si>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</si>
  <si>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</si>
  <si>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</si>
  <si>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</si>
  <si>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</si>
  <si>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</si>
  <si>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</si>
  <si>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</si>
  <si>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</si>
  <si>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</si>
  <si>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</si>
  <si>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</si>
  <si>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</si>
  <si>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</si>
  <si>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</si>
  <si>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</si>
  <si>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</si>
  <si>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</si>
  <si>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</si>
  <si>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</si>
  <si>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</si>
  <si>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</si>
  <si>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</si>
  <si>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</si>
  <si>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</si>
  <si>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</si>
  <si>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</si>
  <si>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</si>
  <si>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</si>
  <si>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</si>
  <si>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</si>
  <si>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</si>
  <si>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</si>
  <si>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</si>
  <si>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</si>
  <si>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</si>
  <si>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</si>
  <si>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</si>
  <si>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</si>
  <si>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</si>
  <si>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</si>
  <si>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</si>
  <si>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</si>
  <si>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</si>
  <si>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</si>
  <si>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</si>
  <si>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</si>
  <si>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</si>
  <si>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</si>
  <si>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</si>
  <si>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</si>
  <si>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</si>
  <si>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</si>
  <si>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</si>
  <si>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</si>
  <si>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</si>
  <si>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</si>
  <si>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</si>
  <si>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</si>
  <si>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</si>
  <si>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</si>
  <si>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</si>
  <si>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</si>
  <si>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</si>
  <si>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</si>
  <si>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</si>
  <si>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</si>
  <si>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</si>
  <si>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</si>
  <si>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</si>
  <si>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</si>
  <si>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</si>
  <si>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</si>
  <si>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</si>
  <si>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</si>
  <si>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</si>
  <si>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</si>
  <si>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</si>
  <si>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</si>
  <si>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</si>
  <si>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</si>
  <si>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</si>
  <si>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</si>
  <si>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</si>
  <si>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</si>
  <si>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</si>
  <si>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</si>
  <si>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</si>
  <si>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</si>
  <si>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</si>
  <si>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</si>
  <si>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</si>
  <si>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</si>
  <si>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</si>
  <si>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</si>
  <si>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</si>
  <si>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</si>
  <si>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</si>
  <si>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</si>
  <si>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</si>
  <si>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</si>
  <si>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</si>
  <si>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</si>
  <si>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</si>
  <si>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</si>
  <si>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</si>
  <si>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</si>
  <si>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</si>
  <si>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</si>
  <si>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</si>
  <si>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</si>
  <si>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</si>
  <si>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</si>
  <si>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</si>
  <si>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</si>
  <si>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</si>
  <si>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</si>
  <si>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</si>
  <si>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</si>
  <si>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</si>
  <si>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</si>
  <si>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</si>
  <si>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</si>
  <si>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</si>
  <si>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</si>
  <si>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</si>
  <si>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</si>
  <si>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</si>
  <si>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</si>
  <si>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</si>
  <si>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</si>
  <si>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</si>
  <si>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</si>
  <si>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</si>
  <si>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</si>
  <si>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</si>
  <si>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</si>
  <si>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</si>
  <si>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</si>
  <si>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</si>
  <si>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</si>
  <si>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</si>
  <si>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</si>
  <si>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</si>
  <si>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</si>
  <si>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</si>
  <si>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</si>
  <si>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</si>
  <si>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</si>
  <si>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</si>
  <si>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</si>
  <si>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</si>
  <si>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</si>
  <si>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</si>
  <si>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</si>
  <si>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</si>
  <si>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</si>
  <si>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</si>
  <si>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</si>
  <si>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</si>
  <si>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</si>
  <si>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</si>
  <si>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</si>
  <si>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</si>
  <si>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</si>
  <si>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</si>
  <si>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</si>
  <si>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</si>
  <si>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</si>
  <si>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</si>
  <si>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</si>
  <si>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</si>
  <si>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</si>
  <si>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</si>
  <si>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</si>
  <si>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</si>
  <si>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</si>
  <si>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</si>
  <si>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</si>
  <si>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</si>
  <si>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</si>
  <si>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</si>
  <si>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</si>
  <si>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</si>
  <si>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</si>
  <si>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</si>
  <si>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</si>
  <si>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</si>
  <si>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</si>
  <si>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</si>
  <si>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</si>
  <si>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</si>
  <si>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</si>
  <si>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</si>
  <si>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</si>
  <si>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</si>
  <si>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</si>
  <si>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</si>
  <si>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</si>
  <si>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</si>
  <si>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</si>
  <si>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</si>
  <si>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</si>
  <si>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</si>
  <si>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</si>
  <si>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</si>
  <si>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</si>
  <si>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</si>
  <si>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</si>
  <si>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</si>
  <si>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</si>
  <si>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</si>
  <si>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</si>
  <si>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</si>
  <si>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</si>
  <si>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</si>
  <si>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</si>
  <si>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</si>
  <si>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</si>
  <si>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</si>
  <si>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</si>
  <si>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</si>
  <si>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</si>
  <si>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</si>
  <si>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</si>
  <si>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</si>
  <si>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</si>
  <si>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</si>
  <si>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</si>
  <si>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</si>
  <si>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</si>
  <si>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</si>
  <si>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</si>
  <si>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</si>
  <si>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</si>
  <si>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</si>
  <si>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</si>
  <si>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</si>
  <si>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</si>
  <si>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</si>
  <si>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</si>
  <si>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</si>
  <si>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</si>
  <si>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</si>
  <si>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</si>
  <si>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</si>
  <si>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</si>
  <si>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</si>
  <si>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</si>
  <si>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</si>
  <si>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</si>
  <si>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</si>
  <si>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</si>
  <si>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</si>
  <si>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</si>
  <si>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</si>
  <si>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</si>
  <si>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</si>
  <si>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</si>
  <si>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</si>
  <si>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</si>
  <si>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</si>
  <si>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</si>
  <si>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</si>
  <si>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</si>
  <si>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</si>
  <si>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</si>
  <si>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</si>
  <si>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</si>
  <si>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</si>
  <si>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</si>
  <si>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</si>
  <si>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</si>
  <si>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</si>
  <si>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</si>
  <si>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</si>
  <si>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</si>
  <si>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</si>
  <si>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</si>
  <si>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</si>
  <si>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</si>
  <si>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</si>
  <si>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</si>
  <si>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</si>
  <si>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</si>
  <si>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</si>
  <si>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</si>
  <si>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</si>
  <si>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</si>
  <si>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</si>
  <si>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</si>
  <si>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</si>
  <si>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</si>
  <si>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</si>
  <si>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</si>
  <si>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</si>
  <si>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</si>
  <si>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</si>
  <si>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</si>
  <si>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</si>
  <si>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</si>
  <si>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</si>
  <si>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</si>
  <si>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</si>
  <si>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</si>
  <si>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</si>
  <si>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</si>
  <si>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</si>
  <si>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</si>
  <si>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</si>
  <si>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</si>
  <si>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</si>
  <si>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</si>
  <si>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</si>
  <si>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</si>
  <si>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</si>
  <si>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</si>
  <si>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</si>
  <si>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</si>
  <si>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</si>
  <si>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</si>
  <si>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</si>
  <si>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</si>
  <si>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</si>
  <si>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</si>
  <si>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</si>
  <si>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</si>
  <si>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</si>
  <si>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</si>
  <si>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</si>
  <si>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</si>
  <si>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</si>
  <si>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</si>
  <si>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</si>
  <si>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</si>
  <si>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</si>
  <si>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</si>
  <si>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</si>
  <si>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</si>
  <si>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</si>
  <si>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</si>
  <si>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</si>
  <si>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</si>
  <si>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</si>
  <si>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</si>
  <si>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</si>
  <si>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</si>
  <si>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</si>
  <si>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</si>
  <si>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</si>
  <si>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</si>
  <si>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</si>
  <si>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</si>
  <si>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</si>
  <si>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</si>
  <si>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</si>
  <si>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</si>
  <si>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</si>
  <si>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</si>
  <si>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</si>
  <si>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</si>
  <si>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</si>
  <si>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</si>
  <si>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</si>
  <si>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</si>
  <si>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</si>
  <si>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</si>
  <si>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</si>
  <si>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</si>
  <si>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</si>
  <si>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</si>
  <si>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</si>
  <si>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</si>
  <si>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</si>
  <si>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</si>
  <si>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</si>
  <si>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</si>
  <si>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</si>
  <si>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</si>
  <si>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</si>
  <si>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</si>
  <si>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</si>
  <si>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</si>
  <si>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</si>
  <si>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</si>
  <si>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</si>
  <si>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</si>
  <si>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</si>
  <si>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</si>
  <si>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</si>
  <si>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</si>
  <si>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</si>
  <si>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</si>
  <si>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</si>
  <si>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</si>
  <si>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</si>
  <si>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</si>
  <si>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</si>
  <si>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</si>
  <si>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</si>
  <si>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</si>
  <si>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</si>
  <si>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</si>
  <si>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</si>
  <si>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</si>
  <si>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</si>
  <si>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</si>
  <si>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</si>
  <si>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</si>
  <si>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</si>
  <si>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</si>
  <si>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</si>
  <si>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</si>
  <si>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</si>
  <si>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</si>
  <si>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</si>
  <si>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</si>
  <si>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</si>
  <si>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</si>
  <si>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</si>
  <si>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</si>
  <si>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</si>
  <si>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</si>
  <si>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</si>
  <si>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</si>
  <si>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</si>
  <si>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</si>
  <si>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</si>
  <si>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</si>
  <si>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</si>
  <si>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</si>
  <si>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</si>
  <si>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</si>
  <si>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</si>
  <si>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</si>
  <si>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</si>
  <si>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</si>
  <si>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</si>
  <si>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</si>
  <si>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</si>
  <si>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</si>
  <si>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</si>
  <si>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</si>
  <si>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</si>
  <si>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</si>
  <si>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</si>
  <si>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</si>
  <si>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</si>
  <si>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</si>
  <si>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</si>
  <si>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</si>
  <si>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</si>
  <si>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</si>
  <si>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</si>
  <si>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</si>
  <si>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</si>
  <si>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</si>
  <si>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</si>
  <si>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</si>
  <si>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</si>
  <si>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</si>
  <si>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</si>
  <si>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</si>
  <si>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</si>
  <si>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</si>
  <si>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</si>
  <si>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</si>
  <si>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</si>
  <si>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</si>
  <si>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</si>
  <si>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</si>
  <si>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</si>
  <si>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</si>
  <si>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</si>
  <si>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</si>
  <si>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</si>
  <si>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</si>
  <si>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</si>
  <si>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</si>
  <si>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</si>
  <si>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</si>
  <si>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</si>
  <si>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</si>
  <si>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</si>
  <si>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</si>
  <si>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</si>
  <si>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</si>
  <si>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</si>
  <si>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</si>
  <si>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</si>
  <si>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</si>
  <si>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</si>
  <si>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</si>
  <si>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</si>
  <si>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</si>
  <si>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</si>
  <si>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</si>
  <si>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</si>
  <si>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</si>
  <si>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</si>
  <si>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</si>
  <si>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</si>
  <si>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</si>
  <si>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</si>
  <si>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</si>
  <si>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</si>
  <si>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</si>
  <si>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</si>
  <si>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</si>
  <si>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</si>
  <si>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</si>
  <si>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</si>
  <si>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</si>
  <si>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</si>
  <si>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</si>
  <si>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</si>
  <si>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</si>
  <si>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</si>
  <si>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</si>
  <si>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</si>
  <si>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</si>
  <si>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</si>
  <si>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</si>
  <si>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</si>
  <si>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</si>
  <si>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</si>
  <si>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</si>
  <si>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</si>
  <si>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</si>
  <si>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</si>
  <si>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</si>
  <si>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</si>
  <si>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</si>
  <si>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</si>
  <si>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</si>
  <si>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</si>
  <si>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</si>
  <si>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</si>
  <si>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</si>
  <si>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</si>
  <si>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</si>
  <si>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</si>
  <si>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</si>
  <si>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</si>
  <si>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</si>
  <si>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</si>
  <si>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</si>
  <si>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</si>
  <si>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</si>
  <si>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</si>
  <si>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</si>
  <si>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</si>
  <si>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</si>
  <si>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</si>
  <si>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</si>
  <si>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</si>
  <si>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</si>
  <si>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</si>
  <si>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</si>
  <si>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</si>
  <si>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</si>
  <si>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</si>
  <si>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</si>
  <si>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</si>
  <si>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</si>
  <si>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</si>
  <si>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</si>
  <si>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</si>
  <si>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</si>
  <si>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</si>
  <si>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</si>
  <si>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</si>
  <si>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</si>
  <si>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</si>
  <si>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</si>
  <si>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</si>
  <si>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</si>
  <si>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</si>
  <si>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</si>
  <si>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</si>
  <si>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</si>
  <si>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</si>
  <si>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</si>
  <si>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</si>
  <si>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</si>
  <si>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</si>
  <si>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</si>
  <si>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</si>
  <si>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</si>
  <si>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</si>
  <si>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</si>
  <si>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</si>
  <si>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</si>
  <si>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</si>
  <si>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</si>
  <si>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</si>
  <si>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</si>
  <si>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</si>
  <si>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</si>
  <si>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</si>
  <si>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</si>
  <si>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</si>
  <si>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</si>
  <si>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</si>
  <si>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</si>
  <si>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</si>
  <si>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</si>
  <si>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</si>
  <si>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</si>
  <si>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</si>
  <si>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</si>
  <si>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</si>
  <si>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</si>
  <si>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</si>
  <si>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</si>
  <si>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</si>
  <si>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</si>
  <si>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</si>
  <si>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</si>
  <si>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</si>
  <si>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</si>
  <si>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</si>
  <si>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</si>
  <si>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</si>
  <si>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</si>
  <si>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</si>
  <si>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</si>
  <si>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</si>
  <si>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</si>
  <si>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</si>
  <si>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</si>
  <si>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</si>
  <si>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</si>
  <si>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</si>
  <si>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</si>
  <si>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</si>
  <si>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</si>
  <si>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</si>
  <si>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</si>
  <si>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</si>
  <si>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</si>
  <si>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</si>
  <si>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</si>
  <si>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</si>
  <si>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</si>
  <si>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</si>
  <si>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</si>
  <si>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</si>
  <si>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</si>
  <si>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</si>
  <si>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</si>
  <si>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</si>
  <si>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</si>
  <si>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</si>
  <si>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</si>
  <si>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</si>
  <si>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</si>
  <si>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</si>
  <si>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</si>
  <si>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</si>
  <si>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</si>
  <si>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</si>
  <si>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</si>
  <si>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</si>
  <si>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</si>
  <si>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</si>
  <si>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</si>
  <si>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</si>
  <si>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</si>
  <si>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</si>
  <si>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</si>
  <si>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</si>
  <si>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</si>
  <si>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</si>
  <si>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</si>
  <si>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</si>
  <si>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</si>
  <si>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</si>
  <si>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</si>
  <si>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</si>
  <si>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</si>
  <si>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</si>
  <si>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</si>
  <si>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</si>
  <si>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</si>
  <si>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</si>
  <si>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</si>
  <si>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</si>
  <si>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</si>
  <si>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</si>
  <si>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</si>
  <si>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</si>
  <si>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</si>
  <si>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</si>
  <si>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</si>
  <si>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</si>
  <si>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</si>
  <si>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</si>
  <si>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</si>
  <si>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</si>
  <si>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</si>
  <si>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</si>
  <si>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</si>
  <si>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</si>
  <si>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</si>
  <si>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</si>
  <si>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</si>
  <si>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</si>
  <si>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</si>
  <si>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</si>
  <si>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</si>
  <si>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</si>
  <si>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</si>
  <si>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</si>
  <si>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</si>
  <si>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</si>
  <si>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</si>
  <si>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</si>
  <si>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</si>
  <si>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</si>
  <si>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</si>
  <si>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</si>
  <si>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</si>
  <si>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</si>
  <si>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</si>
  <si>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</si>
  <si>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</si>
  <si>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</si>
  <si>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</si>
  <si>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</si>
  <si>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</si>
  <si>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</si>
  <si>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</si>
  <si>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</si>
  <si>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</si>
  <si>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</si>
  <si>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</si>
  <si>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</si>
  <si>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</si>
  <si>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</si>
  <si>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</si>
  <si>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</si>
  <si>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</si>
  <si>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</si>
  <si>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</si>
  <si>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</si>
  <si>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</si>
  <si>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</si>
  <si>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</si>
  <si>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</si>
  <si>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</si>
  <si>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</si>
  <si>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</si>
  <si>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</si>
  <si>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</si>
  <si>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</si>
  <si>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</si>
  <si>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</si>
  <si>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</si>
  <si>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</si>
  <si>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</si>
  <si>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</si>
  <si>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</si>
  <si>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</si>
  <si>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</si>
  <si>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</si>
  <si>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</si>
  <si>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</si>
  <si>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</si>
  <si>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</si>
  <si>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</si>
  <si>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</si>
  <si>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</si>
  <si>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</si>
  <si>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</si>
  <si>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</si>
  <si>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</si>
  <si>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</si>
  <si>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</si>
  <si>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</si>
  <si>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</si>
  <si>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</si>
  <si>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</si>
  <si>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</si>
  <si>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</si>
  <si>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</si>
  <si>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</si>
  <si>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</si>
  <si>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</si>
  <si>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</si>
  <si>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</si>
  <si>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</si>
  <si>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</si>
  <si>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</si>
  <si>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</si>
  <si>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</si>
  <si>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</si>
  <si>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</si>
  <si>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</si>
  <si>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</si>
  <si>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</si>
  <si>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</si>
  <si>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</si>
  <si>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</si>
  <si>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</si>
  <si>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</si>
  <si>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</si>
  <si>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</si>
  <si>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</si>
  <si>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</si>
  <si>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</si>
  <si>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</si>
  <si>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</si>
  <si>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</si>
  <si>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</si>
  <si>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</si>
  <si>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</si>
  <si>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</si>
  <si>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</si>
  <si>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</si>
  <si>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</si>
  <si>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</si>
  <si>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</si>
  <si>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</si>
  <si>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</si>
  <si>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</si>
  <si>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</si>
  <si>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</si>
  <si>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</si>
  <si>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</si>
  <si>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</si>
  <si>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</si>
  <si>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</si>
  <si>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</si>
  <si>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</si>
  <si>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</si>
  <si>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</si>
  <si>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</si>
  <si>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</si>
  <si>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</si>
  <si>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</si>
  <si>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</si>
  <si>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</si>
  <si>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</si>
  <si>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</si>
  <si>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</si>
  <si>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</si>
  <si>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</si>
  <si>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</si>
  <si>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</si>
  <si>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</si>
  <si>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</si>
  <si>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</si>
  <si>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</si>
  <si>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</si>
  <si>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</si>
  <si>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</si>
  <si>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</si>
  <si>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</si>
  <si>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</si>
  <si>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</si>
  <si>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</si>
  <si>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</si>
  <si>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</si>
  <si>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</si>
  <si>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</si>
  <si>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</si>
  <si>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</si>
  <si>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</si>
  <si>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</si>
  <si>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</si>
  <si>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</si>
  <si>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</si>
  <si>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</si>
  <si>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</si>
  <si>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</si>
  <si>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</si>
  <si>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</si>
  <si>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</si>
  <si>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</si>
  <si>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</si>
  <si>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</si>
  <si>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</si>
  <si>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</si>
  <si>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</si>
  <si>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</si>
  <si>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</si>
  <si>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</si>
  <si>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</si>
  <si>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</si>
  <si>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</si>
  <si>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</si>
  <si>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</si>
  <si>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</si>
  <si>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</si>
  <si>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</si>
  <si>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</si>
  <si>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</si>
  <si>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</si>
  <si>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</si>
  <si>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</si>
  <si>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</si>
  <si>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</si>
  <si>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</si>
  <si>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</si>
  <si>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</si>
  <si>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</si>
  <si>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</si>
  <si>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</si>
  <si>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</si>
  <si>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</si>
  <si>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</si>
  <si>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</si>
  <si>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</si>
  <si>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</si>
  <si>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</si>
  <si>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</si>
  <si>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</si>
  <si>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</si>
  <si>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</si>
  <si>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</si>
  <si>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</si>
  <si>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</si>
  <si>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</si>
  <si>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</si>
  <si>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</si>
  <si>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</si>
  <si>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</si>
  <si>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</si>
  <si>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</si>
  <si>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</si>
  <si>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</si>
  <si>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</si>
  <si>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</si>
  <si>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</si>
  <si>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</si>
  <si>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</si>
  <si>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</si>
  <si>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</si>
  <si>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</si>
  <si>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</si>
  <si>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</si>
  <si>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</si>
  <si>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</si>
  <si>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</si>
  <si>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</si>
  <si>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</si>
  <si>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</si>
  <si>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</si>
  <si>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</si>
  <si>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</si>
  <si>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</si>
  <si>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</si>
  <si>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</si>
  <si>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</si>
  <si>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</si>
  <si>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</si>
  <si>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</si>
  <si>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</si>
  <si>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</si>
  <si>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</si>
  <si>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</si>
  <si>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</si>
  <si>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</si>
  <si>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</si>
  <si>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</si>
  <si>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</si>
  <si>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</si>
  <si>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</si>
  <si>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</si>
  <si>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</si>
  <si>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</si>
  <si>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</si>
  <si>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</si>
  <si>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</si>
  <si>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</si>
  <si>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</si>
  <si>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</si>
  <si>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</si>
  <si>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</si>
  <si>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</si>
  <si>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</si>
  <si>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</si>
  <si>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</si>
  <si>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</si>
  <si>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</si>
  <si>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</si>
  <si>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</si>
  <si>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</si>
  <si>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</si>
  <si>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</si>
  <si>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</si>
  <si>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</si>
  <si>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</si>
  <si>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</si>
  <si>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</si>
  <si>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</si>
  <si>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</si>
  <si>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</si>
  <si>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</si>
  <si>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</si>
  <si>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</si>
  <si>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</si>
  <si>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</si>
  <si>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</si>
  <si>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</si>
  <si>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</si>
  <si>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</si>
  <si>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</si>
  <si>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</si>
  <si>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</si>
  <si>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</si>
  <si>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</si>
  <si>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</si>
  <si>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</si>
  <si>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</si>
  <si>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</si>
  <si>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</si>
  <si>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</si>
  <si>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</si>
  <si>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</si>
  <si>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</si>
  <si>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</si>
  <si>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</si>
  <si>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</si>
  <si>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</si>
  <si>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</si>
  <si>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</si>
  <si>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</si>
  <si>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</si>
  <si>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</si>
  <si>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</si>
  <si>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</si>
  <si>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</si>
  <si>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</si>
  <si>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</si>
  <si>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</si>
  <si>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</si>
  <si>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</si>
  <si>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</si>
  <si>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</si>
  <si>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</si>
  <si>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</si>
  <si>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</si>
  <si>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</si>
  <si>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</si>
  <si>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</si>
  <si>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</si>
  <si>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</si>
  <si>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</si>
  <si>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</si>
  <si>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</si>
  <si>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</si>
  <si>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</si>
  <si>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</si>
  <si>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</si>
  <si>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</si>
  <si>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</si>
  <si>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</si>
  <si>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</si>
  <si>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</si>
  <si>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</si>
  <si>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</si>
  <si>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</si>
  <si>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</si>
  <si>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</si>
  <si>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</si>
  <si>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</si>
  <si>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</si>
  <si>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</si>
  <si>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</si>
  <si>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</si>
  <si>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</si>
  <si>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</si>
  <si>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</si>
  <si>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</si>
  <si>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</si>
  <si>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</si>
  <si>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</si>
  <si>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</si>
  <si>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</si>
  <si>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</si>
  <si>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</si>
  <si>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</si>
  <si>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</si>
  <si>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</si>
  <si>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</si>
  <si>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</si>
  <si>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</si>
  <si>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</si>
  <si>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</si>
  <si>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</si>
  <si>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</si>
  <si>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</si>
  <si>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</si>
  <si>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</si>
  <si>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</si>
  <si>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</si>
  <si>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</si>
  <si>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</si>
  <si>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</si>
  <si>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</si>
  <si>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</si>
  <si>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</si>
  <si>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</si>
  <si>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</si>
  <si>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</si>
  <si>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</si>
  <si>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</si>
  <si>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</si>
  <si>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</si>
  <si>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</si>
  <si>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</si>
  <si>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</si>
  <si>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</si>
  <si>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</si>
  <si>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</si>
  <si>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</si>
  <si>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</si>
  <si>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</si>
  <si>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</si>
  <si>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</si>
  <si>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</si>
  <si>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</si>
  <si>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</si>
  <si>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</si>
  <si>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</si>
  <si>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</si>
  <si>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</si>
  <si>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</si>
  <si>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</si>
  <si>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</si>
  <si>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</si>
  <si>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</si>
  <si>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</si>
  <si>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</si>
  <si>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</si>
  <si>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</si>
  <si>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</si>
  <si>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</si>
  <si>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</si>
  <si>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</si>
  <si>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</si>
  <si>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</si>
  <si>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</si>
  <si>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</si>
  <si>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</si>
  <si>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</si>
  <si>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</si>
  <si>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</si>
  <si>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</si>
  <si>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</si>
  <si>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</si>
  <si>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</si>
  <si>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</si>
  <si>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</si>
  <si>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</si>
  <si>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</si>
  <si>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</si>
  <si>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</si>
  <si>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</si>
  <si>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</si>
  <si>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</si>
  <si>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</si>
  <si>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</si>
  <si>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</si>
  <si>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</si>
  <si>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</si>
  <si>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</si>
  <si>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</si>
  <si>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</si>
  <si>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</si>
  <si>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</si>
  <si>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</si>
  <si>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</si>
  <si>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</si>
  <si>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</si>
  <si>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</si>
  <si>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</si>
  <si>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</si>
  <si>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</si>
  <si>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</si>
  <si>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</si>
  <si>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</si>
  <si>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</si>
  <si>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</si>
  <si>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</si>
  <si>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</si>
  <si>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</si>
  <si>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</si>
  <si>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</si>
  <si>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</si>
  <si>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</si>
  <si>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</si>
  <si>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</si>
  <si>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</si>
  <si>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</si>
  <si>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</si>
  <si>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</si>
  <si>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</si>
  <si>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</si>
  <si>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</si>
  <si>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</si>
  <si>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</si>
  <si>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</si>
  <si>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</si>
  <si>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</si>
  <si>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</si>
  <si>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</si>
  <si>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</si>
  <si>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</si>
  <si>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</si>
  <si>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</si>
  <si>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</si>
  <si>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</si>
  <si>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</si>
  <si>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</si>
  <si>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</si>
  <si>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</si>
  <si>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</si>
  <si>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</si>
  <si>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</si>
  <si>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</si>
  <si>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</si>
  <si>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</si>
  <si>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</si>
  <si>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</si>
  <si>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</si>
  <si>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</si>
  <si>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</si>
  <si>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</si>
  <si>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</si>
  <si>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</si>
  <si>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</si>
  <si>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</si>
  <si>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</si>
  <si>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</si>
  <si>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</si>
  <si>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</si>
  <si>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</si>
  <si>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</si>
  <si>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</si>
  <si>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</si>
  <si>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</si>
  <si>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</si>
  <si>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</si>
  <si>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</si>
  <si>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</si>
  <si>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</si>
  <si>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</si>
  <si>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</si>
  <si>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</si>
  <si>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</si>
  <si>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</si>
  <si>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</si>
  <si>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</si>
  <si>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</si>
  <si>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</si>
  <si>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</si>
  <si>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</si>
  <si>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</si>
  <si>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</si>
  <si>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</si>
  <si>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</si>
  <si>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</si>
  <si>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</si>
  <si>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</si>
  <si>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</si>
  <si>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</si>
  <si>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</si>
  <si>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</si>
  <si>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</si>
  <si>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</si>
  <si>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</si>
  <si>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</si>
  <si>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</si>
  <si>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</si>
  <si>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</si>
  <si>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</si>
  <si>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</si>
  <si>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</si>
  <si>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</si>
  <si>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</si>
  <si>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</si>
  <si>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</si>
  <si>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</si>
  <si>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</si>
  <si>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</si>
  <si>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</si>
  <si>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</si>
  <si>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</si>
  <si>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</si>
  <si>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</si>
  <si>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</si>
  <si>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</si>
  <si>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</si>
  <si>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</si>
  <si>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</si>
  <si>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</si>
  <si>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</si>
  <si>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</si>
  <si>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</si>
  <si>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</si>
  <si>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</si>
  <si>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</si>
  <si>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</si>
  <si>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</si>
  <si>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</si>
  <si>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</si>
  <si>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</si>
  <si>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</si>
  <si>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</si>
  <si>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</si>
  <si>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</si>
  <si>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</si>
  <si>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</si>
  <si>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</si>
  <si>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</si>
  <si>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</si>
  <si>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</si>
  <si>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</si>
  <si>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</si>
  <si>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</si>
  <si>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</si>
  <si>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</si>
  <si>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</si>
  <si>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</si>
  <si>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</si>
  <si>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</si>
  <si>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</si>
  <si>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</si>
  <si>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</si>
  <si>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</si>
  <si>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</si>
  <si>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</si>
  <si>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</si>
  <si>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</si>
  <si>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</si>
  <si>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</si>
  <si>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</si>
  <si>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</si>
  <si>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</si>
  <si>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</si>
  <si>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</si>
  <si>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</si>
  <si>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</si>
  <si>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</si>
  <si>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</si>
  <si>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</si>
  <si>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</si>
  <si>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</si>
  <si>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</si>
  <si>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</si>
  <si>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</si>
  <si>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</si>
  <si>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</si>
  <si>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</si>
  <si>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</si>
  <si>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</si>
  <si>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</si>
  <si>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</si>
  <si>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</si>
  <si>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</si>
  <si>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</si>
  <si>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</si>
  <si>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</si>
  <si>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</si>
  <si>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</si>
  <si>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</si>
  <si>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</si>
  <si>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</si>
  <si>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</si>
  <si>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</si>
  <si>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</si>
  <si>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</si>
  <si>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</si>
  <si>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</si>
  <si>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</si>
  <si>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</si>
  <si>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</si>
  <si>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</si>
  <si>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</si>
  <si>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</si>
  <si>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</si>
  <si>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</si>
  <si>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</si>
  <si>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</si>
  <si>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</si>
  <si>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</si>
  <si>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</si>
  <si>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</si>
  <si>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</si>
  <si>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</si>
  <si>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</si>
  <si>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</si>
  <si>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</si>
  <si>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</si>
  <si>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</si>
  <si>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</si>
  <si>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</si>
  <si>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</si>
  <si>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</si>
  <si>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</si>
  <si>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</si>
  <si>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</si>
  <si>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</si>
  <si>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</si>
  <si>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</si>
  <si>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</si>
  <si>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</si>
  <si>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</si>
  <si>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</si>
  <si>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</si>
  <si>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</si>
  <si>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</si>
  <si>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</si>
  <si>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</si>
  <si>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</si>
  <si>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</si>
  <si>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</si>
  <si>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</si>
  <si>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</si>
  <si>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</si>
  <si>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</si>
  <si>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</si>
  <si>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</si>
  <si>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</si>
  <si>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</si>
  <si>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</si>
  <si>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</si>
  <si>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</si>
  <si>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</si>
  <si>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</si>
  <si>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</si>
  <si>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</si>
  <si>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</si>
  <si>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</si>
  <si>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</si>
  <si>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</si>
  <si>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</si>
  <si>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</si>
  <si>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</si>
  <si>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</si>
  <si>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</si>
  <si>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</si>
  <si>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</si>
  <si>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</si>
  <si>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</si>
  <si>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</si>
  <si>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</si>
  <si>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</si>
  <si>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</si>
  <si>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</si>
  <si>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</si>
  <si>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</si>
  <si>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</si>
  <si>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</si>
  <si>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</si>
  <si>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</si>
  <si>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</si>
  <si>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</si>
  <si>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</si>
  <si>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</si>
  <si>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</si>
  <si>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</si>
  <si>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</si>
  <si>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</si>
  <si>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</si>
  <si>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</si>
  <si>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</si>
  <si>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</si>
  <si>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</si>
  <si>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</si>
  <si>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</si>
  <si>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</si>
  <si>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</si>
  <si>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</si>
  <si>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</si>
  <si>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</si>
  <si>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</si>
  <si>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</si>
  <si>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</si>
  <si>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</si>
  <si>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</si>
  <si>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</si>
  <si>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</si>
  <si>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</si>
  <si>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</si>
  <si>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</si>
  <si>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</si>
  <si>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</si>
  <si>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</si>
  <si>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</si>
  <si>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</si>
  <si>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</si>
  <si>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</si>
  <si>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</si>
  <si>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</si>
  <si>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</si>
  <si>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</si>
  <si>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</si>
  <si>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</si>
  <si>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</si>
  <si>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</si>
  <si>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</si>
  <si>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</si>
  <si>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</si>
  <si>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</si>
  <si>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</si>
  <si>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</si>
  <si>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</si>
  <si>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</si>
  <si>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</si>
  <si>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</si>
  <si>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</si>
  <si>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</si>
  <si>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</si>
  <si>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</si>
  <si>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</si>
  <si>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</si>
  <si>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</si>
  <si>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</si>
  <si>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</si>
  <si>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</si>
  <si>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</si>
  <si>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</si>
  <si>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</si>
  <si>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</si>
  <si>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</si>
  <si>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</si>
  <si>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</si>
  <si>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</si>
  <si>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</si>
  <si>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</si>
  <si>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</si>
  <si>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</si>
  <si>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</si>
  <si>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</si>
  <si>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</si>
  <si>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</si>
  <si>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</si>
  <si>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</si>
  <si>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</si>
  <si>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</si>
  <si>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</si>
  <si>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</si>
  <si>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</si>
  <si>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</si>
  <si>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</si>
  <si>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</si>
  <si>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</si>
  <si>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</si>
  <si>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</si>
  <si>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</si>
  <si>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</si>
  <si>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</si>
  <si>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</si>
  <si>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</si>
  <si>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</si>
  <si>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</si>
  <si>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</si>
  <si>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</si>
  <si>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</si>
  <si>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</si>
  <si>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</si>
  <si>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</si>
  <si>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</si>
  <si>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</si>
  <si>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</si>
  <si>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</si>
  <si>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</si>
  <si>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</si>
  <si>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</si>
  <si>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</si>
  <si>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</si>
  <si>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</si>
  <si>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</si>
  <si>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</si>
  <si>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</si>
  <si>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</si>
  <si>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</si>
  <si>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</si>
  <si>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</si>
  <si>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</si>
  <si>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</si>
  <si>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</si>
  <si>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</si>
  <si>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</si>
  <si>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</si>
  <si>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</si>
  <si>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</si>
  <si>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</si>
  <si>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</si>
  <si>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</si>
  <si>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</si>
  <si>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</si>
  <si>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</si>
  <si>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</si>
  <si>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</si>
  <si>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</si>
  <si>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</si>
  <si>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</si>
  <si>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</si>
  <si>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是</t>
  </si>
  <si>
    <t>办公</t>
    <phoneticPr fontId="7" type="noConversion"/>
  </si>
  <si>
    <t>成新度</t>
  </si>
  <si>
    <t>收益法 (元)</t>
  </si>
  <si>
    <t>押一</t>
  </si>
  <si>
    <t>钢混</t>
  </si>
  <si>
    <t>非生产用房</t>
  </si>
  <si>
    <t>否</t>
  </si>
  <si>
    <t>正常</t>
  </si>
  <si>
    <t>售价</t>
  </si>
  <si>
    <t>单套模式</t>
  </si>
  <si>
    <t>比较法-办公</t>
  </si>
  <si>
    <t>金安中海财富中心</t>
    <phoneticPr fontId="3" type="noConversion"/>
  </si>
  <si>
    <t>金融街长安中心</t>
    <phoneticPr fontId="3" type="noConversion"/>
  </si>
  <si>
    <t>较好</t>
  </si>
  <si>
    <t>七通</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</si>
  <si>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</si>
  <si>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</si>
  <si>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</si>
  <si>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</si>
  <si>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</si>
  <si>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</si>
  <si>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</si>
  <si>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</si>
  <si>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专业</t>
  </si>
  <si>
    <t>专业</t>
    <phoneticPr fontId="31" type="noConversion"/>
  </si>
  <si>
    <t>精装</t>
  </si>
  <si>
    <t>精装</t>
    <phoneticPr fontId="31" type="noConversion"/>
  </si>
  <si>
    <t>普装</t>
    <phoneticPr fontId="31" type="noConversion"/>
  </si>
  <si>
    <t>简装</t>
    <phoneticPr fontId="31" type="noConversion"/>
  </si>
  <si>
    <t>毛坯</t>
    <phoneticPr fontId="31" type="noConversion"/>
  </si>
  <si>
    <t>通景大厦</t>
    <phoneticPr fontId="3" type="noConversion"/>
  </si>
  <si>
    <t>楼面单价</t>
  </si>
  <si>
    <t>询价函</t>
    <phoneticPr fontId="8" type="noConversion"/>
  </si>
  <si>
    <t>普装</t>
  </si>
  <si>
    <t>六通</t>
  </si>
  <si>
    <t>标准层高</t>
  </si>
  <si>
    <t>简装</t>
  </si>
  <si>
    <t>崔锴</t>
  </si>
  <si>
    <t>定值</t>
    <phoneticPr fontId="8" type="noConversion"/>
  </si>
  <si>
    <t>较好</t>
    <phoneticPr fontId="40" type="noConversion"/>
  </si>
  <si>
    <t>一般</t>
    <phoneticPr fontId="24" type="noConversion"/>
  </si>
  <si>
    <t>较好</t>
    <phoneticPr fontId="24" type="noConversion"/>
  </si>
  <si>
    <t>较好</t>
    <phoneticPr fontId="40" type="noConversion"/>
  </si>
  <si>
    <t>七通</t>
    <phoneticPr fontId="24" type="noConversion"/>
  </si>
  <si>
    <t>购房合同</t>
    <phoneticPr fontId="6" type="noConversion"/>
  </si>
  <si>
    <t>挂牌价</t>
  </si>
  <si>
    <t>挂牌价</t>
    <phoneticPr fontId="31" type="noConversion"/>
  </si>
  <si>
    <t>商业</t>
    <phoneticPr fontId="31" type="noConversion"/>
  </si>
  <si>
    <t>办公</t>
    <phoneticPr fontId="31" type="noConversion"/>
  </si>
  <si>
    <t>20-30</t>
    <phoneticPr fontId="31"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</si>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</sst>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179" fontId="44" fillId="22" borderId="23"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51" fillId="0" borderId="78"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77" fillId="6" borderId="15" xfId="0" applyNumberFormat="1" applyFont="1" applyFill="1" applyBorder="1" applyAlignment="1" applyProtection="1">
      <alignment horizontal="center" vertical="center" wrapText="1"/>
      <protection locked="0"/>
    </xf>
    <xf numFmtId="0" fontId="100" fillId="12" borderId="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10</xdr:col>
      <xdr:colOff>637273</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0"/>
          <a:ext cx="7219048" cy="5304762"/>
        </a:xfrm>
        <a:prstGeom prst="rect">
          <a:avLst/>
        </a:prstGeom>
      </xdr:spPr>
    </xdr:pic>
    <xdr:clientData/>
  </xdr:twoCellAnchor>
  <xdr:twoCellAnchor editAs="oneCell">
    <xdr:from>
      <xdr:col>0</xdr:col>
      <xdr:colOff>381001</xdr:colOff>
      <xdr:row>31</xdr:row>
      <xdr:rowOff>123825</xdr:rowOff>
    </xdr:from>
    <xdr:to>
      <xdr:col>12</xdr:col>
      <xdr:colOff>552451</xdr:colOff>
      <xdr:row>53</xdr:row>
      <xdr:rowOff>24384</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1" y="5438775"/>
          <a:ext cx="8401050" cy="3672459"/>
        </a:xfrm>
        <a:prstGeom prst="rect">
          <a:avLst/>
        </a:prstGeom>
      </xdr:spPr>
    </xdr:pic>
    <xdr:clientData/>
  </xdr:twoCellAnchor>
  <xdr:twoCellAnchor editAs="oneCell">
    <xdr:from>
      <xdr:col>0</xdr:col>
      <xdr:colOff>428626</xdr:colOff>
      <xdr:row>53</xdr:row>
      <xdr:rowOff>28574</xdr:rowOff>
    </xdr:from>
    <xdr:to>
      <xdr:col>12</xdr:col>
      <xdr:colOff>558492</xdr:colOff>
      <xdr:row>74</xdr:row>
      <xdr:rowOff>152399</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6" y="9115424"/>
          <a:ext cx="8359466" cy="3724275"/>
        </a:xfrm>
        <a:prstGeom prst="rect">
          <a:avLst/>
        </a:prstGeom>
      </xdr:spPr>
    </xdr:pic>
    <xdr:clientData/>
  </xdr:twoCellAnchor>
  <xdr:twoCellAnchor editAs="oneCell">
    <xdr:from>
      <xdr:col>0</xdr:col>
      <xdr:colOff>466725</xdr:colOff>
      <xdr:row>74</xdr:row>
      <xdr:rowOff>142875</xdr:rowOff>
    </xdr:from>
    <xdr:to>
      <xdr:col>13</xdr:col>
      <xdr:colOff>67612</xdr:colOff>
      <xdr:row>98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830175"/>
          <a:ext cx="8516287" cy="4076700"/>
        </a:xfrm>
        <a:prstGeom prst="rect">
          <a:avLst/>
        </a:prstGeom>
      </xdr:spPr>
    </xdr:pic>
    <xdr:clientData/>
  </xdr:twoCellAnchor>
  <xdr:twoCellAnchor editAs="oneCell">
    <xdr:from>
      <xdr:col>0</xdr:col>
      <xdr:colOff>333375</xdr:colOff>
      <xdr:row>98</xdr:row>
      <xdr:rowOff>114300</xdr:rowOff>
    </xdr:from>
    <xdr:to>
      <xdr:col>12</xdr:col>
      <xdr:colOff>257175</xdr:colOff>
      <xdr:row>121</xdr:row>
      <xdr:rowOff>13861</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 y="16916400"/>
          <a:ext cx="8153400" cy="3842911"/>
        </a:xfrm>
        <a:prstGeom prst="rect">
          <a:avLst/>
        </a:prstGeom>
      </xdr:spPr>
    </xdr:pic>
    <xdr:clientData/>
  </xdr:twoCellAnchor>
  <xdr:twoCellAnchor editAs="oneCell">
    <xdr:from>
      <xdr:col>13</xdr:col>
      <xdr:colOff>38099</xdr:colOff>
      <xdr:row>77</xdr:row>
      <xdr:rowOff>66675</xdr:rowOff>
    </xdr:from>
    <xdr:to>
      <xdr:col>22</xdr:col>
      <xdr:colOff>618096</xdr:colOff>
      <xdr:row>92</xdr:row>
      <xdr:rowOff>34814</xdr:rowOff>
    </xdr:to>
    <xdr:pic>
      <xdr:nvPicPr>
        <xdr:cNvPr id="7" name="图片 6"/>
        <xdr:cNvPicPr>
          <a:picLocks noChangeAspect="1"/>
        </xdr:cNvPicPr>
      </xdr:nvPicPr>
      <xdr:blipFill>
        <a:blip xmlns:r="http://schemas.openxmlformats.org/officeDocument/2006/relationships" r:embed="rId6"/>
        <a:stretch>
          <a:fillRect/>
        </a:stretch>
      </xdr:blipFill>
      <xdr:spPr>
        <a:xfrm>
          <a:off x="8953499" y="13268325"/>
          <a:ext cx="6752197" cy="2539889"/>
        </a:xfrm>
        <a:prstGeom prst="rect">
          <a:avLst/>
        </a:prstGeom>
      </xdr:spPr>
    </xdr:pic>
    <xdr:clientData/>
  </xdr:twoCellAnchor>
  <xdr:twoCellAnchor editAs="oneCell">
    <xdr:from>
      <xdr:col>13</xdr:col>
      <xdr:colOff>171450</xdr:colOff>
      <xdr:row>92</xdr:row>
      <xdr:rowOff>142875</xdr:rowOff>
    </xdr:from>
    <xdr:to>
      <xdr:col>29</xdr:col>
      <xdr:colOff>236746</xdr:colOff>
      <xdr:row>121</xdr:row>
      <xdr:rowOff>104159</xdr:rowOff>
    </xdr:to>
    <xdr:pic>
      <xdr:nvPicPr>
        <xdr:cNvPr id="8" name="图片 7"/>
        <xdr:cNvPicPr>
          <a:picLocks noChangeAspect="1"/>
        </xdr:cNvPicPr>
      </xdr:nvPicPr>
      <xdr:blipFill>
        <a:blip xmlns:r="http://schemas.openxmlformats.org/officeDocument/2006/relationships" r:embed="rId7"/>
        <a:stretch>
          <a:fillRect/>
        </a:stretch>
      </xdr:blipFill>
      <xdr:spPr>
        <a:xfrm>
          <a:off x="9086850" y="15916275"/>
          <a:ext cx="11038096" cy="4933334"/>
        </a:xfrm>
        <a:prstGeom prst="rect">
          <a:avLst/>
        </a:prstGeom>
      </xdr:spPr>
    </xdr:pic>
    <xdr:clientData/>
  </xdr:twoCellAnchor>
  <xdr:twoCellAnchor editAs="oneCell">
    <xdr:from>
      <xdr:col>13</xdr:col>
      <xdr:colOff>0</xdr:colOff>
      <xdr:row>0</xdr:row>
      <xdr:rowOff>0</xdr:rowOff>
    </xdr:from>
    <xdr:to>
      <xdr:col>37</xdr:col>
      <xdr:colOff>597944</xdr:colOff>
      <xdr:row>43</xdr:row>
      <xdr:rowOff>94317</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0"/>
          <a:ext cx="17057144" cy="7466667"/>
        </a:xfrm>
        <a:prstGeom prst="rect">
          <a:avLst/>
        </a:prstGeom>
      </xdr:spPr>
    </xdr:pic>
    <xdr:clientData/>
  </xdr:twoCellAnchor>
  <xdr:twoCellAnchor editAs="oneCell">
    <xdr:from>
      <xdr:col>0</xdr:col>
      <xdr:colOff>0</xdr:colOff>
      <xdr:row>122</xdr:row>
      <xdr:rowOff>0</xdr:rowOff>
    </xdr:from>
    <xdr:to>
      <xdr:col>13</xdr:col>
      <xdr:colOff>456029</xdr:colOff>
      <xdr:row>146</xdr:row>
      <xdr:rowOff>161391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916900"/>
          <a:ext cx="9371429"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511;&#22320;&#29615;&#29699;&#25991;&#21270;&#37329;&#34701;&#22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中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1">
          <cell r="J21">
            <v>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估价对象为北京市房地产，为所有。根据《国有土地使用证》[]，估价对象（分摊）出让国有建设用地使用权面积为0平方米，建筑面积为481.7平方米。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估价对象为北京市房地产,属开发建设的，该项目尚在开发建设中。根据《国有土地使用证》[]，估价对象（分摊）出让国有建设用地使用权面积为0平方米，规划建筑面积为481.7平方米。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1419</v>
      </c>
    </row>
    <row r="21" spans="1:2" s="1203" customFormat="1">
      <c r="A21" s="1201" t="s">
        <v>537</v>
      </c>
      <c r="B21" s="1202">
        <f ca="1">'预评函-2'!D7</f>
        <v>29456</v>
      </c>
    </row>
    <row r="22" spans="1:2" s="1203" customFormat="1">
      <c r="A22" s="1201" t="s">
        <v>538</v>
      </c>
      <c r="B22" s="1202" t="str">
        <f ca="1">'预评函-2'!D6</f>
        <v>壹仟肆佰壹拾玖万元整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1419</v>
      </c>
    </row>
    <row r="31" spans="1:2" s="1203" customFormat="1">
      <c r="A31" s="1201" t="s">
        <v>576</v>
      </c>
      <c r="B31" s="1202">
        <f ca="1">'预评函-2'!D15</f>
        <v>29456</v>
      </c>
    </row>
    <row r="32" spans="1:2" s="1203" customFormat="1">
      <c r="A32" s="1201" t="s">
        <v>543</v>
      </c>
      <c r="B32" s="1202" t="str">
        <f ca="1">'预评函-2'!D14</f>
        <v>壹仟肆佰壹拾玖万元整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481.7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2577</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2578</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5" t="s">
        <v>2580</v>
      </c>
      <c r="J2" s="3505"/>
      <c r="K2" s="3505"/>
      <c r="L2" s="3505"/>
      <c r="M2" s="3505"/>
      <c r="N2" s="3505"/>
      <c r="O2" s="3505"/>
      <c r="P2" s="3505"/>
      <c r="Q2" s="3505"/>
      <c r="R2" s="3505"/>
    </row>
    <row r="3" spans="1:18">
      <c r="A3" s="3018" t="s">
        <v>2501</v>
      </c>
      <c r="B3" s="3019">
        <f>项目基本情况!D3</f>
        <v>45251</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3.07</v>
      </c>
      <c r="D5" s="3023">
        <f>IF(ISERROR(ROUND(POWER(1+E5,A5-C5)*(POWER(1+E5,C5)-1)/(POWER(1+E5,A5)-1),3)),0,ROUND(POWER(1+E5,A5-C5)*(POWER(1+E5,C5)-1)/(POWER(1+E5,A5)-1),4))</f>
        <v>0.14330000000000001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13.08</v>
      </c>
      <c r="D6" s="3023">
        <f>IF(ISERROR(ROUND(POWER(1+E6,A6-C6)*(POWER(1+E6,C6)-1)/(POWER(1+E6,A6)-1),3)),0,ROUND(POWER(1+E6,A6-C6)*(POWER(1+E6,C6)-1)/(POWER(1+E6,A6)-1),4))</f>
        <v>0.46700000000000003</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33.1</v>
      </c>
      <c r="D7" s="3023">
        <f>IF(ISERROR(ROUND(POWER(1+E7,A7-C7)*(POWER(1+E7,C7)-1)/(POWER(1+E7,A7)-1),3)),0,ROUND(POWER(1+E7,A7-C7)*(POWER(1+E7,C7)-1)/(POWER(1+E7,A7)-1),4))</f>
        <v>0.77690000000000003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45251</v>
      </c>
      <c r="C3" s="2374" t="s">
        <v>2171</v>
      </c>
      <c r="D3" s="2373">
        <f>B3</f>
        <v>45251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09" t="s">
        <v>2177</v>
      </c>
      <c r="E8" s="2391" t="s">
        <v>3377</v>
      </c>
      <c r="F8" s="2392"/>
      <c r="G8" s="2661"/>
      <c r="H8" s="2661"/>
      <c r="I8" s="2661"/>
      <c r="J8" s="2439"/>
      <c r="K8" s="2612"/>
      <c r="L8" s="2611"/>
      <c r="M8" s="2611"/>
      <c r="N8" s="2439"/>
      <c r="O8" s="2450"/>
      <c r="P8" s="2439"/>
      <c r="Q8" s="2439"/>
      <c r="R8" s="2439"/>
    </row>
    <row r="9" spans="1:30" ht="13.5" thickBot="1">
      <c r="A9" s="2393" t="s">
        <v>2178</v>
      </c>
      <c r="B9" s="2394" t="s">
        <v>3377</v>
      </c>
      <c r="C9" s="2395"/>
      <c r="D9" s="3510"/>
      <c r="E9" s="2394" t="s">
        <v>43</v>
      </c>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2576</v>
      </c>
      <c r="J12" s="3060"/>
      <c r="K12" s="2611"/>
      <c r="L12" s="2611"/>
      <c r="M12" s="2439"/>
      <c r="N12" s="2450"/>
      <c r="O12" s="2439"/>
      <c r="P12" s="2439"/>
      <c r="Q12" s="2439"/>
      <c r="AD12" s="1745"/>
    </row>
    <row r="13" spans="1:30">
      <c r="A13" s="3421" t="s">
        <v>3334</v>
      </c>
      <c r="B13" s="2407" t="s">
        <v>2190</v>
      </c>
      <c r="C13" s="856"/>
      <c r="D13" s="856"/>
      <c r="E13" s="856">
        <v>54763</v>
      </c>
      <c r="F13" s="856"/>
      <c r="G13" s="856"/>
      <c r="H13" s="856"/>
      <c r="I13" s="856"/>
      <c r="J13" s="3462" t="s">
        <v>3426</v>
      </c>
      <c r="K13" s="2611"/>
      <c r="L13" s="2611"/>
      <c r="M13" s="2439"/>
      <c r="N13" s="2450"/>
      <c r="O13" s="2439"/>
      <c r="P13" s="2439"/>
      <c r="Q13" s="2439"/>
      <c r="AD13" s="1745"/>
    </row>
    <row r="14" spans="1:30">
      <c r="A14" s="1081"/>
      <c r="B14" s="2407" t="s">
        <v>2191</v>
      </c>
      <c r="C14" s="2408"/>
      <c r="D14" s="2408"/>
      <c r="E14" s="2408">
        <v>40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26.06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6"/>
      <c r="C16" s="3517"/>
      <c r="D16" s="3518"/>
      <c r="E16" s="2413" t="s">
        <v>2194</v>
      </c>
      <c r="F16" s="3519"/>
      <c r="G16" s="3520"/>
      <c r="H16" s="3520"/>
      <c r="I16" s="3521"/>
      <c r="J16" s="2439"/>
      <c r="K16" s="2615"/>
      <c r="L16" s="2451"/>
      <c r="M16" s="2451"/>
      <c r="N16" s="2507"/>
      <c r="O16" s="2451"/>
      <c r="P16" s="2507"/>
      <c r="Q16" s="2439"/>
      <c r="R16" s="2439"/>
    </row>
    <row r="17" spans="1:28">
      <c r="A17" s="313" t="s">
        <v>2195</v>
      </c>
      <c r="B17" s="302" t="s">
        <v>2196</v>
      </c>
      <c r="C17" s="8">
        <f>'数据-汇总表'!E3</f>
        <v>481.7</v>
      </c>
      <c r="D17" s="2322" t="s">
        <v>2197</v>
      </c>
      <c r="E17" s="3522" t="s">
        <v>2198</v>
      </c>
      <c r="F17" s="3523"/>
      <c r="G17" s="3523"/>
      <c r="H17" s="3523"/>
      <c r="I17" s="3524"/>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2" t="s">
        <v>2206</v>
      </c>
      <c r="C20" s="3513"/>
      <c r="D20" s="3514" t="s">
        <v>2207</v>
      </c>
      <c r="E20" s="3515"/>
      <c r="F20" s="2645" t="s">
        <v>1056</v>
      </c>
      <c r="G20" s="2662"/>
      <c r="H20" s="2662"/>
      <c r="I20" s="2662"/>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9"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9"/>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9"/>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0"/>
      <c r="B30" s="302" t="s">
        <v>2218</v>
      </c>
      <c r="C30" s="3531"/>
      <c r="D30" s="3532"/>
      <c r="E30" s="2662"/>
      <c r="F30" s="2662"/>
      <c r="G30" s="2662"/>
      <c r="H30" s="2662"/>
      <c r="I30" s="2662"/>
      <c r="J30" s="2439"/>
      <c r="K30" s="2614"/>
      <c r="L30" s="2611"/>
      <c r="M30" s="2611"/>
      <c r="N30" s="2439"/>
      <c r="O30" s="2450"/>
      <c r="P30" s="2439"/>
      <c r="Q30" s="2439"/>
      <c r="R30" s="2439"/>
      <c r="S30" s="2439"/>
      <c r="T30" s="2439"/>
      <c r="U30" s="2439"/>
      <c r="V30" s="2439"/>
    </row>
    <row r="31" spans="1:28">
      <c r="A31" s="3533"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926.33999999999992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926.33999999999992</v>
      </c>
      <c r="H5" s="13">
        <f t="shared" ref="H5:AT5" si="0">SUM(H13:H656)</f>
        <v>926.33999999999992</v>
      </c>
      <c r="I5" s="13">
        <f t="shared" si="0"/>
        <v>926.33999999999992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481.7</v>
      </c>
      <c r="BA5" s="15">
        <f t="shared" si="1"/>
        <v>481.7</v>
      </c>
      <c r="BB5" s="15">
        <f t="shared" si="1"/>
        <v>481.7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1101</v>
      </c>
      <c r="D13" s="1625" t="s">
        <v>3388</v>
      </c>
      <c r="E13" s="13">
        <f>IF($C$3="是",ROUND($A$3*G13/$B$3,2),ROUND($A$3*(G13-AT13)/$B$3,2))</f>
        <v>0</v>
      </c>
      <c r="F13" s="29"/>
      <c r="G13" s="30">
        <f>H13+AC13+AT13</f>
        <v>296</v>
      </c>
      <c r="H13" s="17">
        <f>SUMIF(I$12:AB$12,"总值",I13:AB13)</f>
        <v>296</v>
      </c>
      <c r="I13" s="1626">
        <v>296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1105</v>
      </c>
      <c r="D14" s="1625" t="s">
        <v>3388</v>
      </c>
      <c r="E14" s="13">
        <f>IF($C$3="是",ROUND($A$3*G14/$B$3,2),ROUND($A$3*(G14-AT14)/$B$3,2))</f>
        <v>0</v>
      </c>
      <c r="F14" s="29"/>
      <c r="G14" s="30">
        <f>H14+AC14+AT14</f>
        <v>148.63999999999999</v>
      </c>
      <c r="H14" s="17">
        <f>SUMIF(I$12:AB$12,"总值",I14:AB14)</f>
        <v>148.63999999999999</v>
      </c>
      <c r="I14" s="1626">
        <v>148.63999999999999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1105</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1106</v>
      </c>
      <c r="D15" s="1625" t="s">
        <v>3381</v>
      </c>
      <c r="E15" s="13">
        <f>IF($C$3="是",ROUND($A$3*G15/$B$3,2),ROUND($A$3*(G15-AT15)/$B$3,2))</f>
        <v>0</v>
      </c>
      <c r="F15" s="29"/>
      <c r="G15" s="30">
        <f>H15+AC15+AT15</f>
        <v>481.7</v>
      </c>
      <c r="H15" s="17">
        <f>SUMIF(I$12:AB$12,"总值",I15:AB15)</f>
        <v>481.7</v>
      </c>
      <c r="I15" s="1626">
        <v>481.7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1106</v>
      </c>
      <c r="AY15" s="1349">
        <f>ROUND($AY$6*AZ15/$AZ$5,2)</f>
        <v>0</v>
      </c>
      <c r="AZ15" s="13">
        <f>BA15+BL15</f>
        <v>481.7</v>
      </c>
      <c r="BA15" s="13">
        <f>SUM(BB15:BK15)</f>
        <v>481.7</v>
      </c>
      <c r="BB15" s="13">
        <f>IF($D15="是",I15-J15,0)</f>
        <v>481.7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7"/>
      <c r="G2" s="2648"/>
      <c r="H2" s="2649"/>
      <c r="I2" s="2325" t="s">
        <v>1132</v>
      </c>
      <c r="J2" s="2657"/>
      <c r="K2" s="2657"/>
      <c r="L2" s="2657"/>
      <c r="M2" s="2657"/>
      <c r="N2" s="2659"/>
      <c r="O2" s="2657"/>
      <c r="P2" s="2657"/>
    </row>
    <row r="3" spans="1:16" ht="15.75" thickBot="1">
      <c r="A3" s="3546" t="s">
        <v>1105</v>
      </c>
      <c r="B3" s="3546"/>
      <c r="C3" s="3546"/>
      <c r="D3" s="43">
        <f>'数据-基础表'!AY6</f>
        <v>0</v>
      </c>
      <c r="E3" s="43">
        <f>'数据-基础表'!AZ5</f>
        <v>481.7</v>
      </c>
      <c r="F3" s="2657"/>
      <c r="G3" s="1145"/>
      <c r="H3" s="1026" t="s">
        <v>1106</v>
      </c>
      <c r="I3" s="855" t="e">
        <f>ROUND('数据-基础表'!B3/'数据-基础表'!A3,2)</f>
        <v>#DIV/0!</v>
      </c>
      <c r="J3" s="2657"/>
      <c r="K3" s="2657"/>
      <c r="L3" s="2657"/>
      <c r="M3" s="2657"/>
      <c r="N3" s="2659"/>
      <c r="O3" s="2657"/>
      <c r="P3" s="2657"/>
    </row>
    <row r="4" spans="1:16" ht="15">
      <c r="A4" s="3547"/>
      <c r="B4" s="3548"/>
      <c r="C4" s="354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0" t="s">
        <v>1110</v>
      </c>
      <c r="C5" s="355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0" t="s">
        <v>1111</v>
      </c>
      <c r="C6" s="3550"/>
      <c r="D6" s="45">
        <f>ROUND($D$3*E6/$E$3,2)</f>
        <v>0</v>
      </c>
      <c r="E6" s="46">
        <f>E3-E5</f>
        <v>481.7</v>
      </c>
      <c r="F6" s="2657"/>
      <c r="G6" s="2651" t="s">
        <v>1112</v>
      </c>
      <c r="H6" s="1146" t="s">
        <v>1113</v>
      </c>
      <c r="I6" s="2652" t="e">
        <f>ROUND(F31/D31,2)</f>
        <v>#DIV/0!</v>
      </c>
      <c r="J6" s="2657"/>
      <c r="K6" s="2657"/>
      <c r="L6" s="2657"/>
      <c r="M6" s="2657"/>
      <c r="N6" s="2657"/>
      <c r="O6" s="2657"/>
      <c r="P6" s="2657"/>
    </row>
    <row r="7" spans="1:16" ht="15.75" thickBot="1">
      <c r="A7" s="3542"/>
      <c r="B7" s="3543"/>
      <c r="C7" s="354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481.7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481.7</v>
      </c>
      <c r="F16" s="2657"/>
      <c r="G16" s="2658"/>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3382</v>
      </c>
      <c r="D19" s="45">
        <f>ROUND($D$3*E19/$E$3,2)</f>
        <v>0</v>
      </c>
      <c r="E19" s="53">
        <f t="shared" ref="E19:E26" si="1">SUM(F19:G19)</f>
        <v>481.7</v>
      </c>
      <c r="F19" s="2793">
        <f>'数据-基础表'!AZ5</f>
        <v>481.7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481.7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481.7</v>
      </c>
      <c r="F27" s="1140">
        <f>IF(SUM(F19:F26)=E8,SUM(F19:F26),"地上面积有误")</f>
        <v>481.7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481.7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481.7</v>
      </c>
      <c r="F31" s="677">
        <f>F27+F30</f>
        <v>481.7</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39" sqref="F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40</v>
      </c>
      <c r="E6" s="857">
        <f>IF(B6="","",SUMIF(项目基本情况!C$12:I$12,C6,项目基本情况!C$13:I$13))</f>
        <v>54763</v>
      </c>
      <c r="F6" s="64">
        <f>SUMIF(项目基本情况!C$12:I$12,C6,项目基本情况!C$15:I$15)</f>
        <v>26.06</v>
      </c>
      <c r="G6" s="65">
        <f>IF(ISERROR(ROUND(POWER(1+H6,D6-F6)*(POWER(1+H6,F6)-1)/(POWER(1+H6,D6)-1),3)),0,ROUND(POWER(1+H6,D6-F6)*(POWER(1+H6,F6)-1)/(POWER(1+H6,D6)-1),3))</f>
        <v>0.83899999999999997</v>
      </c>
      <c r="H6" s="732">
        <v>0.05</v>
      </c>
      <c r="I6" s="732">
        <v>5.5E-2</v>
      </c>
      <c r="J6" s="66">
        <v>7.0000000000000007E-2</v>
      </c>
      <c r="K6" s="1030">
        <f>SUMIF('数据-汇总表'!C$19:C$33,A6,'数据-汇总表'!E$19:E$33)</f>
        <v>481.7</v>
      </c>
      <c r="L6" s="733">
        <v>4800</v>
      </c>
      <c r="M6" s="67">
        <f t="shared" ref="M6:M14" si="0">ROUND(K6*L6/10000,0)</f>
        <v>231</v>
      </c>
      <c r="N6" s="731">
        <f>ROUND(1-(2023-2013)/60,2)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5">
        <v>4.3</v>
      </c>
      <c r="V6" s="70">
        <v>2.5000000000000001E-2</v>
      </c>
      <c r="W6" s="70">
        <v>0.1</v>
      </c>
      <c r="X6" s="1040"/>
      <c r="Y6" s="71">
        <f>N6</f>
        <v>0.83</v>
      </c>
      <c r="Z6" s="72"/>
      <c r="AA6" s="66"/>
      <c r="AB6" s="66"/>
      <c r="AC6" s="1040"/>
      <c r="AD6" s="73"/>
      <c r="AE6" s="1041">
        <f ca="1">IF(AN6="",0,SUMIF(INDIRECT("'"&amp;AN6&amp;"'"&amp;"!E:E"),$AE$5,INDIRECT("'"&amp;AN6&amp;"'"&amp;"!F:F")))</f>
        <v>26.06</v>
      </c>
      <c r="AF6" s="1348"/>
      <c r="AG6" s="138">
        <f>IF(AF6="",0,AE6-AF6)</f>
        <v>0</v>
      </c>
      <c r="AH6" s="74"/>
      <c r="AI6" s="76">
        <v>365</v>
      </c>
      <c r="AJ6" s="77"/>
      <c r="AK6" s="78">
        <v>5.0000000000000001E-3</v>
      </c>
      <c r="AL6" s="79">
        <v>1E-3</v>
      </c>
      <c r="AM6" s="80">
        <v>5.0000000000000001E-3</v>
      </c>
      <c r="AN6" s="1715" t="s">
        <v>3384</v>
      </c>
      <c r="AO6" s="52">
        <f ca="1">SUMIF(INDIRECT("'"&amp;AN6&amp;"'"&amp;"!A:A"),"总价",INDIRECT("'"&amp;AN6&amp;"'"&amp;"!B:B"))</f>
        <v>979.41600000000005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481.7</v>
      </c>
      <c r="L16" s="93">
        <f>ROUND(M16*10000/SUM(K6:K14),0)</f>
        <v>4796</v>
      </c>
      <c r="M16" s="93">
        <f>SUM(M6:M14)</f>
        <v>231</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f ca="1">结果表!G20</f>
        <v>29456</v>
      </c>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303</v>
      </c>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f>C58</f>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1" t="s">
        <v>2282</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9" t="s">
        <v>3421</v>
      </c>
      <c r="D3" s="2464"/>
      <c r="E3" s="2442" t="s">
        <v>2280</v>
      </c>
      <c r="F3" s="2465" t="s">
        <v>2253</v>
      </c>
      <c r="G3" s="2466" t="s">
        <v>2281</v>
      </c>
      <c r="H3" s="799"/>
      <c r="I3" s="799"/>
      <c r="J3" s="799"/>
      <c r="K3" s="799"/>
      <c r="L3" s="799"/>
      <c r="M3" s="799"/>
      <c r="N3" s="799"/>
      <c r="O3" s="799"/>
      <c r="P3" s="799"/>
      <c r="Q3" s="799"/>
      <c r="R3" s="799"/>
    </row>
    <row r="4" spans="1:29" ht="36">
      <c r="A4" s="2442"/>
      <c r="B4" s="323" t="s">
        <v>2254</v>
      </c>
      <c r="C4" s="3460" t="s">
        <v>3422</v>
      </c>
      <c r="D4" s="2464"/>
      <c r="E4" s="2467"/>
      <c r="F4" s="1373" t="s">
        <v>2255</v>
      </c>
      <c r="G4" s="2468" t="s">
        <v>2256</v>
      </c>
      <c r="H4" s="799"/>
      <c r="I4" s="799"/>
      <c r="J4" s="799"/>
      <c r="K4" s="799"/>
      <c r="L4" s="799"/>
      <c r="M4" s="799"/>
      <c r="N4" s="799"/>
      <c r="O4" s="799"/>
      <c r="P4" s="799"/>
      <c r="Q4" s="799"/>
      <c r="R4" s="799"/>
    </row>
    <row r="5" spans="1:29" ht="24">
      <c r="A5" s="2442"/>
      <c r="B5" s="323" t="s">
        <v>2257</v>
      </c>
      <c r="C5" s="3460" t="s">
        <v>3423</v>
      </c>
      <c r="D5" s="2464"/>
      <c r="E5" s="2467"/>
      <c r="F5" s="323" t="s">
        <v>2258</v>
      </c>
      <c r="G5" s="2468" t="s">
        <v>2259</v>
      </c>
      <c r="H5" s="799"/>
      <c r="I5" s="799"/>
      <c r="J5" s="799"/>
      <c r="K5" s="799"/>
      <c r="L5" s="799"/>
      <c r="M5" s="799"/>
      <c r="N5" s="799"/>
      <c r="O5" s="799"/>
      <c r="P5" s="799"/>
      <c r="Q5" s="799"/>
      <c r="R5" s="799"/>
    </row>
    <row r="6" spans="1:29">
      <c r="A6" s="2442"/>
      <c r="B6" s="323" t="s">
        <v>2260</v>
      </c>
      <c r="C6" s="3461" t="s">
        <v>3424</v>
      </c>
      <c r="D6" s="2464"/>
      <c r="E6" s="2467"/>
      <c r="F6" s="323" t="s">
        <v>2261</v>
      </c>
      <c r="G6" s="2468" t="s">
        <v>2262</v>
      </c>
      <c r="H6" s="799"/>
      <c r="I6" s="799"/>
      <c r="J6" s="799"/>
      <c r="K6" s="799"/>
      <c r="L6" s="799"/>
      <c r="M6" s="799"/>
      <c r="N6" s="799"/>
      <c r="O6" s="799"/>
      <c r="P6" s="799"/>
      <c r="Q6" s="799"/>
      <c r="R6" s="799"/>
    </row>
    <row r="7" spans="1:29" ht="24.75" thickBot="1">
      <c r="A7" s="2442"/>
      <c r="B7" s="323" t="s">
        <v>2258</v>
      </c>
      <c r="C7" s="3461" t="s">
        <v>3424</v>
      </c>
      <c r="D7" s="2469"/>
      <c r="E7" s="2470"/>
      <c r="F7" s="2471" t="s">
        <v>2263</v>
      </c>
      <c r="G7" s="2472" t="s">
        <v>2264</v>
      </c>
      <c r="H7" s="799"/>
      <c r="I7" s="799"/>
      <c r="J7" s="799"/>
      <c r="K7" s="799"/>
      <c r="L7" s="799"/>
      <c r="M7" s="799"/>
      <c r="N7" s="799"/>
      <c r="O7" s="799"/>
      <c r="P7" s="799"/>
      <c r="Q7" s="799"/>
      <c r="R7" s="799"/>
    </row>
    <row r="8" spans="1:29">
      <c r="A8" s="2442"/>
      <c r="B8" s="323" t="s">
        <v>2261</v>
      </c>
      <c r="C8" s="3461" t="s">
        <v>3425</v>
      </c>
      <c r="D8" s="2469"/>
      <c r="E8" s="2469"/>
      <c r="F8" s="2473"/>
      <c r="G8" s="2473"/>
      <c r="H8" s="799"/>
      <c r="I8" s="799"/>
      <c r="J8" s="799"/>
      <c r="K8" s="799"/>
      <c r="L8" s="799"/>
      <c r="M8" s="799"/>
      <c r="N8" s="799"/>
      <c r="O8" s="799"/>
      <c r="P8" s="799"/>
      <c r="Q8" s="799"/>
      <c r="R8" s="799"/>
    </row>
    <row r="9" spans="1:29">
      <c r="A9" s="2442"/>
      <c r="B9" s="323" t="s">
        <v>2265</v>
      </c>
      <c r="C9" s="3460" t="s">
        <v>3424</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一般</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481.7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45251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1419</v>
      </c>
      <c r="C5" s="2510">
        <f ca="1">IF(B5=D14,结果表!H102,ROUND(B5*10000/$B$1,0))</f>
        <v>29456</v>
      </c>
      <c r="D5" s="2510" t="e">
        <f ca="1">ROUND(B5*10000/$B$2,0)</f>
        <v>#DIV/0!</v>
      </c>
      <c r="E5" s="2684"/>
      <c r="F5" s="2685"/>
      <c r="G5" s="2685"/>
      <c r="H5" s="2686"/>
      <c r="I5" s="2686"/>
      <c r="J5" s="2686"/>
      <c r="K5" s="2686"/>
    </row>
    <row r="6" spans="1:11" ht="16.5">
      <c r="A6" s="2510" t="s">
        <v>656</v>
      </c>
      <c r="B6" s="2510">
        <f>SUM(G14:G23)</f>
        <v>0</v>
      </c>
      <c r="C6" s="2510">
        <f ca="1">IF(B6=G14,结果表!H108,ROUND(B6*10000/$B$1,0))</f>
        <v>29456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481.7</v>
      </c>
      <c r="C14" s="2516"/>
      <c r="D14" s="2516">
        <f ca="1">结果表!H118</f>
        <v>1419</v>
      </c>
      <c r="E14" s="2516">
        <f ca="1">ROUND(D14*10000/B14,0)</f>
        <v>29458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85" zoomScaleNormal="100" zoomScaleSheetLayoutView="85" zoomScalePageLayoutView="80" workbookViewId="0">
      <selection activeCell="H118" sqref="H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3392</v>
      </c>
      <c r="D4" s="1756" t="s">
        <v>3384</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7</v>
      </c>
      <c r="D14" s="3614">
        <v>3</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5" t="s">
        <v>2131</v>
      </c>
      <c r="F18" s="3646"/>
      <c r="G18" s="3646"/>
      <c r="H18" s="3646"/>
      <c r="I18" s="3646"/>
      <c r="K18" s="302" t="s">
        <v>1289</v>
      </c>
      <c r="L18" s="302">
        <f>IF(C1="",'数据-汇总表'!E3,SUMIF(项目类型,C1,'数据-汇总表'!E17:E26)+SUMIF(项目类型,C1,'数据-汇总表'!I17:I26))</f>
        <v>481.7</v>
      </c>
      <c r="M18" s="302">
        <f>IF(C1="",'数据-汇总表'!E3,SUMIF(项目类型,C1,'数据-汇总表'!E17:E26))</f>
        <v>481.7</v>
      </c>
    </row>
    <row r="19" spans="1:36" ht="15">
      <c r="A19" s="1761" t="s">
        <v>1290</v>
      </c>
      <c r="B19" s="1762" t="s">
        <v>1291</v>
      </c>
      <c r="C19" s="134">
        <f ca="1">SUMIF(INDIRECT("'"&amp;C4&amp;"'"&amp;"!A:A"),结果表!B19,INDIRECT("'"&amp;C4&amp;"'"&amp;"!B:B"))</f>
        <v>1607.2402</v>
      </c>
      <c r="D19" s="135">
        <f ca="1">SUMIF(INDIRECT("'"&amp;D4&amp;"'"&amp;"!A:A"),结果表!B19,INDIRECT("'"&amp;D4&amp;"'"&amp;"!B:B"))</f>
        <v>979.41600000000005</v>
      </c>
      <c r="E19" s="1761" t="s">
        <v>1292</v>
      </c>
      <c r="F19" s="1762" t="s">
        <v>1291</v>
      </c>
      <c r="G19" s="136">
        <f ca="1">ROUND(C19*$C$18+D19*$D$18,0)</f>
        <v>1419</v>
      </c>
      <c r="H19" s="1763" t="s">
        <v>1293</v>
      </c>
      <c r="I19" s="129"/>
      <c r="J19" s="3454" t="s">
        <v>3420</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33366</v>
      </c>
      <c r="D20" s="138">
        <f ca="1">SUMIF(INDIRECT("'"&amp;D4&amp;"'"&amp;"!A:A"),结果表!B20,INDIRECT("'"&amp;D4&amp;"'"&amp;"!B:B"))</f>
        <v>20332</v>
      </c>
      <c r="E20" s="1764"/>
      <c r="F20" s="1026" t="s">
        <v>1295</v>
      </c>
      <c r="G20" s="139">
        <f ca="1">ROUND(C20*$C$18+D20*$D$18,0)</f>
        <v>29456</v>
      </c>
      <c r="H20" s="808" t="s">
        <v>1296</v>
      </c>
      <c r="I20" s="129"/>
      <c r="J20" s="725">
        <v>29456</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0.64101893373193808</v>
      </c>
      <c r="E22" s="129"/>
      <c r="F22" s="129"/>
      <c r="G22" s="129"/>
      <c r="H22" s="129"/>
      <c r="I22" s="129"/>
      <c r="N22" s="3454" t="s">
        <v>3414</v>
      </c>
    </row>
    <row r="23" spans="1:36" ht="13.5" thickBot="1">
      <c r="A23" s="1747"/>
      <c r="B23" s="1747"/>
      <c r="C23" s="1747"/>
      <c r="D23" s="1747"/>
      <c r="E23" s="129"/>
      <c r="F23" s="129"/>
      <c r="G23" s="129"/>
      <c r="H23" s="129"/>
      <c r="I23" s="129"/>
      <c r="K23" s="725">
        <f>'数据-基础表'!C13</f>
        <v>1101</v>
      </c>
      <c r="L23" s="725">
        <f>'数据-基础表'!I13</f>
        <v>296</v>
      </c>
      <c r="M23" s="725">
        <f ca="1">ROUND(L23*$G$20/10000,0)</f>
        <v>872</v>
      </c>
      <c r="N23" s="725">
        <v>834</v>
      </c>
    </row>
    <row r="24" spans="1:36" ht="14.25">
      <c r="A24" s="3638" t="s">
        <v>1299</v>
      </c>
      <c r="B24" s="1762" t="s">
        <v>1291</v>
      </c>
      <c r="C24" s="136">
        <f>IF(B30=0,0,D30)</f>
        <v>0</v>
      </c>
      <c r="D24" s="1769"/>
      <c r="E24" s="129"/>
      <c r="F24" s="129"/>
      <c r="G24" s="129"/>
      <c r="H24" s="129"/>
      <c r="I24" s="129"/>
      <c r="K24" s="725">
        <f>'数据-基础表'!C14</f>
        <v>1105</v>
      </c>
      <c r="L24" s="725">
        <f>'数据-基础表'!I14</f>
        <v>148.63999999999999</v>
      </c>
      <c r="M24" s="725">
        <f ca="1">ROUND(L24*$G$20/10000,0)</f>
        <v>438</v>
      </c>
      <c r="N24" s="725">
        <v>419</v>
      </c>
    </row>
    <row r="25" spans="1:36" ht="14.25">
      <c r="A25" s="3639"/>
      <c r="B25" s="1026" t="s">
        <v>1295</v>
      </c>
      <c r="C25" s="141">
        <f>IF(B30=0,0,C30)</f>
        <v>0</v>
      </c>
      <c r="D25" s="1770"/>
      <c r="E25" s="129"/>
      <c r="F25" s="129"/>
      <c r="G25" s="129"/>
      <c r="H25" s="129"/>
      <c r="I25" s="129"/>
      <c r="K25" s="725">
        <f>'数据-基础表'!C15</f>
        <v>1106</v>
      </c>
      <c r="L25" s="725">
        <f>'数据-基础表'!I15</f>
        <v>481.7</v>
      </c>
      <c r="M25" s="725">
        <f ca="1">ROUND(L25*$G$20/10000,0)</f>
        <v>1419</v>
      </c>
      <c r="N25" s="725">
        <v>1357</v>
      </c>
    </row>
    <row r="26" spans="1:36" ht="13.5" customHeight="1">
      <c r="A26" s="1771" t="s">
        <v>1300</v>
      </c>
      <c r="B26" s="142" t="s">
        <v>1301</v>
      </c>
      <c r="C26" s="142" t="s">
        <v>1302</v>
      </c>
      <c r="D26" s="143" t="s">
        <v>1303</v>
      </c>
      <c r="E26" s="129"/>
      <c r="F26" s="129"/>
      <c r="G26" s="129"/>
      <c r="H26" s="129"/>
      <c r="I26" s="129"/>
      <c r="M26" s="725">
        <f ca="1">SUM(M23:M25)</f>
        <v>2729</v>
      </c>
      <c r="N26" s="725">
        <f>SUM(N23:N25)</f>
        <v>2610</v>
      </c>
      <c r="O26" s="725">
        <f ca="1">M26-N26</f>
        <v>119</v>
      </c>
    </row>
    <row r="27" spans="1:36" ht="14.25">
      <c r="A27" s="1771"/>
      <c r="B27" s="142">
        <v>0</v>
      </c>
      <c r="C27" s="142">
        <v>0</v>
      </c>
      <c r="D27" s="143">
        <f>ROUND(C27*B27/10000,0)</f>
        <v>0</v>
      </c>
      <c r="E27" s="129"/>
      <c r="F27" s="129"/>
      <c r="G27" s="129"/>
      <c r="H27" s="129"/>
      <c r="I27" s="129"/>
      <c r="M27" s="725">
        <v>80</v>
      </c>
      <c r="N27" s="3456">
        <f>N26*10000/L18</f>
        <v>54183.101515466056</v>
      </c>
      <c r="O27" s="725">
        <f ca="1">O26+[2]结果表!$J$21</f>
        <v>132</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29456</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5" t="s">
        <v>1326</v>
      </c>
      <c r="B45" s="3636"/>
      <c r="C45" s="3637"/>
      <c r="D45" s="155">
        <f ca="1">ROUND(H101*F45,0)</f>
        <v>1419</v>
      </c>
      <c r="E45" s="156" t="s">
        <v>1327</v>
      </c>
      <c r="F45" s="157">
        <v>1</v>
      </c>
      <c r="G45" s="158" t="s">
        <v>1328</v>
      </c>
      <c r="H45" s="129"/>
      <c r="I45" s="129"/>
      <c r="J45" s="3555" t="s">
        <v>1329</v>
      </c>
      <c r="K45" s="3555"/>
      <c r="L45" s="3555"/>
      <c r="M45" s="3555"/>
      <c r="N45" s="3555"/>
      <c r="O45" s="3555"/>
    </row>
    <row r="46" spans="1:15" ht="14.25" hidden="1" customHeight="1">
      <c r="A46" s="3632" t="s">
        <v>1330</v>
      </c>
      <c r="B46" s="3633"/>
      <c r="C46" s="3633"/>
      <c r="D46" s="3633"/>
      <c r="E46" s="3633"/>
      <c r="F46" s="3633"/>
      <c r="G46" s="3634"/>
      <c r="H46" s="1806"/>
      <c r="I46" s="159"/>
      <c r="J46" s="2521">
        <v>1</v>
      </c>
      <c r="K46" s="3556" t="s">
        <v>1331</v>
      </c>
      <c r="L46" s="3556"/>
      <c r="M46" s="3557"/>
      <c r="N46" s="3557"/>
      <c r="O46" s="3557"/>
    </row>
    <row r="47" spans="1:15" ht="12" hidden="1" customHeight="1">
      <c r="A47" s="160" t="s">
        <v>1332</v>
      </c>
      <c r="B47" s="161"/>
      <c r="C47" s="162"/>
      <c r="D47" s="1087" t="s">
        <v>1333</v>
      </c>
      <c r="E47" s="302" t="s">
        <v>1334</v>
      </c>
      <c r="F47" s="163" t="s">
        <v>1335</v>
      </c>
      <c r="G47" s="2544" t="s">
        <v>1336</v>
      </c>
      <c r="H47" s="2545"/>
      <c r="I47" s="159"/>
      <c r="J47" s="2521">
        <v>2</v>
      </c>
      <c r="K47" s="3556" t="s">
        <v>1337</v>
      </c>
      <c r="L47" s="3556"/>
      <c r="M47" s="3558">
        <f>'数据-取费表'!B2</f>
        <v>45251</v>
      </c>
      <c r="N47" s="3558"/>
      <c r="O47" s="3558"/>
    </row>
    <row r="48" spans="1:15" ht="25.5" hidden="1">
      <c r="A48" s="3618" t="s">
        <v>1338</v>
      </c>
      <c r="B48" s="3619"/>
      <c r="C48" s="361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6" t="s">
        <v>1340</v>
      </c>
      <c r="L48" s="3556"/>
      <c r="M48" s="3559">
        <f ca="1">H101</f>
        <v>1419</v>
      </c>
      <c r="N48" s="3559"/>
      <c r="O48" s="3559"/>
    </row>
    <row r="49" spans="1:35" ht="25.5" hidden="1" customHeight="1">
      <c r="A49" s="2333" t="s">
        <v>1341</v>
      </c>
      <c r="B49" s="3604" t="s">
        <v>1342</v>
      </c>
      <c r="C49" s="3604"/>
      <c r="D49" s="1590">
        <v>0</v>
      </c>
      <c r="E49" s="324" t="s">
        <v>1343</v>
      </c>
      <c r="F49" s="2424" t="s">
        <v>28</v>
      </c>
      <c r="G49" s="3587"/>
      <c r="H49" s="2310" t="s">
        <v>2134</v>
      </c>
      <c r="I49" s="2311"/>
      <c r="J49" s="2521">
        <v>4</v>
      </c>
      <c r="K49" s="3556" t="str">
        <f>IF(项目基本情况!E8="房地产抵押价值","房地产抵押价值","抵押担保权已注销时的房地产抵押价值")</f>
        <v>房地产抵押价值</v>
      </c>
      <c r="L49" s="3556"/>
      <c r="M49" s="3559">
        <f ca="1">IF(项目基本情况!E8="房地产抵押价值",H107,H109)</f>
        <v>1419</v>
      </c>
      <c r="N49" s="3559"/>
      <c r="O49" s="3559"/>
    </row>
    <row r="50" spans="1:35" ht="25.5" hidden="1" customHeight="1">
      <c r="A50" s="2549"/>
      <c r="B50" s="3604" t="s">
        <v>1344</v>
      </c>
      <c r="C50" s="3604"/>
      <c r="D50" s="2550"/>
      <c r="E50" s="332"/>
      <c r="F50" s="2424"/>
      <c r="G50" s="3588"/>
      <c r="H50" s="2312" t="s">
        <v>2135</v>
      </c>
      <c r="I50" s="2311"/>
      <c r="J50" s="3555" t="s">
        <v>1345</v>
      </c>
      <c r="K50" s="3555"/>
      <c r="L50" s="3555"/>
      <c r="M50" s="3555"/>
      <c r="N50" s="3555"/>
      <c r="O50" s="3555"/>
    </row>
    <row r="51" spans="1:35" ht="20.45" hidden="1" customHeight="1">
      <c r="A51" s="2551"/>
      <c r="B51" s="3604" t="s">
        <v>1346</v>
      </c>
      <c r="C51" s="3604"/>
      <c r="D51" s="1087"/>
      <c r="E51" s="327"/>
      <c r="F51" s="2424"/>
      <c r="G51" s="3589"/>
      <c r="H51" s="2312" t="s">
        <v>2136</v>
      </c>
      <c r="I51" s="2311"/>
      <c r="J51" s="2522" t="s">
        <v>1347</v>
      </c>
      <c r="K51" s="3556" t="s">
        <v>1348</v>
      </c>
      <c r="L51" s="3556"/>
      <c r="M51" s="2522" t="s">
        <v>1349</v>
      </c>
      <c r="N51" s="2522" t="s">
        <v>1350</v>
      </c>
      <c r="O51" s="2522" t="s">
        <v>1351</v>
      </c>
    </row>
    <row r="52" spans="1:35" ht="24" hidden="1" customHeight="1">
      <c r="A52" s="2335" t="s">
        <v>1352</v>
      </c>
      <c r="B52" s="3604" t="s">
        <v>1353</v>
      </c>
      <c r="C52" s="3604"/>
      <c r="D52" s="1087">
        <f ca="1">ROUND(D45*'数据-取费表'!B41/(1+'数据-取费表'!C42),0)</f>
        <v>76</v>
      </c>
      <c r="E52" s="2334" t="s">
        <v>1354</v>
      </c>
      <c r="F52" s="2552">
        <f>'数据-取费表'!B41</f>
        <v>5.6000000000000001E-2</v>
      </c>
      <c r="G52" s="2553"/>
      <c r="H52" s="2542"/>
      <c r="I52" s="1807"/>
      <c r="J52" s="2521">
        <v>1</v>
      </c>
      <c r="K52" s="3581" t="s">
        <v>1355</v>
      </c>
      <c r="L52" s="3581"/>
      <c r="M52" s="2523" t="b">
        <f>D48</f>
        <v>0</v>
      </c>
      <c r="N52" s="2521" t="str">
        <f>E48</f>
        <v>销售额×税（费）率</v>
      </c>
      <c r="O52" s="2524">
        <f>F48</f>
        <v>5.6000000000000001E-2</v>
      </c>
    </row>
    <row r="53" spans="1:35" ht="12" hidden="1" customHeight="1">
      <c r="A53" s="2335" t="s">
        <v>1356</v>
      </c>
      <c r="B53" s="3605" t="s">
        <v>2287</v>
      </c>
      <c r="C53" s="3606"/>
      <c r="D53" s="1087">
        <f ca="1">ROUND(D45*'数据-取费表'!B41/(1+'数据-取费表'!C42),0)</f>
        <v>76</v>
      </c>
      <c r="E53" s="2334" t="s">
        <v>1354</v>
      </c>
      <c r="F53" s="2552">
        <f>'数据-取费表'!B41</f>
        <v>5.6000000000000001E-2</v>
      </c>
      <c r="G53" s="2553"/>
      <c r="H53" s="2542"/>
      <c r="I53" s="1807"/>
      <c r="J53" s="2521">
        <v>2</v>
      </c>
      <c r="K53" s="3581" t="s">
        <v>1357</v>
      </c>
      <c r="L53" s="3581"/>
      <c r="M53" s="2523">
        <f t="shared" ref="M53:O54" ca="1" si="0">D55</f>
        <v>1</v>
      </c>
      <c r="N53" s="2521" t="str">
        <f t="shared" si="0"/>
        <v>销售额×税（费）率</v>
      </c>
      <c r="O53" s="2524" t="str">
        <f t="shared" si="0"/>
        <v>免征</v>
      </c>
    </row>
    <row r="54" spans="1:35" ht="12" hidden="1" customHeight="1">
      <c r="A54" s="2335" t="s">
        <v>1358</v>
      </c>
      <c r="B54" s="3605" t="s">
        <v>2288</v>
      </c>
      <c r="C54" s="3606"/>
      <c r="D54" s="1087">
        <f ca="1">C68</f>
        <v>76</v>
      </c>
      <c r="E54" s="327" t="s">
        <v>1359</v>
      </c>
      <c r="F54" s="2552">
        <f>'数据-取费表'!B41</f>
        <v>5.6000000000000001E-2</v>
      </c>
      <c r="G54" s="2553"/>
      <c r="H54" s="2554"/>
      <c r="I54" s="1807"/>
      <c r="J54" s="2521">
        <v>3</v>
      </c>
      <c r="K54" s="3581" t="s">
        <v>1360</v>
      </c>
      <c r="L54" s="3581"/>
      <c r="M54" s="2523">
        <f t="shared" ca="1" si="0"/>
        <v>803</v>
      </c>
      <c r="N54" s="2521" t="str">
        <f t="shared" si="0"/>
        <v>增值额×税（费）率</v>
      </c>
      <c r="O54" s="2525" t="str">
        <f t="shared" si="0"/>
        <v>免征</v>
      </c>
    </row>
    <row r="55" spans="1:35" ht="24" hidden="1" customHeight="1">
      <c r="A55" s="3641" t="s">
        <v>1361</v>
      </c>
      <c r="B55" s="3619"/>
      <c r="C55" s="3619"/>
      <c r="D55" s="2324">
        <f ca="1">IF(H55="个人住宅",0,ROUND(D45*I55,0))</f>
        <v>1</v>
      </c>
      <c r="E55" s="2334" t="s">
        <v>1362</v>
      </c>
      <c r="F55" s="2552" t="str">
        <f>IF(H55="正常",I55,"免征")</f>
        <v>免征</v>
      </c>
      <c r="G55" s="2553"/>
      <c r="H55" s="2548"/>
      <c r="I55" s="165">
        <f>'数据-取费表'!B49</f>
        <v>5.0000000000000001E-4</v>
      </c>
      <c r="J55" s="2521">
        <f>IF(H59="非个人房产","",4)</f>
        <v>4</v>
      </c>
      <c r="K55" s="3581" t="str">
        <f>IF(H59="非个人房产","——","个人所得税")</f>
        <v>个人所得税</v>
      </c>
      <c r="L55" s="3581"/>
      <c r="M55" s="2526">
        <f ca="1">D59</f>
        <v>14</v>
      </c>
      <c r="N55" s="2040" t="str">
        <f>E59</f>
        <v>差额计税</v>
      </c>
      <c r="O55" s="2527">
        <f>F59</f>
        <v>0.01</v>
      </c>
    </row>
    <row r="56" spans="1:35" ht="24.75" hidden="1">
      <c r="A56" s="3641" t="s">
        <v>1363</v>
      </c>
      <c r="B56" s="3619"/>
      <c r="C56" s="3619"/>
      <c r="D56" s="2324">
        <f ca="1">IF(H56="个人住宅",D57,D58)</f>
        <v>803</v>
      </c>
      <c r="E56" s="2334" t="s">
        <v>1364</v>
      </c>
      <c r="F56" s="2552" t="str">
        <f>IF(H56="正常",F58,"免征")</f>
        <v>免征</v>
      </c>
      <c r="G56" s="2555" t="s">
        <v>1365</v>
      </c>
      <c r="H56" s="2556"/>
      <c r="I56" s="1808"/>
      <c r="J56" s="2521" t="str">
        <f>IF(项目基本情况!K6="上海银行",IF(J55="",4,J55+1),"")</f>
        <v/>
      </c>
      <c r="K56" s="3562" t="str">
        <f>IF(项目基本情况!K6="上海银行","其他处置费用","")</f>
        <v/>
      </c>
      <c r="L56" s="3563"/>
      <c r="M56" s="2523" t="str">
        <f>IF(项目基本情况!K6="上海银行",M69,"")</f>
        <v/>
      </c>
      <c r="N56" s="3562" t="str">
        <f>IF(项目基本情况!K6="上海银行","包含处置中涉及的律师、诉讼、拍卖、评估等费用","")</f>
        <v/>
      </c>
      <c r="O56" s="3565"/>
    </row>
    <row r="57" spans="1:35" ht="12.75" hidden="1">
      <c r="A57" s="2335" t="s">
        <v>1341</v>
      </c>
      <c r="B57" s="3605" t="s">
        <v>1366</v>
      </c>
      <c r="C57" s="3606"/>
      <c r="D57" s="1590">
        <v>0</v>
      </c>
      <c r="E57" s="324" t="s">
        <v>1343</v>
      </c>
      <c r="F57" s="302"/>
      <c r="G57" s="2553"/>
      <c r="H57" s="2557"/>
      <c r="I57" s="1808"/>
      <c r="J57" s="3581">
        <f>IF(AND(J55="",J56=""),4,IF(项目基本情况!K6="上海银行",结果表!J56+1,结果表!J55+1))</f>
        <v>5</v>
      </c>
      <c r="K57" s="3581" t="s">
        <v>1367</v>
      </c>
      <c r="L57" s="2528" t="s">
        <v>1368</v>
      </c>
      <c r="M57" s="2529"/>
      <c r="N57" s="2530">
        <f ca="1">SUMIF(M52:M56,"&lt;9e307")</f>
        <v>818</v>
      </c>
      <c r="O57" s="2531"/>
      <c r="P57" s="2688">
        <f ca="1">N57/M49</f>
        <v>0.57646229739252997</v>
      </c>
    </row>
    <row r="58" spans="1:35" ht="24.75" hidden="1">
      <c r="A58" s="2335" t="s">
        <v>1352</v>
      </c>
      <c r="B58" s="3605" t="s">
        <v>1369</v>
      </c>
      <c r="C58" s="3604"/>
      <c r="D58" s="2324">
        <f ca="1">IF(H58="转让取得",C81,C97)</f>
        <v>803</v>
      </c>
      <c r="E58" s="2334" t="s">
        <v>1364</v>
      </c>
      <c r="F58" s="302" t="s">
        <v>28</v>
      </c>
      <c r="G58" s="2553"/>
      <c r="H58" s="2556"/>
      <c r="I58" s="1808"/>
      <c r="J58" s="3581"/>
      <c r="K58" s="3581"/>
      <c r="L58" s="2528" t="s">
        <v>1370</v>
      </c>
      <c r="M58" s="2532"/>
      <c r="N58" s="2533" t="str">
        <f ca="1">NUMBERSTRING(INT(N57*10000),2)&amp;"元整"</f>
        <v>捌佰壹拾捌万元整</v>
      </c>
      <c r="O58" s="2534"/>
    </row>
    <row r="59" spans="1:35" ht="24.75" hidden="1" thickBot="1">
      <c r="A59" s="3585" t="s">
        <v>1371</v>
      </c>
      <c r="B59" s="3586"/>
      <c r="C59" s="3586"/>
      <c r="D59" s="2558">
        <f ca="1">IF(H59="非个人房产","——",IF(H59="个人住宅（满五唯一有凭证）",0,IF(H59="个人其他（无凭证）",ROUND(D45*F59,0),ROUND(C67*F59,0))))</f>
        <v>14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3">
        <f>J57+1</f>
        <v>6</v>
      </c>
      <c r="K59" s="3581" t="s">
        <v>1372</v>
      </c>
      <c r="L59" s="2521" t="s">
        <v>1368</v>
      </c>
      <c r="M59" s="2535"/>
      <c r="N59" s="2536">
        <f ca="1">M49-N57</f>
        <v>601</v>
      </c>
      <c r="O59" s="2537"/>
    </row>
    <row r="60" spans="1:35" ht="12" hidden="1" customHeight="1">
      <c r="A60" s="1809"/>
      <c r="B60" s="1747"/>
      <c r="C60" s="1747"/>
      <c r="D60" s="1747"/>
      <c r="E60" s="1578"/>
      <c r="F60" s="1808"/>
      <c r="G60" s="1808"/>
      <c r="H60" s="1810"/>
      <c r="I60" s="129"/>
      <c r="J60" s="3584"/>
      <c r="K60" s="3581"/>
      <c r="L60" s="2528" t="s">
        <v>1370</v>
      </c>
      <c r="M60" s="2532"/>
      <c r="N60" s="2533" t="str">
        <f ca="1">NUMBERSTRING(INT(N59*10000),2)&amp;"元整"</f>
        <v>陆佰零壹万元整</v>
      </c>
      <c r="O60" s="2534"/>
    </row>
    <row r="61" spans="1:35" ht="13.5" hidden="1" thickBot="1">
      <c r="A61" s="3640" t="s">
        <v>1373</v>
      </c>
      <c r="B61" s="3640"/>
      <c r="C61" s="3640"/>
      <c r="D61" s="3640"/>
      <c r="E61" s="3640"/>
      <c r="F61" s="1808"/>
      <c r="G61" s="1808"/>
      <c r="H61" s="1810"/>
      <c r="I61" s="129"/>
      <c r="J61" s="2521">
        <f>J59+1</f>
        <v>7</v>
      </c>
      <c r="K61" s="3581" t="s">
        <v>1374</v>
      </c>
      <c r="L61" s="3581"/>
      <c r="M61" s="2538"/>
      <c r="N61" s="2539">
        <f ca="1">ROUND(N59*10000/'数据-汇总表'!E3,0)</f>
        <v>12477</v>
      </c>
      <c r="O61" s="2540"/>
    </row>
    <row r="62" spans="1:35" ht="12.75" hidden="1">
      <c r="A62" s="3600" t="s">
        <v>1375</v>
      </c>
      <c r="B62" s="3601"/>
      <c r="C62" s="2021"/>
      <c r="D62" s="2021" t="s">
        <v>1376</v>
      </c>
      <c r="E62" s="166" t="s">
        <v>1377</v>
      </c>
      <c r="F62" s="1808"/>
      <c r="G62" s="1808"/>
      <c r="H62" s="1810"/>
      <c r="I62" s="129"/>
    </row>
    <row r="63" spans="1:35" ht="12.75" hidden="1">
      <c r="A63" s="173" t="s">
        <v>330</v>
      </c>
      <c r="B63" s="167" t="s">
        <v>1378</v>
      </c>
      <c r="C63" s="2562">
        <f ca="1">ROUND((C64+C65)/(1+'数据-取费表'!C42),0)</f>
        <v>1351</v>
      </c>
      <c r="D63" s="167"/>
      <c r="E63" s="168"/>
      <c r="F63" s="1808"/>
      <c r="G63" s="1808"/>
      <c r="H63" s="1810"/>
      <c r="I63" s="129"/>
      <c r="J63" s="3564" t="s">
        <v>1379</v>
      </c>
      <c r="K63" s="1332" t="s">
        <v>1380</v>
      </c>
      <c r="L63" s="1332">
        <f ca="1">IF(M49&gt;10000,M49*0.5%,IF(AND(M49&gt;1000,M49&lt;=10000),M49*1%,IF(AND(M49&gt;100,M49&lt;=1000),M49*3%,IF(AND(M49&gt;10,M49&lt;=100),M49*5%,M49*8%))))</f>
        <v>14.19</v>
      </c>
      <c r="M63" s="302">
        <f ca="1">ROUND(L63,1)</f>
        <v>14.2</v>
      </c>
      <c r="N63" s="2541"/>
      <c r="Z63" s="1752"/>
      <c r="AI63" s="1753"/>
    </row>
    <row r="64" spans="1:35" ht="14.25" hidden="1" customHeight="1">
      <c r="A64" s="169" t="s">
        <v>325</v>
      </c>
      <c r="B64" s="170" t="s">
        <v>1381</v>
      </c>
      <c r="C64" s="2563">
        <f ca="1">D45</f>
        <v>1419</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8.5139999999999993</v>
      </c>
      <c r="M64" s="302">
        <f t="shared" ref="M64:M65" ca="1" si="1">ROUND(L64,1)</f>
        <v>8.5</v>
      </c>
      <c r="N64" s="2542" t="s">
        <v>1383</v>
      </c>
      <c r="Z64" s="1752"/>
      <c r="AI64" s="1753"/>
    </row>
    <row r="65" spans="1:35" ht="14.25" hidden="1" customHeight="1">
      <c r="A65" s="169" t="s">
        <v>326</v>
      </c>
      <c r="B65" s="170" t="s">
        <v>1384</v>
      </c>
      <c r="C65" s="2564"/>
      <c r="D65" s="170"/>
      <c r="E65" s="172"/>
      <c r="F65" s="1808"/>
      <c r="G65" s="1808"/>
      <c r="H65" s="1810"/>
      <c r="I65" s="129"/>
      <c r="J65" s="3564"/>
      <c r="K65" s="1332" t="s">
        <v>1385</v>
      </c>
      <c r="L65" s="1332">
        <f ca="1">IF(M49&gt;1000,M49*0.1%,IF(AND(M49&gt;500,M49&lt;=1000),M49*0.5%,IF(AND(M49&gt;50,M49&lt;=500),M49*1%,IF(AND(M49&gt;1,M49&lt;=50),M49*1.5%))))</f>
        <v>1.419</v>
      </c>
      <c r="M65" s="302">
        <f t="shared" ca="1" si="1"/>
        <v>1.4</v>
      </c>
      <c r="N65" s="2542" t="s">
        <v>1383</v>
      </c>
      <c r="Z65" s="1752"/>
      <c r="AI65" s="1753"/>
    </row>
    <row r="66" spans="1:35" ht="14.25" hidden="1" customHeight="1">
      <c r="A66" s="173" t="s">
        <v>327</v>
      </c>
      <c r="B66" s="174" t="s">
        <v>1386</v>
      </c>
      <c r="C66" s="2565"/>
      <c r="D66" s="174" t="s">
        <v>26</v>
      </c>
      <c r="E66" s="1338" t="s">
        <v>671</v>
      </c>
      <c r="F66" s="1808"/>
      <c r="G66" s="1808"/>
      <c r="H66" s="1810"/>
      <c r="I66" s="129"/>
      <c r="J66" s="3564"/>
      <c r="K66" s="1332" t="s">
        <v>1387</v>
      </c>
      <c r="L66" s="1332">
        <f ca="1">M49*0.5%</f>
        <v>7.0949999999999998</v>
      </c>
      <c r="M66" s="302">
        <f ca="1">IF(L66&gt;0.5,0.5,ROUND(L66,0))</f>
        <v>0.5</v>
      </c>
      <c r="N66" s="2542" t="s">
        <v>1388</v>
      </c>
      <c r="Z66" s="1752"/>
      <c r="AI66" s="1753"/>
    </row>
    <row r="67" spans="1:35" ht="14.25" hidden="1" customHeight="1">
      <c r="A67" s="173" t="s">
        <v>328</v>
      </c>
      <c r="B67" s="174" t="s">
        <v>1389</v>
      </c>
      <c r="C67" s="2566">
        <f ca="1">C63-C66</f>
        <v>1351</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3.3784999999999998</v>
      </c>
      <c r="M67" s="302">
        <f ca="1">ROUND(L67*0.9,1)</f>
        <v>3</v>
      </c>
      <c r="N67" s="2541"/>
      <c r="Z67" s="1752"/>
      <c r="AI67" s="1753"/>
    </row>
    <row r="68" spans="1:35" ht="14.25" hidden="1" customHeight="1" thickBot="1">
      <c r="A68" s="176" t="s">
        <v>329</v>
      </c>
      <c r="B68" s="177" t="s">
        <v>1391</v>
      </c>
      <c r="C68" s="2567">
        <f ca="1">IF(C67&lt;=0,0,ROUND(C67*D68,0))</f>
        <v>76</v>
      </c>
      <c r="D68" s="2568">
        <f>'数据-取费表'!B41</f>
        <v>5.6000000000000001E-2</v>
      </c>
      <c r="E68" s="178"/>
      <c r="F68" s="1808"/>
      <c r="G68" s="1808"/>
      <c r="H68" s="1810"/>
      <c r="I68" s="129"/>
      <c r="J68" s="3564"/>
      <c r="K68" s="1332" t="s">
        <v>1392</v>
      </c>
      <c r="L68" s="1332">
        <f ca="1">IF(M49&gt;10000,M49*0.5%,IF(AND(M49&gt;5000,M49&lt;=10000),M49*1%,IF(AND(M49&gt;1000,M49&lt;=5000),M49*2%,IF(AND(M49&gt;200,M49&lt;=1000),M49*3%,M49*5%))))</f>
        <v>28.38</v>
      </c>
      <c r="M68" s="302">
        <f ca="1">ROUND(L68,1)</f>
        <v>28.4</v>
      </c>
      <c r="N68" s="2541"/>
      <c r="Z68" s="1752"/>
      <c r="AI68" s="1753"/>
    </row>
    <row r="69" spans="1:35" s="1772" customFormat="1" ht="16.5" hidden="1" customHeight="1">
      <c r="A69" s="1811"/>
      <c r="B69" s="1812"/>
      <c r="C69" s="1813"/>
      <c r="D69" s="1814"/>
      <c r="E69" s="1815"/>
      <c r="F69" s="1578"/>
      <c r="G69" s="1578"/>
      <c r="H69" s="1577"/>
      <c r="I69" s="1747"/>
      <c r="J69" s="3564"/>
      <c r="K69" s="1332" t="s">
        <v>1393</v>
      </c>
      <c r="L69" s="1332"/>
      <c r="M69" s="302">
        <f ca="1">ROUND(SUM(M63:M68),0)</f>
        <v>56</v>
      </c>
      <c r="N69" s="2543">
        <f ca="1">M69/M49</f>
        <v>3.9464411557434811E-2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8" t="s">
        <v>1394</v>
      </c>
      <c r="B70" s="3609"/>
      <c r="C70" s="3609"/>
      <c r="D70" s="3609"/>
      <c r="E70" s="3609"/>
      <c r="F70" s="3609"/>
      <c r="G70" s="3609"/>
      <c r="H70" s="360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0" t="s">
        <v>1375</v>
      </c>
      <c r="B71" s="3601"/>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1351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8</v>
      </c>
      <c r="D78" s="2575">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1343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167.875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803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1351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8</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566" t="s">
        <v>2129</v>
      </c>
      <c r="H90" s="3567"/>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597" t="s">
        <v>1422</v>
      </c>
      <c r="F92" s="3598"/>
      <c r="G92" s="3598"/>
      <c r="H92" s="3599"/>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8</v>
      </c>
      <c r="D93" s="2575">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1343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167.875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803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3" t="str">
        <f>C4</f>
        <v>比较法-办公</v>
      </c>
      <c r="D101" s="2584" t="str">
        <f>D4</f>
        <v>收益法 (元)</v>
      </c>
      <c r="E101" s="3560" t="s">
        <v>1431</v>
      </c>
      <c r="F101" s="3561"/>
      <c r="G101" s="1827" t="s">
        <v>1432</v>
      </c>
      <c r="H101" s="2593">
        <f ca="1">H118</f>
        <v>1419</v>
      </c>
      <c r="I101" s="129"/>
    </row>
    <row r="102" spans="1:35" ht="18.75" customHeight="1">
      <c r="A102" s="3592" t="s">
        <v>1433</v>
      </c>
      <c r="B102" s="2582" t="s">
        <v>1432</v>
      </c>
      <c r="C102" s="2583">
        <f ca="1">IF(D32="楼面单价",ROUND(C19,0),C19)</f>
        <v>1607</v>
      </c>
      <c r="D102" s="2584">
        <f ca="1">IF(D32="楼面单价",ROUND(D19,0),D19)</f>
        <v>979</v>
      </c>
      <c r="E102" s="3560"/>
      <c r="F102" s="3561"/>
      <c r="G102" s="1827" t="s">
        <v>1434</v>
      </c>
      <c r="H102" s="2553">
        <f ca="1">I118</f>
        <v>29456</v>
      </c>
      <c r="I102" s="129"/>
    </row>
    <row r="103" spans="1:35" ht="42.75" customHeight="1">
      <c r="A103" s="3592"/>
      <c r="B103" s="2582" t="s">
        <v>1434</v>
      </c>
      <c r="C103" s="2585">
        <f ca="1">C20</f>
        <v>33366</v>
      </c>
      <c r="D103" s="2586">
        <f ca="1">D20</f>
        <v>20332</v>
      </c>
      <c r="E103" s="3553" t="s">
        <v>1435</v>
      </c>
      <c r="F103" s="3554"/>
      <c r="G103" s="1828" t="s">
        <v>1436</v>
      </c>
      <c r="H103" s="2593">
        <f>IF(D36="正常操作",H104+H105+H106,H105+H106)</f>
        <v>0</v>
      </c>
      <c r="I103" s="129"/>
    </row>
    <row r="104" spans="1:35" ht="18.75" customHeight="1">
      <c r="A104" s="3592" t="s">
        <v>1437</v>
      </c>
      <c r="B104" s="2587" t="s">
        <v>1432</v>
      </c>
      <c r="C104" s="2588">
        <f ca="1">H118</f>
        <v>1419</v>
      </c>
      <c r="D104" s="2589"/>
      <c r="E104" s="1674" t="s">
        <v>1438</v>
      </c>
      <c r="F104" s="1666"/>
      <c r="G104" s="1828" t="s">
        <v>1436</v>
      </c>
      <c r="H104" s="2594">
        <f>IF(D36="同一抵押权人同一抵押物续贷",C36&amp;"（续贷，未扣减，详见特别提示）",C36)</f>
        <v>0</v>
      </c>
      <c r="I104" s="129"/>
    </row>
    <row r="105" spans="1:35" ht="18.75" customHeight="1" thickBot="1">
      <c r="A105" s="3602"/>
      <c r="B105" s="2590" t="s">
        <v>1434</v>
      </c>
      <c r="C105" s="2591">
        <f ca="1">I118</f>
        <v>29456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3" t="str">
        <f>IF(项目基本情况!E8="已注销","——","3.房地产抵押价值")</f>
        <v>3.房地产抵押价值</v>
      </c>
      <c r="F107" s="3561"/>
      <c r="G107" s="1827" t="s">
        <v>1432</v>
      </c>
      <c r="H107" s="2593">
        <f ca="1">IF(E107="——","——",H101-H103)</f>
        <v>1419</v>
      </c>
      <c r="I107" s="129"/>
    </row>
    <row r="108" spans="1:35" ht="18.75" customHeight="1">
      <c r="A108" s="129"/>
      <c r="B108" s="129"/>
      <c r="C108" s="129"/>
      <c r="D108" s="129"/>
      <c r="E108" s="3593"/>
      <c r="F108" s="3561"/>
      <c r="G108" s="1827" t="s">
        <v>1434</v>
      </c>
      <c r="H108" s="2553">
        <f ca="1">IF(H107=H101,H102,ROUND(H107*10000/'数据-汇总表'!E3,0))</f>
        <v>29456</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6" t="str">
        <f>IF(E109="——","——",H101-H105-H106)</f>
        <v>——</v>
      </c>
      <c r="I109" s="129"/>
    </row>
    <row r="110" spans="1:35" ht="18.75" customHeight="1">
      <c r="A110" s="129"/>
      <c r="B110" s="129"/>
      <c r="C110" s="129"/>
      <c r="D110" s="129"/>
      <c r="E110" s="3593"/>
      <c r="F110" s="3561"/>
      <c r="G110" s="1827" t="s">
        <v>1434</v>
      </c>
      <c r="H110" s="2553"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3" t="str">
        <f>IF(E111="——","——",N59)</f>
        <v>——</v>
      </c>
      <c r="I111" s="129"/>
    </row>
    <row r="112" spans="1:35" ht="18.75" customHeight="1" thickBot="1">
      <c r="A112" s="129"/>
      <c r="B112" s="129"/>
      <c r="C112" s="129"/>
      <c r="D112" s="129"/>
      <c r="E112" s="3595"/>
      <c r="F112" s="3596"/>
      <c r="G112" s="1830" t="s">
        <v>1434</v>
      </c>
      <c r="H112" s="2597"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481.7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1419</v>
      </c>
      <c r="I118" s="2329">
        <f ca="1">ROUND(IF(D32="楼面单价",C32,H118*10000/B118),0)</f>
        <v>29456</v>
      </c>
    </row>
    <row r="119" spans="1:27" ht="18.75" customHeight="1">
      <c r="A119" s="3568" t="s">
        <v>1452</v>
      </c>
      <c r="B119" s="3568"/>
      <c r="C119" s="3568"/>
      <c r="D119" s="3574" t="e">
        <f ca="1">NUMBERSTRING(INT(D118*10000),2)&amp;"元整"</f>
        <v>#REF!</v>
      </c>
      <c r="E119" s="3575"/>
      <c r="F119" s="3574" t="e">
        <f ca="1">NUMBERSTRING(INT(F118*10000),2)&amp;"元整"</f>
        <v>#REF!</v>
      </c>
      <c r="G119" s="3575"/>
      <c r="H119" s="3574" t="str">
        <f ca="1">NUMBERSTRING(INT(H118*10000),2)&amp;"元整"</f>
        <v>壹仟肆佰壹拾玖万元整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1419</v>
      </c>
      <c r="E122" s="3570"/>
      <c r="F122" s="3570"/>
      <c r="G122" s="3570"/>
      <c r="H122" s="3570"/>
      <c r="I122" s="3571"/>
      <c r="AA122" s="725"/>
    </row>
    <row r="123" spans="1:27" ht="18.75" customHeight="1">
      <c r="A123" s="3568" t="s">
        <v>1452</v>
      </c>
      <c r="B123" s="3568"/>
      <c r="C123" s="3568"/>
      <c r="D123" s="3574" t="str">
        <f ca="1">NUMBERSTRING(INT(D122*10000),2)&amp;"元整"</f>
        <v>壹仟肆佰壹拾玖万元整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481.7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v>
      </c>
      <c r="D19" s="849">
        <f ca="1">D9+D10</f>
        <v>481.7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231</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481.7</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38</v>
      </c>
      <c r="D45" s="235">
        <f ca="1">C47</f>
        <v>3.0000000000000001E-3</v>
      </c>
      <c r="E45" s="236" t="s">
        <v>1539</v>
      </c>
      <c r="F45" s="246">
        <f ca="1">F27</f>
        <v>0.15</v>
      </c>
      <c r="G45" s="247" t="s">
        <v>1548</v>
      </c>
    </row>
    <row r="46" spans="1:7" s="214" customFormat="1" ht="13.5" customHeight="1">
      <c r="A46" s="780" t="s">
        <v>346</v>
      </c>
      <c r="B46" s="248" t="s">
        <v>1549</v>
      </c>
      <c r="C46" s="249">
        <f ca="1">ROUND((C33+C39)*F27,0)</f>
        <v>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328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272</v>
      </c>
      <c r="D51" s="232"/>
      <c r="E51" s="232"/>
      <c r="F51" s="264"/>
      <c r="G51" s="234" t="s">
        <v>1560</v>
      </c>
    </row>
    <row r="52" spans="1:7" s="208" customFormat="1" ht="16.5" thickBot="1">
      <c r="A52" s="265" t="s">
        <v>1561</v>
      </c>
      <c r="B52" s="266"/>
      <c r="C52" s="267">
        <f ca="1">C31+C51</f>
        <v>286</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298.94349999999997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96340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96340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96340</v>
      </c>
      <c r="D10" s="845">
        <f ca="1">IF(B1="",'数据-汇总表'!E6,IF(INDIRECT("'数据-取费表'!c"&amp;$G$1)="住宅",INDIRECT("'数据-取费表'!s"&amp;$G$1),INDIRECT("'数据-取费表'!k"&amp;$G$1)+INDIRECT("'数据-取费表'!s"&amp;$G$1)))</f>
        <v>481.7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96340</v>
      </c>
      <c r="D19" s="849">
        <f ca="1">D9+D10</f>
        <v>481.7</v>
      </c>
      <c r="E19" s="211">
        <f>'数据-取费表'!B31</f>
        <v>200</v>
      </c>
      <c r="F19" s="231"/>
      <c r="G19" s="1856"/>
    </row>
    <row r="20" spans="1:7" s="214" customFormat="1" ht="13.5" customHeight="1">
      <c r="A20" s="255" t="s">
        <v>1574</v>
      </c>
      <c r="B20" s="210" t="s">
        <v>1575</v>
      </c>
      <c r="C20" s="232">
        <f ca="1">ROUND((C5+C19)*F20,0)</f>
        <v>3854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13657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6762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6762</v>
      </c>
      <c r="D24" s="238"/>
      <c r="E24" s="238"/>
      <c r="F24" s="239"/>
      <c r="G24" s="240" t="s">
        <v>1586</v>
      </c>
    </row>
    <row r="25" spans="1:7" s="214" customFormat="1" ht="24">
      <c r="A25" s="780" t="s">
        <v>1476</v>
      </c>
      <c r="B25" s="215" t="s">
        <v>1587</v>
      </c>
      <c r="C25" s="1128">
        <f ca="1">ROUND(IF('数据-取费表'!B22&lt;=1,C20*F22*'数据-取费表'!B22/2,C20*(POWER((1+F22),'数据-取费表'!B22/2)-1)),0)</f>
        <v>133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29480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29480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259665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2512547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2312160</v>
      </c>
      <c r="D34" s="217"/>
      <c r="E34" s="220"/>
      <c r="F34" s="257"/>
      <c r="G34" s="219"/>
    </row>
    <row r="35" spans="1:7" ht="13.5" customHeight="1">
      <c r="A35" s="780" t="s">
        <v>351</v>
      </c>
      <c r="B35" s="215" t="s">
        <v>1527</v>
      </c>
      <c r="C35" s="220">
        <f ca="1">ROUND(C34*F35,0)</f>
        <v>69365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96340</v>
      </c>
      <c r="D37" s="217">
        <f ca="1">D19</f>
        <v>481.7</v>
      </c>
      <c r="E37" s="249">
        <f>'数据-取费表'!B35</f>
        <v>200</v>
      </c>
      <c r="F37" s="259"/>
      <c r="G37" s="261"/>
    </row>
    <row r="38" spans="1:7" ht="13.5" customHeight="1">
      <c r="A38" s="780" t="s">
        <v>354</v>
      </c>
      <c r="B38" s="215" t="s">
        <v>1533</v>
      </c>
      <c r="C38" s="220">
        <f ca="1">ROUND(C34*F38,0)</f>
        <v>34682</v>
      </c>
      <c r="D38" s="220"/>
      <c r="E38" s="220"/>
      <c r="F38" s="259">
        <f>'数据-取费表'!B36</f>
        <v>1.4999999999999999E-2</v>
      </c>
      <c r="G38" s="219" t="s">
        <v>1528</v>
      </c>
    </row>
    <row r="39" spans="1:7" s="214" customFormat="1" ht="13.5" customHeight="1">
      <c r="A39" s="255" t="s">
        <v>1534</v>
      </c>
      <c r="B39" s="210" t="s">
        <v>1535</v>
      </c>
      <c r="C39" s="232">
        <f ca="1">ROUND(C33*F20,0)</f>
        <v>50251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88417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86683</v>
      </c>
      <c r="D42" s="238"/>
      <c r="E42" s="238"/>
      <c r="F42" s="239"/>
      <c r="G42" s="3647" t="s">
        <v>1591</v>
      </c>
    </row>
    <row r="43" spans="1:7" ht="13.5" customHeight="1">
      <c r="A43" s="780" t="s">
        <v>347</v>
      </c>
      <c r="B43" s="215" t="s">
        <v>1545</v>
      </c>
      <c r="C43" s="238">
        <f ca="1">ROUND(IF('数据-取费表'!B22&lt;=1,C39*F22*'数据-取费表'!B20/2,C39*(POWER((1+F22),'数据-取费表'!B20/2)-1)),0)</f>
        <v>1734</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384420</v>
      </c>
      <c r="D45" s="235">
        <f ca="1">C47</f>
        <v>3.0000000000000001E-3</v>
      </c>
      <c r="E45" s="236" t="s">
        <v>1539</v>
      </c>
      <c r="F45" s="246">
        <f ca="1">F27</f>
        <v>0.15</v>
      </c>
      <c r="G45" s="247" t="s">
        <v>1548</v>
      </c>
    </row>
    <row r="46" spans="1:7" s="214" customFormat="1" ht="13.5" customHeight="1">
      <c r="A46" s="780" t="s">
        <v>346</v>
      </c>
      <c r="B46" s="248" t="s">
        <v>1549</v>
      </c>
      <c r="C46" s="249">
        <f ca="1">ROUND((C33+C39)*F27,0)</f>
        <v>384420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3288879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2729770</v>
      </c>
      <c r="D51" s="232"/>
      <c r="E51" s="232"/>
      <c r="F51" s="264"/>
      <c r="G51" s="234" t="s">
        <v>1560</v>
      </c>
    </row>
    <row r="52" spans="1:7" s="208" customFormat="1" ht="16.5" thickBot="1">
      <c r="A52" s="265" t="s">
        <v>1561</v>
      </c>
      <c r="B52" s="266"/>
      <c r="C52" s="267">
        <f ca="1">C31+C51</f>
        <v>2989435</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-12</v>
      </c>
      <c r="C2" s="276" t="s">
        <v>1595</v>
      </c>
      <c r="D2" s="276"/>
      <c r="E2" s="2804"/>
      <c r="F2" s="2804"/>
      <c r="G2" s="2804"/>
      <c r="H2" s="2804"/>
      <c r="I2" s="2804"/>
      <c r="J2" s="2804"/>
      <c r="K2" s="2804"/>
    </row>
    <row r="3" spans="1:33" ht="18" customHeight="1" thickBot="1">
      <c r="A3" s="203" t="s">
        <v>1464</v>
      </c>
      <c r="B3" s="204">
        <f ca="1">ROUND(B2*10000/IF(C1="",'数据-汇总表'!E3,INDIRECT("'数据-取费表'!K"&amp;$K$1)),0)</f>
        <v>-249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481.7</v>
      </c>
      <c r="E20" s="21">
        <f>'数据-取费表'!B28</f>
        <v>200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S112" sqref="S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3391</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1607.2402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33366</v>
      </c>
      <c r="C3" s="354" t="s">
        <v>1768</v>
      </c>
      <c r="D3" s="353">
        <f>IF(D1="",'数据-汇总表'!E3,SUMIF('数据-汇总表'!$C19:$C33,D1,'数据-汇总表'!$E19:$E33))</f>
        <v>481.7</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0" t="s">
        <v>1771</v>
      </c>
      <c r="S4" s="3661"/>
      <c r="T4" s="3660" t="s">
        <v>1772</v>
      </c>
      <c r="U4" s="3661"/>
      <c r="V4" s="3689" t="s">
        <v>1773</v>
      </c>
      <c r="W4" s="3689"/>
      <c r="X4" s="1958"/>
      <c r="Y4" s="3660" t="s">
        <v>1775</v>
      </c>
      <c r="Z4" s="3661"/>
      <c r="AA4" s="3655" t="s">
        <v>1771</v>
      </c>
      <c r="AB4" s="3655" t="s">
        <v>1772</v>
      </c>
      <c r="AC4" s="3674" t="s">
        <v>1773</v>
      </c>
    </row>
    <row r="5" spans="1:29" ht="15">
      <c r="A5" s="358"/>
      <c r="B5" s="359"/>
      <c r="C5" s="3666" t="s">
        <v>1673</v>
      </c>
      <c r="D5" s="3667"/>
      <c r="E5" s="3664" t="s">
        <v>3393</v>
      </c>
      <c r="F5" s="3665"/>
      <c r="G5" s="3670" t="s">
        <v>3412</v>
      </c>
      <c r="H5" s="3667"/>
      <c r="I5" s="3670" t="s">
        <v>3394</v>
      </c>
      <c r="J5" s="3667"/>
      <c r="K5" s="559"/>
      <c r="L5" s="2713"/>
      <c r="M5" s="2714"/>
      <c r="N5" s="2714"/>
      <c r="O5" s="2714"/>
      <c r="P5" s="3683"/>
      <c r="Q5" s="3684"/>
      <c r="R5" s="3662"/>
      <c r="S5" s="3663"/>
      <c r="T5" s="3662"/>
      <c r="U5" s="3663"/>
      <c r="V5" s="3690"/>
      <c r="W5" s="3690"/>
      <c r="X5" s="1355"/>
      <c r="Y5" s="3662"/>
      <c r="Z5" s="3663"/>
      <c r="AA5" s="3656"/>
      <c r="AB5" s="3656"/>
      <c r="AC5" s="3675"/>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685"/>
      <c r="Q6" s="3686"/>
      <c r="R6" s="3662"/>
      <c r="S6" s="3663"/>
      <c r="T6" s="3687"/>
      <c r="U6" s="3688"/>
      <c r="V6" s="3690"/>
      <c r="W6" s="3690"/>
      <c r="X6" s="1355"/>
      <c r="Y6" s="3687"/>
      <c r="Z6" s="3688"/>
      <c r="AA6" s="3657"/>
      <c r="AB6" s="3657"/>
      <c r="AC6" s="3676"/>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58" t="s">
        <v>1680</v>
      </c>
      <c r="Z7" s="3659"/>
      <c r="AA7" s="704">
        <f>D7/F7</f>
        <v>1</v>
      </c>
      <c r="AB7" s="704">
        <f>D7/H7</f>
        <v>1</v>
      </c>
      <c r="AC7" s="1959">
        <f>D7/J7</f>
        <v>1</v>
      </c>
    </row>
    <row r="8" spans="1:29" s="108" customFormat="1" ht="15.75" thickBot="1">
      <c r="A8" s="362" t="s">
        <v>1681</v>
      </c>
      <c r="B8" s="363"/>
      <c r="C8" s="368" t="s">
        <v>3389</v>
      </c>
      <c r="D8" s="365">
        <v>100</v>
      </c>
      <c r="E8" s="368" t="s">
        <v>3427</v>
      </c>
      <c r="F8" s="367">
        <f>SUMIF(62:62,E8,63:63)-SUMIF(62:62,C8,63:63)+100</f>
        <v>101</v>
      </c>
      <c r="G8" s="368" t="s">
        <v>3427</v>
      </c>
      <c r="H8" s="365">
        <f>SUMIF(62:62,G8,63:63)-SUMIF(62:62,C8,63:63)+100</f>
        <v>101</v>
      </c>
      <c r="I8" s="368" t="s">
        <v>3427</v>
      </c>
      <c r="J8" s="365">
        <f>SUMIF(62:62,I8,63:63)-SUMIF(62:62,C8,63:63)+100</f>
        <v>101</v>
      </c>
      <c r="K8" s="560"/>
      <c r="L8" s="2715"/>
      <c r="M8" s="2716"/>
      <c r="N8" s="2716"/>
      <c r="O8" s="2716"/>
      <c r="P8" s="3691" t="s">
        <v>1683</v>
      </c>
      <c r="Q8" s="3659"/>
      <c r="R8" s="701" t="s">
        <v>14</v>
      </c>
      <c r="S8" s="702">
        <f t="shared" si="0"/>
        <v>101</v>
      </c>
      <c r="T8" s="701" t="s">
        <v>14</v>
      </c>
      <c r="U8" s="702">
        <f t="shared" si="1"/>
        <v>101</v>
      </c>
      <c r="V8" s="701" t="s">
        <v>14</v>
      </c>
      <c r="W8" s="702">
        <f t="shared" si="2"/>
        <v>101</v>
      </c>
      <c r="X8" s="703"/>
      <c r="Y8" s="3658" t="s">
        <v>1683</v>
      </c>
      <c r="Z8" s="3659"/>
      <c r="AA8" s="704">
        <f t="shared" ref="AA8:AA47" si="3">D8/F8</f>
        <v>0.99009900990099009</v>
      </c>
      <c r="AB8" s="704">
        <f t="shared" ref="AB8:AB47" si="4">D8/H8</f>
        <v>0.99009900990099009</v>
      </c>
      <c r="AC8" s="1959">
        <f t="shared" ref="AC8:AC47" si="5">D8/J8</f>
        <v>0.99009900990099009</v>
      </c>
    </row>
    <row r="9" spans="1:29" s="108" customFormat="1" ht="15">
      <c r="A9" s="369" t="s">
        <v>1684</v>
      </c>
      <c r="B9" s="63" t="s">
        <v>1685</v>
      </c>
      <c r="C9" s="3448" t="s">
        <v>3429</v>
      </c>
      <c r="D9" s="126">
        <v>100</v>
      </c>
      <c r="E9" s="373" t="s">
        <v>21</v>
      </c>
      <c r="F9" s="126">
        <f>SUMIF(64:64,E9,65:65)-SUMIF(64:64,C9,65:65)+100</f>
        <v>98</v>
      </c>
      <c r="G9" s="373" t="s">
        <v>21</v>
      </c>
      <c r="H9" s="126">
        <f>SUMIF(64:64,G9,65:65)-SUMIF(64:64,C9,65:65)+100</f>
        <v>98</v>
      </c>
      <c r="I9" s="373" t="s">
        <v>21</v>
      </c>
      <c r="J9" s="126">
        <f>SUMIF(64:64,I9,65:65)-SUMIF(64:64,C9,65:65)+100</f>
        <v>98</v>
      </c>
      <c r="K9" s="560"/>
      <c r="L9" s="2715"/>
      <c r="M9" s="2716"/>
      <c r="N9" s="2716"/>
      <c r="O9" s="2716"/>
      <c r="P9" s="3673" t="s">
        <v>1686</v>
      </c>
      <c r="Q9" s="1343" t="str">
        <f t="shared" ref="Q9:Q15" si="6">B9</f>
        <v>用途</v>
      </c>
      <c r="R9" s="701" t="s">
        <v>14</v>
      </c>
      <c r="S9" s="702">
        <f t="shared" si="0"/>
        <v>98</v>
      </c>
      <c r="T9" s="701" t="s">
        <v>14</v>
      </c>
      <c r="U9" s="702">
        <f t="shared" si="1"/>
        <v>98</v>
      </c>
      <c r="V9" s="701" t="s">
        <v>14</v>
      </c>
      <c r="W9" s="702">
        <f t="shared" si="2"/>
        <v>98</v>
      </c>
      <c r="X9" s="703"/>
      <c r="Y9" s="3623" t="s">
        <v>1687</v>
      </c>
      <c r="Z9" s="52" t="str">
        <f t="shared" ref="Z9:Z15" si="7">Q9</f>
        <v>用途</v>
      </c>
      <c r="AA9" s="704">
        <f t="shared" si="3"/>
        <v>1.0204081632653061</v>
      </c>
      <c r="AB9" s="704">
        <f t="shared" si="4"/>
        <v>1.0204081632653061</v>
      </c>
      <c r="AC9" s="1959">
        <f t="shared" si="5"/>
        <v>1.0204081632653061</v>
      </c>
    </row>
    <row r="10" spans="1:29" s="378" customFormat="1" ht="27.75" thickBot="1">
      <c r="A10" s="374"/>
      <c r="B10" s="375" t="s">
        <v>1688</v>
      </c>
      <c r="C10" s="3432" t="str">
        <f>C66</f>
        <v>20-30</v>
      </c>
      <c r="D10" s="127">
        <v>100</v>
      </c>
      <c r="E10" s="3432" t="str">
        <f>E66</f>
        <v>40-50</v>
      </c>
      <c r="F10" s="127">
        <f>SUMIF(66:66,E10,67:67)-SUMIF(66:66,C10,67:67)+100</f>
        <v>101</v>
      </c>
      <c r="G10" s="3433" t="str">
        <f>C66</f>
        <v>20-30</v>
      </c>
      <c r="H10" s="127">
        <f>SUMIF(66:66,G10,67:67)-SUMIF(66:66,C10,67:67)+100</f>
        <v>100</v>
      </c>
      <c r="I10" s="3432" t="str">
        <f>E10</f>
        <v>40-50</v>
      </c>
      <c r="J10" s="127">
        <f>SUMIF(66:66,I10,67:67)-SUMIF(66:66,C10,67:67)+100</f>
        <v>101</v>
      </c>
      <c r="K10" s="560"/>
      <c r="L10" s="2717"/>
      <c r="M10" s="2718"/>
      <c r="N10" s="2718"/>
      <c r="O10" s="2718"/>
      <c r="P10" s="3673"/>
      <c r="Q10" s="1343" t="str">
        <f t="shared" si="6"/>
        <v>土地使用年限（年）</v>
      </c>
      <c r="R10" s="701" t="s">
        <v>14</v>
      </c>
      <c r="S10" s="702">
        <f t="shared" si="0"/>
        <v>101</v>
      </c>
      <c r="T10" s="701" t="s">
        <v>14</v>
      </c>
      <c r="U10" s="702">
        <f t="shared" si="1"/>
        <v>100</v>
      </c>
      <c r="V10" s="701" t="s">
        <v>14</v>
      </c>
      <c r="W10" s="702">
        <f t="shared" si="2"/>
        <v>101</v>
      </c>
      <c r="X10" s="703"/>
      <c r="Y10" s="3623"/>
      <c r="Z10" s="52" t="str">
        <f t="shared" si="7"/>
        <v>土地使用年限（年）</v>
      </c>
      <c r="AA10" s="704">
        <f t="shared" si="3"/>
        <v>0.99009900990099009</v>
      </c>
      <c r="AB10" s="704">
        <f t="shared" si="4"/>
        <v>1</v>
      </c>
      <c r="AC10" s="1959">
        <f t="shared" si="5"/>
        <v>0.99009900990099009</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3" t="s">
        <v>3395</v>
      </c>
      <c r="H15" s="392">
        <f>SUMIF(77:77,G16,78:78)-SUMIF(77:77,C16,78:78)+100</f>
        <v>100</v>
      </c>
      <c r="I15" s="393" t="s">
        <v>3395</v>
      </c>
      <c r="J15" s="392">
        <f>SUMIF(77:77,I16,78:78)-SUMIF(77:77,C16,78:78)+100</f>
        <v>100</v>
      </c>
      <c r="K15" s="563">
        <v>2</v>
      </c>
      <c r="L15" s="2720"/>
      <c r="M15" s="2714"/>
      <c r="N15" s="2714"/>
      <c r="O15" s="2714"/>
      <c r="P15" s="3693"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0"/>
      <c r="M16" s="2714"/>
      <c r="N16" s="2714"/>
      <c r="O16" s="2714"/>
      <c r="P16" s="3694"/>
      <c r="Q16" s="1352"/>
      <c r="R16" s="705"/>
      <c r="S16" s="706"/>
      <c r="T16" s="705"/>
      <c r="U16" s="706"/>
      <c r="V16" s="705"/>
      <c r="W16" s="706"/>
      <c r="X16" s="1355"/>
      <c r="Y16" s="3696"/>
      <c r="Z16" s="1356"/>
      <c r="AA16" s="1353">
        <v>1</v>
      </c>
      <c r="AB16" s="1353">
        <v>1</v>
      </c>
      <c r="AC16" s="1962">
        <v>1</v>
      </c>
    </row>
    <row r="17" spans="1:29" ht="15">
      <c r="A17" s="379"/>
      <c r="B17" s="579" t="s">
        <v>1259</v>
      </c>
      <c r="C17" s="1963" t="str">
        <f>估价对象房地状况!C6</f>
        <v>较好</v>
      </c>
      <c r="D17" s="401">
        <v>100</v>
      </c>
      <c r="E17" s="405" t="s">
        <v>3395</v>
      </c>
      <c r="F17" s="401">
        <f>SUMIF(79:79,E18,80:80)-SUMIF(79:79,C18,80:80)+100</f>
        <v>100</v>
      </c>
      <c r="G17" s="403" t="s">
        <v>3395</v>
      </c>
      <c r="H17" s="406">
        <f>SUMIF(79:79,G18,80:80)-SUMIF(79:79,C18,80:80)+100</f>
        <v>100</v>
      </c>
      <c r="I17" s="403" t="s">
        <v>3395</v>
      </c>
      <c r="J17" s="406">
        <f>SUMIF(79:79,I18,80:80)-SUMIF(79:79,C18,80:80)+100</f>
        <v>100</v>
      </c>
      <c r="K17" s="563">
        <v>2</v>
      </c>
      <c r="L17" s="2720"/>
      <c r="M17" s="2714"/>
      <c r="N17" s="2714"/>
      <c r="O17" s="2714"/>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20"/>
      <c r="M18" s="2714"/>
      <c r="N18" s="2714"/>
      <c r="O18" s="2714"/>
      <c r="P18" s="3694"/>
      <c r="Q18" s="1352"/>
      <c r="R18" s="705"/>
      <c r="S18" s="706"/>
      <c r="T18" s="705"/>
      <c r="U18" s="706"/>
      <c r="V18" s="705"/>
      <c r="W18" s="706"/>
      <c r="X18" s="1355"/>
      <c r="Y18" s="3696"/>
      <c r="Z18" s="1356"/>
      <c r="AA18" s="1353">
        <v>1</v>
      </c>
      <c r="AB18" s="1353">
        <v>1</v>
      </c>
      <c r="AC18" s="1962">
        <v>1</v>
      </c>
    </row>
    <row r="19" spans="1:29" ht="15">
      <c r="A19" s="379"/>
      <c r="B19" s="579" t="s">
        <v>1812</v>
      </c>
      <c r="C19" s="1963" t="str">
        <f>估价对象房地状况!C7</f>
        <v>较好</v>
      </c>
      <c r="D19" s="406">
        <v>100</v>
      </c>
      <c r="E19" s="410" t="s">
        <v>3395</v>
      </c>
      <c r="F19" s="406">
        <f>SUMIF(81:81,E20,82:82)-SUMIF(81:81,C20,82:82)+100</f>
        <v>100</v>
      </c>
      <c r="G19" s="408" t="s">
        <v>3395</v>
      </c>
      <c r="H19" s="401">
        <f>SUMIF(81:81,G20,82:82)-SUMIF(81:81,C20,82:82)+100</f>
        <v>100</v>
      </c>
      <c r="I19" s="408" t="s">
        <v>3395</v>
      </c>
      <c r="J19" s="401">
        <f>SUMIF(81:81,I20,82:82)-SUMIF(81:81,C20,82:82)+100</f>
        <v>100</v>
      </c>
      <c r="K19" s="563">
        <v>2</v>
      </c>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0"/>
      <c r="M20" s="2714"/>
      <c r="N20" s="2714"/>
      <c r="O20" s="2714"/>
      <c r="P20" s="3694"/>
      <c r="Q20" s="1352"/>
      <c r="R20" s="705"/>
      <c r="S20" s="706"/>
      <c r="T20" s="705"/>
      <c r="U20" s="706"/>
      <c r="V20" s="705"/>
      <c r="W20" s="706"/>
      <c r="X20" s="1355"/>
      <c r="Y20" s="3696"/>
      <c r="Z20" s="1356"/>
      <c r="AA20" s="1353">
        <v>1</v>
      </c>
      <c r="AB20" s="1353">
        <v>1</v>
      </c>
      <c r="AC20" s="1962">
        <v>1</v>
      </c>
    </row>
    <row r="21" spans="1:29" ht="15">
      <c r="A21" s="379"/>
      <c r="B21" s="581" t="s">
        <v>1813</v>
      </c>
      <c r="C21" s="1963" t="str">
        <f>估价对象房地状况!C8</f>
        <v>七通</v>
      </c>
      <c r="D21" s="401">
        <v>100</v>
      </c>
      <c r="E21" s="410" t="s">
        <v>3396</v>
      </c>
      <c r="F21" s="406">
        <f>SUMIF(83:83,E22,84:84)-SUMIF(83:83,C22,84:84)+100</f>
        <v>100</v>
      </c>
      <c r="G21" s="408" t="s">
        <v>3396</v>
      </c>
      <c r="H21" s="401">
        <f>SUMIF(83:83,G22,84:84)-SUMIF(83:83,C22,84:84)+100</f>
        <v>100</v>
      </c>
      <c r="I21" s="408" t="s">
        <v>3396</v>
      </c>
      <c r="J21" s="401">
        <f>SUMIF(83:83,I22,84:84)-SUMIF(83:83,C22,84:84)+100</f>
        <v>100</v>
      </c>
      <c r="K21" s="563">
        <v>1</v>
      </c>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0"/>
      <c r="M22" s="2714"/>
      <c r="N22" s="2714"/>
      <c r="O22" s="2714"/>
      <c r="P22" s="3694"/>
      <c r="Q22" s="1352"/>
      <c r="R22" s="705"/>
      <c r="S22" s="706"/>
      <c r="T22" s="705"/>
      <c r="U22" s="706"/>
      <c r="V22" s="705"/>
      <c r="W22" s="706"/>
      <c r="X22" s="1355"/>
      <c r="Y22" s="3696"/>
      <c r="Z22" s="1356"/>
      <c r="AA22" s="1353">
        <v>1</v>
      </c>
      <c r="AB22" s="1353">
        <v>1</v>
      </c>
      <c r="AC22" s="1962">
        <v>1</v>
      </c>
    </row>
    <row r="23" spans="1:29" ht="15">
      <c r="A23" s="379"/>
      <c r="B23" s="579" t="s">
        <v>1814</v>
      </c>
      <c r="C23" s="1963" t="str">
        <f>估价对象房地状况!C9</f>
        <v>较好</v>
      </c>
      <c r="D23" s="401">
        <v>100</v>
      </c>
      <c r="E23" s="405" t="s">
        <v>3395</v>
      </c>
      <c r="F23" s="401">
        <f>SUMIF(85:85,E24,86:86)-SUMIF(85:85,C24,86:86)+100</f>
        <v>100</v>
      </c>
      <c r="G23" s="403" t="s">
        <v>3395</v>
      </c>
      <c r="H23" s="401">
        <f>SUMIF(85:85,G24,86:86)-SUMIF(85:85,C24,86:86)+100</f>
        <v>100</v>
      </c>
      <c r="I23" s="403" t="s">
        <v>3395</v>
      </c>
      <c r="J23" s="401">
        <f>SUMIF(85:85,I24,86:86)-SUMIF(85:85,C24,86:86)+100</f>
        <v>100</v>
      </c>
      <c r="K23" s="563">
        <v>2</v>
      </c>
      <c r="L23" s="2720"/>
      <c r="M23" s="2714"/>
      <c r="N23" s="2714"/>
      <c r="O23" s="2714"/>
      <c r="P23" s="3694"/>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0"/>
      <c r="M24" s="2714"/>
      <c r="N24" s="2714"/>
      <c r="O24" s="2714"/>
      <c r="P24" s="3694"/>
      <c r="Q24" s="1352"/>
      <c r="R24" s="705"/>
      <c r="S24" s="706"/>
      <c r="T24" s="705"/>
      <c r="U24" s="706"/>
      <c r="V24" s="705"/>
      <c r="W24" s="706"/>
      <c r="X24" s="1355"/>
      <c r="Y24" s="369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4"/>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94"/>
      <c r="Q26" s="1352"/>
      <c r="R26" s="705"/>
      <c r="S26" s="706"/>
      <c r="T26" s="705"/>
      <c r="U26" s="706"/>
      <c r="V26" s="705"/>
      <c r="W26" s="706"/>
      <c r="X26" s="1355"/>
      <c r="Y26" s="3696"/>
      <c r="Z26" s="1356"/>
      <c r="AA26" s="1353">
        <v>1</v>
      </c>
      <c r="AB26" s="1353">
        <v>1</v>
      </c>
      <c r="AC26" s="1962">
        <v>1</v>
      </c>
    </row>
    <row r="27" spans="1:29" ht="15.75" thickBot="1">
      <c r="A27" s="379"/>
      <c r="B27" s="580" t="s">
        <v>1783</v>
      </c>
      <c r="C27" s="582" t="s">
        <v>3398</v>
      </c>
      <c r="D27" s="386">
        <v>100</v>
      </c>
      <c r="E27" s="565" t="s">
        <v>3400</v>
      </c>
      <c r="F27" s="386">
        <f>SUMIF(89:89,E27,90:90)-SUMIF(89:89,C27,90:90)+100</f>
        <v>95</v>
      </c>
      <c r="G27" s="565" t="s">
        <v>3400</v>
      </c>
      <c r="H27" s="386">
        <f>SUMIF(89:89,G27,90:90)-SUMIF(89:89,C27,90:90)+100</f>
        <v>95</v>
      </c>
      <c r="I27" s="565" t="s">
        <v>3398</v>
      </c>
      <c r="J27" s="386">
        <f>SUMIF(89:89,I27,90:90)-SUMIF(89:89,C27,90:90)+100</f>
        <v>100</v>
      </c>
      <c r="K27" s="561">
        <v>5</v>
      </c>
      <c r="L27" s="2720"/>
      <c r="M27" s="2714"/>
      <c r="N27" s="2714"/>
      <c r="O27" s="2714"/>
      <c r="P27" s="3694"/>
      <c r="Q27" s="1352" t="str">
        <f t="shared" ref="Q27:Q47" si="11">B27</f>
        <v>楼层</v>
      </c>
      <c r="R27" s="705" t="s">
        <v>14</v>
      </c>
      <c r="S27" s="706">
        <f>F27</f>
        <v>95</v>
      </c>
      <c r="T27" s="705" t="s">
        <v>14</v>
      </c>
      <c r="U27" s="706">
        <f>H27</f>
        <v>95</v>
      </c>
      <c r="V27" s="705" t="s">
        <v>14</v>
      </c>
      <c r="W27" s="706">
        <f>J27</f>
        <v>100</v>
      </c>
      <c r="X27" s="1355"/>
      <c r="Y27" s="3696"/>
      <c r="Z27" s="1356" t="str">
        <f>Q27</f>
        <v>楼层</v>
      </c>
      <c r="AA27" s="1353">
        <f t="shared" si="3"/>
        <v>1.0526315789473684</v>
      </c>
      <c r="AB27" s="1353">
        <f t="shared" si="4"/>
        <v>1.0526315789473684</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4"/>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4"/>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v>5</v>
      </c>
      <c r="L33" s="2720"/>
      <c r="M33" s="2714"/>
      <c r="N33" s="2714"/>
      <c r="O33" s="2714"/>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f>'数据-汇总表'!E3</f>
        <v>481.7</v>
      </c>
      <c r="D34" s="127">
        <v>100</v>
      </c>
      <c r="E34" s="385">
        <v>900</v>
      </c>
      <c r="F34" s="376">
        <f>LOOKUP(E34,104:104,105:105)-LOOKUP(C34,104:104,105:105)+100</f>
        <v>96</v>
      </c>
      <c r="G34" s="385">
        <v>173.18</v>
      </c>
      <c r="H34" s="127">
        <f>LOOKUP(G34,104:104,105:105)-LOOKUP(C34,104:104,105:105)+100</f>
        <v>100</v>
      </c>
      <c r="I34" s="380">
        <v>100.82</v>
      </c>
      <c r="J34" s="127">
        <f>LOOKUP(I34,104:104,105:105)-LOOKUP(C34,104:104,105:105)+100</f>
        <v>100</v>
      </c>
      <c r="K34" s="562"/>
      <c r="L34" s="2719"/>
      <c r="M34" s="2721"/>
      <c r="N34" s="2721"/>
      <c r="O34" s="2721"/>
      <c r="P34" s="3698"/>
      <c r="Q34" s="707" t="str">
        <f t="shared" si="11"/>
        <v>项目建筑规模</v>
      </c>
      <c r="R34" s="708" t="s">
        <v>14</v>
      </c>
      <c r="S34" s="709">
        <f t="shared" si="12"/>
        <v>96</v>
      </c>
      <c r="T34" s="708" t="s">
        <v>14</v>
      </c>
      <c r="U34" s="709">
        <f t="shared" si="13"/>
        <v>100</v>
      </c>
      <c r="V34" s="708" t="s">
        <v>14</v>
      </c>
      <c r="W34" s="709">
        <f t="shared" si="14"/>
        <v>100</v>
      </c>
      <c r="X34" s="710"/>
      <c r="Y34" s="3700"/>
      <c r="Z34" s="711" t="str">
        <f t="shared" si="15"/>
        <v>项目建筑规模</v>
      </c>
      <c r="AA34" s="1353">
        <f t="shared" si="3"/>
        <v>1.0416666666666667</v>
      </c>
      <c r="AB34" s="1353">
        <f t="shared" si="4"/>
        <v>1</v>
      </c>
      <c r="AC34" s="1962">
        <f t="shared" si="5"/>
        <v>1</v>
      </c>
    </row>
    <row r="35" spans="1:29" ht="15">
      <c r="A35" s="423"/>
      <c r="B35" s="375" t="s">
        <v>1698</v>
      </c>
      <c r="C35" s="411" t="s">
        <v>3386</v>
      </c>
      <c r="D35" s="386">
        <v>100</v>
      </c>
      <c r="E35" s="411" t="s">
        <v>3386</v>
      </c>
      <c r="F35" s="412">
        <f>SUMIF(106:106,E35,107:107)-SUMIF(106:106,C35,107:107)+100</f>
        <v>100</v>
      </c>
      <c r="G35" s="411" t="s">
        <v>3386</v>
      </c>
      <c r="H35" s="386">
        <f>SUMIF(106:106,G35,107:107)-SUMIF(106:106,C35,107:107)+100</f>
        <v>100</v>
      </c>
      <c r="I35" s="411" t="s">
        <v>3386</v>
      </c>
      <c r="J35" s="386">
        <f>SUMIF(106:106,I35,107:107)-SUMIF(106:106,C35,107:107)+100</f>
        <v>100</v>
      </c>
      <c r="K35" s="561">
        <v>2</v>
      </c>
      <c r="L35" s="2720"/>
      <c r="M35" s="2714"/>
      <c r="N35" s="2714"/>
      <c r="O35" s="2714"/>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0"/>
      <c r="M36" s="2714"/>
      <c r="N36" s="2714"/>
      <c r="O36" s="2714"/>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0.9</v>
      </c>
      <c r="F37" s="412">
        <f>LOOKUP(E37,111:111,112:112)-LOOKUP(C37,111:111,112:112)+100</f>
        <v>101.5</v>
      </c>
      <c r="G37" s="425">
        <f>C37</f>
        <v>0.83</v>
      </c>
      <c r="H37" s="412">
        <f>LOOKUP(G37,111:111,112:112)-LOOKUP(C37,111:111,112:112)+100</f>
        <v>100</v>
      </c>
      <c r="I37" s="425">
        <v>0.9</v>
      </c>
      <c r="J37" s="386">
        <f>LOOKUP(I37,111:111,112:112)-LOOKUP(C37,111:111,112:112)+100</f>
        <v>101.5</v>
      </c>
      <c r="K37" s="561">
        <v>1.5</v>
      </c>
      <c r="L37" s="2720"/>
      <c r="M37" s="2714"/>
      <c r="N37" s="2714"/>
      <c r="O37" s="2714"/>
      <c r="P37" s="3698"/>
      <c r="Q37" s="1352" t="str">
        <f t="shared" si="11"/>
        <v>成新度</v>
      </c>
      <c r="R37" s="705" t="s">
        <v>14</v>
      </c>
      <c r="S37" s="706">
        <f t="shared" si="12"/>
        <v>101.5</v>
      </c>
      <c r="T37" s="705" t="s">
        <v>14</v>
      </c>
      <c r="U37" s="706">
        <f t="shared" si="13"/>
        <v>100</v>
      </c>
      <c r="V37" s="705" t="s">
        <v>14</v>
      </c>
      <c r="W37" s="706">
        <f t="shared" si="14"/>
        <v>101.5</v>
      </c>
      <c r="X37" s="1355"/>
      <c r="Y37" s="3700"/>
      <c r="Z37" s="1356" t="str">
        <f t="shared" si="15"/>
        <v>成新度</v>
      </c>
      <c r="AA37" s="1353">
        <f t="shared" si="3"/>
        <v>0.98522167487684731</v>
      </c>
      <c r="AB37" s="1353">
        <f t="shared" si="4"/>
        <v>1</v>
      </c>
      <c r="AC37" s="1962">
        <f t="shared" si="5"/>
        <v>0.98522167487684731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t="s">
        <v>3405</v>
      </c>
      <c r="D39" s="386">
        <v>100</v>
      </c>
      <c r="E39" s="411" t="s">
        <v>3405</v>
      </c>
      <c r="F39" s="412">
        <f>SUMIF(115:115,E39,116:116)-SUMIF(115:115,C39,116:116)+100</f>
        <v>100</v>
      </c>
      <c r="G39" s="411" t="s">
        <v>3405</v>
      </c>
      <c r="H39" s="386">
        <f>SUMIF(115:115,G39,116:116)-SUMIF(115:115,C39,116:116)+100</f>
        <v>100</v>
      </c>
      <c r="I39" s="411" t="s">
        <v>3405</v>
      </c>
      <c r="J39" s="386">
        <f>SUMIF(115:115,I39,116:116)-SUMIF(115:115,C39,116:116)+100</f>
        <v>100</v>
      </c>
      <c r="K39" s="561">
        <v>2</v>
      </c>
      <c r="L39" s="2720"/>
      <c r="M39" s="2714"/>
      <c r="N39" s="2714"/>
      <c r="O39" s="2714"/>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t="s">
        <v>3416</v>
      </c>
      <c r="D40" s="386">
        <v>100</v>
      </c>
      <c r="E40" s="411" t="s">
        <v>3416</v>
      </c>
      <c r="F40" s="412">
        <f>SUMIF(117:117,E40,118:118)-SUMIF(117:117,C40,118:118)+100</f>
        <v>100</v>
      </c>
      <c r="G40" s="411" t="s">
        <v>3416</v>
      </c>
      <c r="H40" s="386">
        <f>SUMIF(117:117,G40,118:118)-SUMIF(117:117,C40,118:118)+100</f>
        <v>100</v>
      </c>
      <c r="I40" s="411" t="s">
        <v>3416</v>
      </c>
      <c r="J40" s="386">
        <f>SUMIF(117:117,I40,118:118)-SUMIF(117:117,C40,118:118)+100</f>
        <v>100</v>
      </c>
      <c r="K40" s="561">
        <v>1</v>
      </c>
      <c r="L40" s="2720"/>
      <c r="M40" s="2714"/>
      <c r="N40" s="2714"/>
      <c r="O40" s="2714"/>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t="s">
        <v>3417</v>
      </c>
      <c r="D41" s="386">
        <v>100</v>
      </c>
      <c r="E41" s="565" t="s">
        <v>3417</v>
      </c>
      <c r="F41" s="412">
        <f>SUMIF(119:119,E41,120:120)-SUMIF(119:119,C41,120:120)+100</f>
        <v>100</v>
      </c>
      <c r="G41" s="565" t="s">
        <v>3417</v>
      </c>
      <c r="H41" s="386">
        <f>SUMIF(119:119,G41,120:120)-SUMIF(119:119,C41,120:120)+100</f>
        <v>100</v>
      </c>
      <c r="I41" s="565" t="s">
        <v>3417</v>
      </c>
      <c r="J41" s="386">
        <f>SUMIF(119:119,I41,120:120)-SUMIF(119:119,C41,120:120)+100</f>
        <v>100</v>
      </c>
      <c r="K41" s="561">
        <v>5</v>
      </c>
      <c r="L41" s="2752"/>
      <c r="M41" s="2714"/>
      <c r="N41" s="2714"/>
      <c r="O41" s="2714"/>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t="s">
        <v>3415</v>
      </c>
      <c r="D43" s="386">
        <v>100</v>
      </c>
      <c r="E43" s="411" t="s">
        <v>3418</v>
      </c>
      <c r="F43" s="412">
        <f>SUMIF(123:123,E43,124:124)-SUMIF(123:123,C43,124:124)+100</f>
        <v>97.5</v>
      </c>
      <c r="G43" s="411" t="s">
        <v>3418</v>
      </c>
      <c r="H43" s="386">
        <f>SUMIF(123:123,G43,124:124)-SUMIF(123:123,C43,124:124)+100</f>
        <v>97.5</v>
      </c>
      <c r="I43" s="411" t="s">
        <v>3418</v>
      </c>
      <c r="J43" s="386">
        <f>SUMIF(123:123,I43,124:124)-SUMIF(123:123,C43,124:124)+100</f>
        <v>97.5</v>
      </c>
      <c r="K43" s="561">
        <v>2.5</v>
      </c>
      <c r="L43" s="2720"/>
      <c r="M43" s="2714"/>
      <c r="N43" s="2714"/>
      <c r="O43" s="2714"/>
      <c r="P43" s="3698"/>
      <c r="Q43" s="1352" t="str">
        <f t="shared" si="11"/>
        <v>内部装修</v>
      </c>
      <c r="R43" s="705" t="s">
        <v>14</v>
      </c>
      <c r="S43" s="706">
        <f t="shared" si="12"/>
        <v>97.5</v>
      </c>
      <c r="T43" s="705" t="s">
        <v>14</v>
      </c>
      <c r="U43" s="706">
        <f t="shared" si="13"/>
        <v>97.5</v>
      </c>
      <c r="V43" s="705" t="s">
        <v>14</v>
      </c>
      <c r="W43" s="706">
        <f t="shared" si="14"/>
        <v>97.5</v>
      </c>
      <c r="X43" s="1355"/>
      <c r="Y43" s="3700"/>
      <c r="Z43" s="1356" t="str">
        <f t="shared" si="15"/>
        <v>内部装修</v>
      </c>
      <c r="AA43" s="1353">
        <f t="shared" si="3"/>
        <v>1.0256410256410255</v>
      </c>
      <c r="AB43" s="1353">
        <f t="shared" si="4"/>
        <v>1.0256410256410255</v>
      </c>
      <c r="AC43" s="1962">
        <f t="shared" si="5"/>
        <v>1.0256410256410255</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20"/>
      <c r="M44" s="2714"/>
      <c r="N44" s="2714"/>
      <c r="O44" s="2714"/>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v>30112</v>
      </c>
      <c r="F48" s="1157"/>
      <c r="G48" s="1158">
        <v>31759</v>
      </c>
      <c r="H48" s="1159"/>
      <c r="I48" s="1156">
        <v>31740</v>
      </c>
      <c r="J48" s="436"/>
      <c r="K48" s="714"/>
      <c r="L48" s="3463"/>
      <c r="M48" s="2714"/>
      <c r="N48" s="2714"/>
      <c r="O48" s="2714"/>
      <c r="P48" s="3673" t="str">
        <f>A48</f>
        <v>成交单价（元/平方米）</v>
      </c>
      <c r="Q48" s="3702"/>
      <c r="R48" s="3703">
        <f>E48</f>
        <v>30112</v>
      </c>
      <c r="S48" s="3703"/>
      <c r="T48" s="3703">
        <f>G48</f>
        <v>31759</v>
      </c>
      <c r="U48" s="3703"/>
      <c r="V48" s="3703">
        <f>I48</f>
        <v>31740</v>
      </c>
      <c r="W48" s="3703"/>
      <c r="X48" s="397"/>
      <c r="Y48" s="712"/>
      <c r="Z48" s="397"/>
      <c r="AA48" s="397"/>
      <c r="AB48" s="397"/>
      <c r="AC48" s="578"/>
    </row>
    <row r="49" spans="1:29" ht="15.75" thickBot="1">
      <c r="A49" s="437" t="s">
        <v>1793</v>
      </c>
      <c r="B49" s="438"/>
      <c r="C49" s="1160">
        <f>R50</f>
        <v>33366</v>
      </c>
      <c r="D49" s="2317" t="s">
        <v>2138</v>
      </c>
      <c r="E49" s="1161">
        <f>R49</f>
        <v>33374</v>
      </c>
      <c r="F49" s="2318"/>
      <c r="G49" s="1160">
        <f>T49</f>
        <v>34641</v>
      </c>
      <c r="H49" s="2318"/>
      <c r="I49" s="1161">
        <f>V49</f>
        <v>32082</v>
      </c>
      <c r="J49" s="2318"/>
      <c r="K49" s="2320">
        <f>F49+H49+J49</f>
        <v>0</v>
      </c>
      <c r="L49" s="2722"/>
      <c r="M49" s="2714"/>
      <c r="N49" s="2714"/>
      <c r="O49" s="2714"/>
      <c r="P49" s="3673" t="str">
        <f>A49</f>
        <v>比较价值（元/平方米）</v>
      </c>
      <c r="Q49" s="3702"/>
      <c r="R49" s="3703">
        <f>IF(F1="售价",ROUND(PRODUCT(R48,AA7:AA47),0),ROUND(PRODUCT(R48,AA7:AA47),1))</f>
        <v>33374</v>
      </c>
      <c r="S49" s="3703"/>
      <c r="T49" s="3703">
        <f>IF(F1="售价",ROUND(PRODUCT(T48,AB7:AB47),0),ROUND(PRODUCT(T48,AB7:AB47),1))</f>
        <v>34641</v>
      </c>
      <c r="U49" s="3703"/>
      <c r="V49" s="3703">
        <f>IF(F1="售价",ROUND(PRODUCT(V48,AC7:AC47),0),ROUND(PRODUCT(V48,AC7:AC47),1))</f>
        <v>32082</v>
      </c>
      <c r="W49" s="3703"/>
      <c r="X49" s="397"/>
      <c r="Y49" s="397"/>
      <c r="Z49" s="397"/>
      <c r="AA49" s="397"/>
      <c r="AB49" s="397"/>
      <c r="AC49" s="578"/>
    </row>
    <row r="50" spans="1:29" ht="15.75" thickBot="1">
      <c r="A50" s="441" t="s">
        <v>1794</v>
      </c>
      <c r="B50" s="442"/>
      <c r="C50" s="1163">
        <f>R50</f>
        <v>33366</v>
      </c>
      <c r="D50" s="1163"/>
      <c r="E50" s="1163"/>
      <c r="F50" s="1163"/>
      <c r="G50" s="1163"/>
      <c r="H50" s="1163"/>
      <c r="I50" s="1163"/>
      <c r="J50" s="443"/>
      <c r="K50" s="715"/>
      <c r="L50" s="2722"/>
      <c r="M50" s="2714"/>
      <c r="N50" s="2714"/>
      <c r="O50" s="2714"/>
      <c r="P50" s="3704" t="str">
        <f>A50</f>
        <v>估价对象XX用房的比较价值（楼面单价，元/平方米）</v>
      </c>
      <c r="Q50" s="3705"/>
      <c r="R50" s="3706">
        <f>IF(F1="售价",ROUND(IF(D49="简单平均",AVERAGE(R49:V49),R49*F49+T49*H49+V49*J49),0),ROUND(IF(D49="简单平均",AVERAGE(R49:V49),R49*F49+T49*H49+V49*J49),1))</f>
        <v>33366</v>
      </c>
      <c r="S50" s="3706"/>
      <c r="T50" s="3706"/>
      <c r="U50" s="3706"/>
      <c r="V50" s="3706"/>
      <c r="W50" s="3706"/>
      <c r="X50" s="1946"/>
      <c r="Y50" s="1946"/>
      <c r="Z50" s="1946"/>
      <c r="AA50" s="1946"/>
      <c r="AB50" s="1946"/>
      <c r="AC50" s="1947"/>
    </row>
    <row r="51" spans="1:29">
      <c r="A51" s="2723"/>
      <c r="B51" s="2723"/>
      <c r="C51" s="2723"/>
      <c r="D51" s="2723"/>
      <c r="E51" s="2723"/>
      <c r="F51" s="2723"/>
      <c r="G51" s="2727">
        <v>20.05</v>
      </c>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0.10832890541976625</v>
      </c>
      <c r="F53" s="449" t="str">
        <f>IF(OR(E53&gt;=0.3,E53&lt;=-0.3),"超过30%","")</f>
        <v/>
      </c>
      <c r="G53" s="448">
        <f>IF(G48&lt;G49,G49/G48-1,G48/G49-1)</f>
        <v>9.0745930287477572E-2</v>
      </c>
      <c r="H53" s="449" t="str">
        <f>IF(OR(G53&gt;=0.3,G53&lt;=-0.3),"超过30%","")</f>
        <v/>
      </c>
      <c r="I53" s="448">
        <f>IF(I48&lt;I49,I49/I48-1,I48/I49-1)</f>
        <v>1.0775047258979153E-2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3.7963684305147627E-2</v>
      </c>
      <c r="F54" s="449" t="str">
        <f>IF(OR(E54&gt;=0.2,E54&lt;=-0.2),"超过20%","")</f>
        <v/>
      </c>
      <c r="G54" s="448">
        <f>IF(G49&lt;I49,I49/G49-1,G49/I49-1)</f>
        <v>7.9764353843276625E-2</v>
      </c>
      <c r="H54" s="449" t="str">
        <f>IF(OR(G54&gt;=0.2,G54&lt;=-0.2),"超过20%","")</f>
        <v/>
      </c>
      <c r="I54" s="448">
        <f>IF(I49&lt;E49,E49/I49-1,I49/E49-1)</f>
        <v>4.027180350352233E-2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5.4695802337938471E-2</v>
      </c>
      <c r="F55" s="449" t="str">
        <f>IF(OR(E55&gt;=0.3,E55&lt;=-0.3),"超过30%","")</f>
        <v/>
      </c>
      <c r="G55" s="448">
        <f>IF(G48&lt;I48,I48/G48-1,G48/I48-1)</f>
        <v>5.9861373660985429E-4</v>
      </c>
      <c r="H55" s="449" t="str">
        <f>IF(OR(G55&gt;=0.3,G55&lt;=-0.3),"超过30%","")</f>
        <v/>
      </c>
      <c r="I55" s="448">
        <f>IF(I48&lt;E48,E48/I48-1,I48/E48-1)</f>
        <v>5.4064824654622701E-2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3" t="s">
        <v>3428</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商业</v>
      </c>
      <c r="D64" s="3451" t="s">
        <v>3430</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98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3449" t="s">
        <v>3431</v>
      </c>
      <c r="D66" s="3449" t="s">
        <v>3432</v>
      </c>
      <c r="E66" s="3449" t="s">
        <v>3433</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101</v>
      </c>
      <c r="E67" s="485">
        <v>101</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0" t="s">
        <v>3397</v>
      </c>
      <c r="D89" s="3450" t="s">
        <v>3399</v>
      </c>
      <c r="E89" s="3450" t="s">
        <v>3401</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1" t="s">
        <v>3403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1737</v>
      </c>
      <c r="C103" s="527" t="str">
        <f>C104&amp;"(含)"&amp;"-"&amp;D104</f>
        <v>0(含)-500</v>
      </c>
      <c r="D103" s="527" t="str">
        <f t="shared" ref="D103:L103" si="23">D104&amp;"(含)"&amp;"-"&amp;E104</f>
        <v>500(含)-1000</v>
      </c>
      <c r="E103" s="527" t="str">
        <f t="shared" si="23"/>
        <v>1000(含)-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58">
        <v>0</v>
      </c>
      <c r="D104" s="3458">
        <v>500</v>
      </c>
      <c r="E104" s="3458">
        <v>1000</v>
      </c>
      <c r="F104" s="3458"/>
      <c r="G104" s="3458"/>
      <c r="H104" s="3458"/>
      <c r="I104" s="3458"/>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57">
        <v>100</v>
      </c>
      <c r="D105" s="3457">
        <v>96</v>
      </c>
      <c r="E105" s="3457"/>
      <c r="F105" s="3457"/>
      <c r="G105" s="3457"/>
      <c r="H105" s="3457"/>
      <c r="I105" s="3457"/>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0" t="s">
        <v>3404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0" t="s">
        <v>3408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101.5</v>
      </c>
      <c r="E112" s="493">
        <f t="shared" ref="E112:M112" si="26">D112+$K37</f>
        <v>103</v>
      </c>
      <c r="F112" s="493">
        <f t="shared" si="26"/>
        <v>104.5</v>
      </c>
      <c r="G112" s="493">
        <f t="shared" si="26"/>
        <v>106</v>
      </c>
      <c r="H112" s="493">
        <f t="shared" si="26"/>
        <v>107.5</v>
      </c>
      <c r="I112" s="493">
        <f t="shared" si="26"/>
        <v>109</v>
      </c>
      <c r="J112" s="493">
        <f t="shared" si="26"/>
        <v>110.5</v>
      </c>
      <c r="K112" s="493">
        <f t="shared" si="26"/>
        <v>112</v>
      </c>
      <c r="L112" s="493">
        <f t="shared" si="26"/>
        <v>113.5</v>
      </c>
      <c r="M112" s="493">
        <f t="shared" si="26"/>
        <v>115</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0" t="s">
        <v>3406</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f>C42</f>
        <v>0</v>
      </c>
      <c r="D121" s="503">
        <f>E42</f>
        <v>0</v>
      </c>
      <c r="E121" s="503">
        <f>G42</f>
        <v>0</v>
      </c>
      <c r="F121" s="532">
        <f>I42</f>
        <v>0</v>
      </c>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v>100</v>
      </c>
      <c r="D122" s="509">
        <v>96</v>
      </c>
      <c r="E122" s="509">
        <v>100</v>
      </c>
      <c r="F122" s="509">
        <v>92</v>
      </c>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0" t="s">
        <v>3408</v>
      </c>
      <c r="D123" s="3450" t="s">
        <v>3409</v>
      </c>
      <c r="E123" s="3450" t="s">
        <v>3410</v>
      </c>
      <c r="F123" s="3452" t="s">
        <v>3411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97.5</v>
      </c>
      <c r="E124" s="493">
        <f t="shared" si="30"/>
        <v>95</v>
      </c>
      <c r="F124" s="493">
        <f t="shared" si="30"/>
        <v>92.5</v>
      </c>
      <c r="G124" s="493">
        <f t="shared" si="30"/>
        <v>90</v>
      </c>
      <c r="H124" s="493">
        <f t="shared" si="30"/>
        <v>87.5</v>
      </c>
      <c r="I124" s="493">
        <f t="shared" si="30"/>
        <v>85</v>
      </c>
      <c r="J124" s="493">
        <f t="shared" si="30"/>
        <v>82.5</v>
      </c>
      <c r="K124" s="493">
        <f t="shared" si="30"/>
        <v>80</v>
      </c>
      <c r="L124" s="493">
        <f t="shared" si="30"/>
        <v>77.5</v>
      </c>
      <c r="M124" s="494">
        <f t="shared" si="30"/>
        <v>75</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26.06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979.41600000000005</v>
      </c>
      <c r="C2" s="1387" t="s">
        <v>879</v>
      </c>
      <c r="D2" s="1471">
        <f ca="1">C40+J29+L46</f>
        <v>9794160</v>
      </c>
      <c r="E2" s="1388" t="s">
        <v>880</v>
      </c>
      <c r="F2" s="1389"/>
      <c r="G2" s="2704"/>
      <c r="H2" s="2693"/>
      <c r="I2" s="2693"/>
      <c r="J2" s="2693"/>
      <c r="K2" s="2694"/>
      <c r="L2" s="2693"/>
      <c r="M2" s="2693"/>
    </row>
    <row r="3" spans="1:37" ht="18" customHeight="1" thickBot="1">
      <c r="A3" s="1390" t="s">
        <v>881</v>
      </c>
      <c r="B3" s="1391">
        <f ca="1">IF(ISERROR(D2/F43),0,ROUND(D2/F43,0))</f>
        <v>20332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681276</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680425</v>
      </c>
      <c r="D6" s="155" t="s">
        <v>2106</v>
      </c>
      <c r="E6" s="302" t="s">
        <v>696</v>
      </c>
      <c r="F6" s="303">
        <f ca="1">INDIRECT("'数据-取费表'!u"&amp;$G$1)</f>
        <v>4.3</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481.7</v>
      </c>
      <c r="G7" s="1384"/>
      <c r="H7" s="304"/>
      <c r="I7" s="3653"/>
      <c r="J7" s="306"/>
      <c r="K7" s="307"/>
      <c r="L7" s="302" t="s">
        <v>697</v>
      </c>
      <c r="M7" s="303">
        <f ca="1">F7</f>
        <v>481.7</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851</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2729770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2312160</v>
      </c>
      <c r="D14" s="1345" t="s">
        <v>708</v>
      </c>
      <c r="E14" s="1342"/>
      <c r="F14" s="319"/>
      <c r="G14" s="1384"/>
      <c r="H14" s="982" t="s">
        <v>398</v>
      </c>
      <c r="I14" s="302" t="s">
        <v>709</v>
      </c>
      <c r="J14" s="21">
        <f ca="1">C29</f>
        <v>3288879</v>
      </c>
      <c r="K14" s="12"/>
      <c r="L14" s="807"/>
      <c r="M14" s="808"/>
    </row>
    <row r="15" spans="1:37" s="1397" customFormat="1" ht="18" customHeight="1" thickBot="1">
      <c r="A15" s="982" t="s">
        <v>399</v>
      </c>
      <c r="B15" s="302" t="s">
        <v>710</v>
      </c>
      <c r="C15" s="21">
        <f ca="1">ROUND(C14*F15,0)</f>
        <v>69365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16444</v>
      </c>
      <c r="K16" s="1087" t="s">
        <v>715</v>
      </c>
      <c r="L16" s="1088"/>
      <c r="M16" s="1072"/>
    </row>
    <row r="17" spans="1:37" s="1397" customFormat="1" ht="18" customHeight="1">
      <c r="A17" s="982" t="s">
        <v>681</v>
      </c>
      <c r="B17" s="302" t="s">
        <v>716</v>
      </c>
      <c r="C17" s="21">
        <f ca="1">ROUND(F17*(F43+INDIRECT("'数据-取费表'!S"&amp;$G$1)),0)</f>
        <v>96340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34682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2512547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50251</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16444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88417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-16444</v>
      </c>
      <c r="K25" s="1095" t="s">
        <v>753</v>
      </c>
      <c r="L25" s="1096"/>
      <c r="M25" s="1097"/>
    </row>
    <row r="26" spans="1:37" ht="18" customHeight="1">
      <c r="A26" s="982" t="s">
        <v>397</v>
      </c>
      <c r="B26" s="302" t="s">
        <v>754</v>
      </c>
      <c r="C26" s="21">
        <f ca="1">ROUND((C19+C20)*F26,0)</f>
        <v>384420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3288879</v>
      </c>
      <c r="D29" s="1092"/>
      <c r="E29" s="1090"/>
      <c r="F29" s="1093"/>
      <c r="G29" s="1396"/>
      <c r="H29" s="334" t="s">
        <v>396</v>
      </c>
      <c r="I29" s="335" t="s">
        <v>768</v>
      </c>
      <c r="J29" s="336">
        <f ca="1">ROUND(J26/(1+F40)^F41,0)</f>
        <v>0</v>
      </c>
      <c r="K29" s="337" t="s">
        <v>769</v>
      </c>
      <c r="L29" s="338"/>
      <c r="M29" s="339">
        <f ca="1">INDIRECT("'数据-取费表'!k"&amp;$G$1)</f>
        <v>481.7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136632</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114052</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36289</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77763</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16444</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2730</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3406</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544644</v>
      </c>
      <c r="D39" s="1095" t="s">
        <v>773</v>
      </c>
      <c r="E39" s="1096"/>
      <c r="F39" s="1097"/>
      <c r="G39" s="1384"/>
      <c r="H39" s="2698"/>
      <c r="I39" s="1398"/>
      <c r="J39" s="1399"/>
      <c r="K39" s="2702"/>
      <c r="L39" s="2698"/>
      <c r="M39" s="2698"/>
    </row>
    <row r="40" spans="1:18" ht="18" customHeight="1">
      <c r="A40" s="299" t="s">
        <v>395</v>
      </c>
      <c r="B40" s="300" t="s">
        <v>774</v>
      </c>
      <c r="C40" s="301">
        <f ca="1">ROUND(C39*(1-((1+F42)/(1+F40))^F41)/(F40-F42),0)</f>
        <v>9594356</v>
      </c>
      <c r="D40" s="324" t="s">
        <v>758</v>
      </c>
      <c r="E40" s="302" t="s">
        <v>759</v>
      </c>
      <c r="F40" s="312">
        <f ca="1">INDIRECT("'数据-取费表'!I"&amp;$G$1)</f>
        <v>5.5E-2</v>
      </c>
      <c r="G40" s="1384"/>
      <c r="H40" s="1461">
        <f ca="1">C39/C5</f>
        <v>0.79944692019093588</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26.06</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19918</v>
      </c>
      <c r="D43" s="337" t="s">
        <v>777</v>
      </c>
      <c r="E43" s="338" t="s">
        <v>778</v>
      </c>
      <c r="F43" s="339">
        <f ca="1">INDIRECT("'数据-取费表'!k"&amp;$G$1)</f>
        <v>481.7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-985.65989999999999</v>
      </c>
      <c r="D45" s="3430" t="s">
        <v>3355</v>
      </c>
      <c r="E45" s="1400"/>
      <c r="F45" s="1400"/>
      <c r="O45" s="1403" t="s">
        <v>808</v>
      </c>
      <c r="P45" s="1461"/>
      <c r="Q45" s="1461"/>
      <c r="R45" s="1461"/>
    </row>
    <row r="46" spans="1:18" s="1384" customFormat="1" ht="13.5" thickBot="1">
      <c r="A46" s="1404" t="s">
        <v>809</v>
      </c>
      <c r="C46" s="1405">
        <f ca="1">ROUND(C45,0)</f>
        <v>-986</v>
      </c>
      <c r="D46" s="1406" t="str">
        <f>C2</f>
        <v>万元</v>
      </c>
      <c r="I46" s="1407" t="s">
        <v>810</v>
      </c>
      <c r="J46" s="1408"/>
      <c r="K46" s="1409"/>
      <c r="L46" s="1410">
        <f ca="1">IF(M47="住宅",0,IF(L48&gt;J51,L60,J60))</f>
        <v>199804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9594356</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26.06</v>
      </c>
      <c r="O48" s="1418" t="s">
        <v>404</v>
      </c>
      <c r="P48" s="1419" t="s">
        <v>821</v>
      </c>
      <c r="Q48" s="1420">
        <f ca="1">J60</f>
        <v>199804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3288879</v>
      </c>
      <c r="R49" s="1420" t="s">
        <v>818</v>
      </c>
    </row>
    <row r="50" spans="1:18" s="1384" customFormat="1" ht="13.5" thickBot="1">
      <c r="A50" s="976"/>
      <c r="B50" s="979"/>
      <c r="C50" s="980"/>
      <c r="D50" s="953"/>
      <c r="E50" s="1056" t="s">
        <v>697</v>
      </c>
      <c r="F50" s="1057">
        <f ca="1">F7</f>
        <v>481.7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6454567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26.06</v>
      </c>
      <c r="K53" s="3650" t="s">
        <v>837</v>
      </c>
      <c r="L53" s="3651"/>
      <c r="O53" s="1418" t="s">
        <v>409</v>
      </c>
      <c r="P53" s="1419" t="s">
        <v>838</v>
      </c>
      <c r="Q53" s="1420">
        <f ca="1">Q47+Q48</f>
        <v>9794160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2729770</v>
      </c>
      <c r="D56" s="1447"/>
      <c r="E56" s="1448"/>
      <c r="F56" s="1440"/>
      <c r="I56" s="1449" t="s">
        <v>842</v>
      </c>
      <c r="J56" s="1450" t="s">
        <v>3388</v>
      </c>
      <c r="K56" s="1421" t="s">
        <v>843</v>
      </c>
      <c r="L56" s="1424" t="str">
        <f ca="1">IF(L48&lt;J51,"——",L48-J51)</f>
        <v>——</v>
      </c>
      <c r="O56" s="1418" t="s">
        <v>403</v>
      </c>
      <c r="P56" s="1419" t="s">
        <v>817</v>
      </c>
      <c r="Q56" s="1420">
        <f ca="1">C40+J29</f>
        <v>9594356</v>
      </c>
      <c r="R56" s="1420" t="s">
        <v>818</v>
      </c>
    </row>
    <row r="57" spans="1:18" s="1384" customFormat="1" ht="24.75" thickBot="1">
      <c r="A57" s="1451"/>
      <c r="B57" s="950" t="s">
        <v>767</v>
      </c>
      <c r="C57" s="238">
        <f ca="1">C29</f>
        <v>3288879</v>
      </c>
      <c r="D57" s="1452"/>
      <c r="E57" s="1453"/>
      <c r="F57" s="1454"/>
      <c r="I57" s="1455" t="s">
        <v>844</v>
      </c>
      <c r="J57" s="1456">
        <f ca="1">IF(OR(M47="住宅",J51&lt;L48,J56="是"),"——",J51-L48)</f>
        <v>23.94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19174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1315552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199804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9594356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16444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2730</v>
      </c>
      <c r="D65" s="964" t="s">
        <v>743</v>
      </c>
      <c r="E65" s="950" t="s">
        <v>744</v>
      </c>
      <c r="F65" s="330">
        <f t="shared" ca="1" si="0"/>
        <v>1E-3</v>
      </c>
      <c r="I65" s="1462" t="s">
        <v>867</v>
      </c>
      <c r="J65" s="1463">
        <v>40</v>
      </c>
      <c r="K65" s="1463">
        <v>30</v>
      </c>
      <c r="L65" s="1463">
        <v>50</v>
      </c>
      <c r="M65" s="1465">
        <v>0.02</v>
      </c>
      <c r="O65" s="1418" t="s">
        <v>403</v>
      </c>
      <c r="P65" s="1419" t="s">
        <v>868</v>
      </c>
      <c r="Q65" s="1420">
        <f ca="1">C40+J29</f>
        <v>9594356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-19174</v>
      </c>
      <c r="D67" s="963" t="s">
        <v>753</v>
      </c>
      <c r="E67" s="968"/>
      <c r="F67" s="969"/>
      <c r="O67" s="1428" t="s">
        <v>405</v>
      </c>
      <c r="P67" s="1419" t="s">
        <v>850</v>
      </c>
      <c r="Q67" s="1466">
        <f ca="1">L51</f>
        <v>6454567</v>
      </c>
      <c r="R67" s="1420" t="s">
        <v>870</v>
      </c>
    </row>
    <row r="68" spans="1:18" s="1384" customFormat="1" ht="16.5" thickBot="1">
      <c r="A68" s="947" t="s">
        <v>395</v>
      </c>
      <c r="B68" s="948" t="s">
        <v>774</v>
      </c>
      <c r="C68" s="301">
        <f ca="1">ROUND(C67*(1-((1+F70)/(1+F68))^F69)/(F68-F70),0)</f>
        <v>-262243</v>
      </c>
      <c r="D68" s="965" t="s">
        <v>758</v>
      </c>
      <c r="E68" s="950" t="s">
        <v>759</v>
      </c>
      <c r="F68" s="312">
        <f ca="1">F40</f>
        <v>5.5E-2</v>
      </c>
      <c r="O68" s="1428" t="s">
        <v>406</v>
      </c>
      <c r="P68" s="1467" t="s">
        <v>871</v>
      </c>
      <c r="Q68" s="1420">
        <f ca="1">ROUND(Q69-Q70*Q71,0)</f>
        <v>353560</v>
      </c>
      <c r="R68" s="1420" t="s">
        <v>414</v>
      </c>
    </row>
    <row r="69" spans="1:18" s="1384" customFormat="1" ht="13.5" thickBot="1">
      <c r="A69" s="951"/>
      <c r="B69" s="952"/>
      <c r="C69" s="306"/>
      <c r="D69" s="970" t="s">
        <v>762</v>
      </c>
      <c r="E69" s="950" t="s">
        <v>763</v>
      </c>
      <c r="F69" s="333">
        <f ca="1">F41</f>
        <v>26.06</v>
      </c>
      <c r="O69" s="1428" t="s">
        <v>411</v>
      </c>
      <c r="P69" s="1467" t="s">
        <v>872</v>
      </c>
      <c r="Q69" s="1420">
        <f ca="1">C39</f>
        <v>544644</v>
      </c>
      <c r="R69" s="1420" t="s">
        <v>818</v>
      </c>
    </row>
    <row r="70" spans="1:18" s="1384" customFormat="1" ht="13.5" thickBot="1">
      <c r="A70" s="954"/>
      <c r="B70" s="955"/>
      <c r="C70" s="310"/>
      <c r="D70" s="966"/>
      <c r="E70" s="950" t="s">
        <v>766</v>
      </c>
      <c r="F70" s="1054"/>
      <c r="O70" s="1428" t="s">
        <v>412</v>
      </c>
      <c r="P70" s="1467" t="s">
        <v>873</v>
      </c>
      <c r="Q70" s="1420">
        <f ca="1">C13</f>
        <v>2729770</v>
      </c>
      <c r="R70" s="1420" t="s">
        <v>818</v>
      </c>
    </row>
    <row r="71" spans="1:18" s="1384" customFormat="1" ht="13.5" thickBot="1">
      <c r="A71" s="971" t="s">
        <v>396</v>
      </c>
      <c r="B71" s="972" t="s">
        <v>776</v>
      </c>
      <c r="C71" s="336">
        <f ca="1">ROUND(C68/F71,0)</f>
        <v>-544</v>
      </c>
      <c r="D71" s="973" t="s">
        <v>777</v>
      </c>
      <c r="E71" s="974" t="s">
        <v>778</v>
      </c>
      <c r="F71" s="339">
        <f ca="1">F43</f>
        <v>481.7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191084</v>
      </c>
      <c r="D75" s="1384"/>
      <c r="E75" s="1384"/>
      <c r="F75" s="1384"/>
      <c r="K75" s="1402"/>
      <c r="L75" s="1384"/>
      <c r="O75" s="1418" t="s">
        <v>409</v>
      </c>
      <c r="P75" s="1419" t="s">
        <v>838</v>
      </c>
      <c r="Q75" s="1420">
        <f ca="1">Q65+Q66</f>
        <v>9594356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0.64900000000000002</v>
      </c>
    </row>
    <row r="80" spans="1:18">
      <c r="B80" s="340" t="s">
        <v>800</v>
      </c>
      <c r="C80" s="274">
        <f ca="1">ROUND(C75/C39,3)</f>
        <v>0.35099999999999998</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3361</v>
      </c>
      <c r="E2" s="3442"/>
      <c r="F2" s="2844"/>
      <c r="G2" s="2845"/>
      <c r="H2" s="2846"/>
      <c r="I2" s="2847"/>
      <c r="J2" s="3707" t="s">
        <v>2317</v>
      </c>
      <c r="K2" s="3708"/>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09" t="s">
        <v>2327</v>
      </c>
      <c r="K3" s="3710"/>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09" t="s">
        <v>2329</v>
      </c>
      <c r="K4" s="3710"/>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11" t="s">
        <v>2333</v>
      </c>
      <c r="B6" s="3712"/>
      <c r="C6" s="3713"/>
      <c r="D6" s="2868"/>
      <c r="E6" s="2869"/>
      <c r="F6" s="2870"/>
      <c r="G6" s="2871"/>
      <c r="H6" s="2846"/>
      <c r="I6" s="2847"/>
      <c r="J6" s="3714">
        <v>1</v>
      </c>
      <c r="K6" s="371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14"/>
      <c r="K7" s="3716"/>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18" t="s">
        <v>2347</v>
      </c>
      <c r="C8" s="3719"/>
      <c r="D8" s="2887" t="s">
        <v>2348</v>
      </c>
      <c r="E8" s="2888" t="s">
        <v>2349</v>
      </c>
      <c r="F8" s="2889" t="s">
        <v>2350</v>
      </c>
      <c r="G8" s="2890"/>
      <c r="H8" s="2846"/>
      <c r="I8" s="2847"/>
      <c r="J8" s="3714"/>
      <c r="K8" s="3716"/>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18" t="s">
        <v>2353</v>
      </c>
      <c r="C9" s="3719"/>
      <c r="D9" s="2887">
        <f>ROUND(D6*E9,0)</f>
        <v>0</v>
      </c>
      <c r="E9" s="2891"/>
      <c r="F9" s="2892" t="s">
        <v>2354</v>
      </c>
      <c r="G9" s="2871"/>
      <c r="H9" s="2846"/>
      <c r="I9" s="2847"/>
      <c r="J9" s="3714"/>
      <c r="K9" s="3716"/>
      <c r="L9" s="2881" t="s">
        <v>2355</v>
      </c>
      <c r="M9" s="2882"/>
      <c r="N9" s="2858"/>
      <c r="O9" s="2883"/>
      <c r="P9" s="2883"/>
      <c r="Q9" s="2884">
        <v>365</v>
      </c>
      <c r="R9" s="2885">
        <f t="shared" si="0"/>
        <v>0</v>
      </c>
      <c r="S9" s="2839"/>
      <c r="T9" s="2839"/>
      <c r="U9" s="2839"/>
      <c r="V9" s="2847"/>
    </row>
    <row r="10" spans="1:22" s="2851" customFormat="1" ht="13.15" customHeight="1">
      <c r="A10" s="2886">
        <v>2</v>
      </c>
      <c r="B10" s="3718" t="s">
        <v>2356</v>
      </c>
      <c r="C10" s="3719"/>
      <c r="D10" s="2887">
        <f>ROUND(D6*E10,0)</f>
        <v>0</v>
      </c>
      <c r="E10" s="2891"/>
      <c r="F10" s="2892" t="s">
        <v>2357</v>
      </c>
      <c r="G10" s="2871"/>
      <c r="H10" s="2846"/>
      <c r="I10" s="2847"/>
      <c r="J10" s="3714"/>
      <c r="K10" s="3716"/>
      <c r="L10" s="2881" t="s">
        <v>2358</v>
      </c>
      <c r="M10" s="2882"/>
      <c r="N10" s="2858"/>
      <c r="O10" s="2883"/>
      <c r="P10" s="2883"/>
      <c r="Q10" s="2884">
        <v>365</v>
      </c>
      <c r="R10" s="2885">
        <f t="shared" si="0"/>
        <v>0</v>
      </c>
      <c r="S10" s="2839"/>
      <c r="T10" s="2839"/>
      <c r="U10" s="2839"/>
      <c r="V10" s="2847"/>
    </row>
    <row r="11" spans="1:22" s="2851" customFormat="1" ht="13.15" customHeight="1">
      <c r="A11" s="2886">
        <v>3</v>
      </c>
      <c r="B11" s="3718" t="s">
        <v>2359</v>
      </c>
      <c r="C11" s="3719"/>
      <c r="D11" s="2887">
        <f>D12+D14+D15+D16</f>
        <v>0</v>
      </c>
      <c r="E11" s="2893" t="e">
        <f>D11/D6</f>
        <v>#DIV/0!</v>
      </c>
      <c r="F11" s="2889"/>
      <c r="G11" s="2890"/>
      <c r="H11" s="2846"/>
      <c r="I11" s="2847"/>
      <c r="J11" s="3714"/>
      <c r="K11" s="3716"/>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20" t="s">
        <v>2362</v>
      </c>
      <c r="C12" s="3721"/>
      <c r="D12" s="2895">
        <f>ROUND(D13*1.2%*(1-30%),0)</f>
        <v>0</v>
      </c>
      <c r="E12" s="2896">
        <v>1.2E-2</v>
      </c>
      <c r="F12" s="2889" t="s">
        <v>2363</v>
      </c>
      <c r="G12" s="2890"/>
      <c r="H12" s="2846"/>
      <c r="I12" s="2847"/>
      <c r="J12" s="3714"/>
      <c r="K12" s="3716"/>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14"/>
      <c r="K13" s="3716"/>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20" t="s">
        <v>2368</v>
      </c>
      <c r="C14" s="3721"/>
      <c r="D14" s="2895">
        <f>ROUND(E14*B5/10000,0)</f>
        <v>0</v>
      </c>
      <c r="E14" s="2884"/>
      <c r="F14" s="2889" t="s">
        <v>2369</v>
      </c>
      <c r="G14" s="2890"/>
      <c r="H14" s="2846"/>
      <c r="I14" s="2847"/>
      <c r="J14" s="3714"/>
      <c r="K14" s="371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20" t="s">
        <v>2372</v>
      </c>
      <c r="C15" s="3721"/>
      <c r="D15" s="2895">
        <f>ROUND(D6*E15,0)</f>
        <v>0</v>
      </c>
      <c r="E15" s="2896">
        <v>5.5E-2</v>
      </c>
      <c r="F15" s="2889" t="s">
        <v>2373</v>
      </c>
      <c r="G15" s="2871"/>
      <c r="H15" s="2846"/>
      <c r="I15" s="2847"/>
      <c r="J15" s="3714">
        <v>2</v>
      </c>
      <c r="K15" s="371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20" t="s">
        <v>2381</v>
      </c>
      <c r="C16" s="3721"/>
      <c r="D16" s="2906">
        <f>D6*E16</f>
        <v>0</v>
      </c>
      <c r="E16" s="2907"/>
      <c r="F16" s="2892" t="s">
        <v>2382</v>
      </c>
      <c r="G16" s="2871"/>
      <c r="H16" s="2846"/>
      <c r="I16" s="2847"/>
      <c r="J16" s="3714"/>
      <c r="K16" s="3716"/>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22" t="s">
        <v>2384</v>
      </c>
      <c r="C17" s="3723"/>
      <c r="D17" s="2909">
        <f>ROUND(D6*E17,0)</f>
        <v>0</v>
      </c>
      <c r="E17" s="2910"/>
      <c r="F17" s="2911" t="s">
        <v>2385</v>
      </c>
      <c r="G17" s="2871"/>
      <c r="H17" s="2846"/>
      <c r="I17" s="2847"/>
      <c r="J17" s="3714"/>
      <c r="K17" s="3716"/>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14"/>
      <c r="K18" s="3716"/>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14"/>
      <c r="K19" s="371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4">
        <v>3</v>
      </c>
      <c r="K20" s="371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14"/>
      <c r="K21" s="3716"/>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14"/>
      <c r="K22" s="3716"/>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14"/>
      <c r="K23" s="3716"/>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14"/>
      <c r="K24" s="371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24">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2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07" t="s">
        <v>2317</v>
      </c>
      <c r="K32" s="3708"/>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09" t="s">
        <v>2327</v>
      </c>
      <c r="K33" s="3710"/>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09" t="s">
        <v>2329</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14">
        <v>1</v>
      </c>
      <c r="K36" s="3715"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14"/>
      <c r="K37" s="3716"/>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4"/>
      <c r="K38" s="3716"/>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14"/>
      <c r="K39" s="3716"/>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14"/>
      <c r="K40" s="3717"/>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4">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2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979.41600000000005</v>
      </c>
      <c r="C2" s="1872" t="s">
        <v>1651</v>
      </c>
      <c r="D2" s="1873" t="s">
        <v>1652</v>
      </c>
      <c r="E2" s="2605">
        <f>SUM(E6:E13)</f>
        <v>481.7</v>
      </c>
      <c r="F2" s="2705"/>
      <c r="G2" s="1489"/>
      <c r="H2" s="1489"/>
      <c r="I2" s="1489"/>
      <c r="J2" s="1489"/>
      <c r="K2" s="1489"/>
      <c r="L2" s="1489"/>
      <c r="M2" s="1489"/>
      <c r="N2" s="1489"/>
      <c r="O2" s="1489"/>
      <c r="P2" s="1489"/>
      <c r="Q2" s="1489"/>
      <c r="R2" s="1489"/>
      <c r="S2" s="1489"/>
    </row>
    <row r="3" spans="1:22" ht="15.75">
      <c r="A3" s="1870" t="s">
        <v>686</v>
      </c>
      <c r="B3" s="2599">
        <f ca="1">ROUND(B2*10000/E2,0)</f>
        <v>20332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6" t="s">
        <v>1654</v>
      </c>
      <c r="C5" s="372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979.41600000000005</v>
      </c>
      <c r="C6" s="1872" t="s">
        <v>1651</v>
      </c>
      <c r="D6" s="2707"/>
      <c r="E6" s="2604">
        <f>IF(OR(A6=0,F6="否"),0,'数据-取费表'!K6+'数据-取费表'!S6)</f>
        <v>481.7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481.7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3"/>
      <c r="M4" s="2714"/>
      <c r="N4" s="2714"/>
      <c r="O4" s="2714"/>
      <c r="P4" s="3732" t="s">
        <v>1672</v>
      </c>
      <c r="Q4" s="3733"/>
      <c r="R4" s="3729" t="s">
        <v>1668</v>
      </c>
      <c r="S4" s="3730"/>
      <c r="T4" s="3729" t="s">
        <v>1669</v>
      </c>
      <c r="U4" s="3730"/>
      <c r="V4" s="3690" t="s">
        <v>1670</v>
      </c>
      <c r="W4" s="3690"/>
      <c r="X4" s="1355"/>
      <c r="Y4" s="3729" t="s">
        <v>1672</v>
      </c>
      <c r="Z4" s="3730"/>
      <c r="AA4" s="3728" t="s">
        <v>1668</v>
      </c>
      <c r="AB4" s="3728" t="s">
        <v>1669</v>
      </c>
      <c r="AC4" s="3728" t="s">
        <v>1670</v>
      </c>
    </row>
    <row r="5" spans="1:29" ht="15">
      <c r="A5" s="358"/>
      <c r="B5" s="359"/>
      <c r="C5" s="3666" t="s">
        <v>1673</v>
      </c>
      <c r="D5" s="3667"/>
      <c r="E5" s="3731" t="s">
        <v>1674</v>
      </c>
      <c r="F5" s="3665"/>
      <c r="G5" s="3666" t="s">
        <v>1675</v>
      </c>
      <c r="H5" s="3667"/>
      <c r="I5" s="3666" t="s">
        <v>1676</v>
      </c>
      <c r="J5" s="3667"/>
      <c r="K5" s="1890"/>
      <c r="L5" s="2713"/>
      <c r="M5" s="2714"/>
      <c r="N5" s="2714"/>
      <c r="O5" s="2714"/>
      <c r="P5" s="3734"/>
      <c r="Q5" s="3684"/>
      <c r="R5" s="3662"/>
      <c r="S5" s="3663"/>
      <c r="T5" s="3662"/>
      <c r="U5" s="3663"/>
      <c r="V5" s="3690"/>
      <c r="W5" s="3690"/>
      <c r="X5" s="1355"/>
      <c r="Y5" s="3662"/>
      <c r="Z5" s="3663"/>
      <c r="AA5" s="3656"/>
      <c r="AB5" s="3656"/>
      <c r="AC5" s="3656"/>
    </row>
    <row r="6" spans="1:29" ht="15.75" thickBot="1">
      <c r="A6" s="360"/>
      <c r="B6" s="361"/>
      <c r="C6" s="3668" t="s">
        <v>1677</v>
      </c>
      <c r="D6" s="3669"/>
      <c r="E6" s="3671" t="s">
        <v>1677</v>
      </c>
      <c r="F6" s="3672"/>
      <c r="G6" s="3668" t="s">
        <v>1677</v>
      </c>
      <c r="H6" s="3669"/>
      <c r="I6" s="3668" t="s">
        <v>1677</v>
      </c>
      <c r="J6" s="3669"/>
      <c r="K6" s="1890" t="s">
        <v>1678</v>
      </c>
      <c r="L6" s="2713"/>
      <c r="M6" s="2714"/>
      <c r="N6" s="2714"/>
      <c r="O6" s="2714"/>
      <c r="P6" s="3735"/>
      <c r="Q6" s="3686"/>
      <c r="R6" s="3662"/>
      <c r="S6" s="3663"/>
      <c r="T6" s="3687"/>
      <c r="U6" s="3688"/>
      <c r="V6" s="3690"/>
      <c r="W6" s="3690"/>
      <c r="X6" s="1355"/>
      <c r="Y6" s="3687"/>
      <c r="Z6" s="3688"/>
      <c r="AA6" s="3657"/>
      <c r="AB6" s="3657"/>
      <c r="AC6" s="365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58" t="s">
        <v>1680</v>
      </c>
      <c r="Q7" s="3692"/>
      <c r="R7" s="701" t="s">
        <v>20</v>
      </c>
      <c r="S7" s="702">
        <f t="shared" ref="S7:S15" si="0">F7</f>
        <v>0</v>
      </c>
      <c r="T7" s="701" t="s">
        <v>20</v>
      </c>
      <c r="U7" s="702">
        <f t="shared" ref="U7:U15" si="1">H7</f>
        <v>0</v>
      </c>
      <c r="V7" s="701" t="s">
        <v>20</v>
      </c>
      <c r="W7" s="702">
        <f t="shared" ref="W7:W15" si="2">J7</f>
        <v>0</v>
      </c>
      <c r="X7" s="703"/>
      <c r="Y7" s="3658" t="s">
        <v>1680</v>
      </c>
      <c r="Z7" s="365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58" t="s">
        <v>1683</v>
      </c>
      <c r="Q8" s="3659"/>
      <c r="R8" s="701" t="s">
        <v>20</v>
      </c>
      <c r="S8" s="702">
        <f t="shared" si="0"/>
        <v>100</v>
      </c>
      <c r="T8" s="701" t="s">
        <v>20</v>
      </c>
      <c r="U8" s="702">
        <f t="shared" si="1"/>
        <v>100</v>
      </c>
      <c r="V8" s="701" t="s">
        <v>20</v>
      </c>
      <c r="W8" s="702">
        <f t="shared" si="2"/>
        <v>100</v>
      </c>
      <c r="X8" s="703"/>
      <c r="Y8" s="3658" t="s">
        <v>1683</v>
      </c>
      <c r="Z8" s="365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3"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4"/>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4"/>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4"/>
      <c r="Q18" s="1352"/>
      <c r="R18" s="705"/>
      <c r="S18" s="706"/>
      <c r="T18" s="705"/>
      <c r="U18" s="706"/>
      <c r="V18" s="705"/>
      <c r="W18" s="706"/>
      <c r="X18" s="1355"/>
      <c r="Y18" s="369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4"/>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4"/>
      <c r="Q20" s="1352"/>
      <c r="R20" s="705"/>
      <c r="S20" s="706"/>
      <c r="T20" s="705"/>
      <c r="U20" s="706"/>
      <c r="V20" s="705"/>
      <c r="W20" s="706"/>
      <c r="X20" s="1355"/>
      <c r="Y20" s="369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4"/>
      <c r="Q22" s="1352"/>
      <c r="R22" s="705"/>
      <c r="S22" s="706"/>
      <c r="T22" s="705"/>
      <c r="U22" s="706"/>
      <c r="V22" s="705"/>
      <c r="W22" s="706"/>
      <c r="X22" s="1355"/>
      <c r="Y22" s="369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4"/>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4"/>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4"/>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4"/>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4"/>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4"/>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4"/>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4"/>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481.7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9" t="s">
        <v>1771</v>
      </c>
      <c r="S4" s="3730"/>
      <c r="T4" s="3729" t="s">
        <v>1772</v>
      </c>
      <c r="U4" s="3730"/>
      <c r="V4" s="3690" t="s">
        <v>1773</v>
      </c>
      <c r="W4" s="3690"/>
      <c r="X4" s="1355"/>
      <c r="Y4" s="3729" t="s">
        <v>1775</v>
      </c>
      <c r="Z4" s="3730"/>
      <c r="AA4" s="3728" t="s">
        <v>1771</v>
      </c>
      <c r="AB4" s="3690" t="s">
        <v>1772</v>
      </c>
      <c r="AC4" s="3728" t="s">
        <v>1773</v>
      </c>
    </row>
    <row r="5" spans="1:29" ht="15">
      <c r="A5" s="358"/>
      <c r="B5" s="359"/>
      <c r="C5" s="3666" t="s">
        <v>1673</v>
      </c>
      <c r="D5" s="3667"/>
      <c r="E5" s="3731" t="s">
        <v>1674</v>
      </c>
      <c r="F5" s="3665"/>
      <c r="G5" s="3666" t="s">
        <v>1675</v>
      </c>
      <c r="H5" s="3667"/>
      <c r="I5" s="3666" t="s">
        <v>1676</v>
      </c>
      <c r="J5" s="3667"/>
      <c r="K5" s="559"/>
      <c r="L5" s="2713"/>
      <c r="M5" s="2714"/>
      <c r="N5" s="2714"/>
      <c r="O5" s="2714"/>
      <c r="P5" s="3734"/>
      <c r="Q5" s="3684"/>
      <c r="R5" s="3662"/>
      <c r="S5" s="3663"/>
      <c r="T5" s="3662"/>
      <c r="U5" s="3663"/>
      <c r="V5" s="3690"/>
      <c r="W5" s="3690"/>
      <c r="X5" s="1355"/>
      <c r="Y5" s="3662"/>
      <c r="Z5" s="3663"/>
      <c r="AA5" s="3656"/>
      <c r="AB5" s="3690"/>
      <c r="AC5" s="3656"/>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735"/>
      <c r="Q6" s="3686"/>
      <c r="R6" s="3662"/>
      <c r="S6" s="3663"/>
      <c r="T6" s="3687"/>
      <c r="U6" s="3688"/>
      <c r="V6" s="3690"/>
      <c r="W6" s="3690"/>
      <c r="X6" s="1355"/>
      <c r="Y6" s="3687"/>
      <c r="Z6" s="3688"/>
      <c r="AA6" s="3657"/>
      <c r="AB6" s="3690"/>
      <c r="AC6" s="3657"/>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8" t="s">
        <v>1680</v>
      </c>
      <c r="Q7" s="3692"/>
      <c r="R7" s="701" t="s">
        <v>14</v>
      </c>
      <c r="S7" s="702">
        <f t="shared" ref="S7:S15" si="0">F7</f>
        <v>0</v>
      </c>
      <c r="T7" s="701" t="s">
        <v>14</v>
      </c>
      <c r="U7" s="702">
        <f t="shared" ref="U7:U15" si="1">H7</f>
        <v>0</v>
      </c>
      <c r="V7" s="701" t="s">
        <v>14</v>
      </c>
      <c r="W7" s="702">
        <f t="shared" ref="W7:W15" si="2">J7</f>
        <v>0</v>
      </c>
      <c r="X7" s="703"/>
      <c r="Y7" s="3658" t="s">
        <v>1680</v>
      </c>
      <c r="Z7" s="365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8" t="s">
        <v>1683</v>
      </c>
      <c r="Q8" s="3659"/>
      <c r="R8" s="701" t="s">
        <v>14</v>
      </c>
      <c r="S8" s="702">
        <f t="shared" si="0"/>
        <v>100</v>
      </c>
      <c r="T8" s="701" t="s">
        <v>14</v>
      </c>
      <c r="U8" s="702">
        <f t="shared" si="1"/>
        <v>100</v>
      </c>
      <c r="V8" s="701" t="s">
        <v>14</v>
      </c>
      <c r="W8" s="702">
        <f t="shared" si="2"/>
        <v>100</v>
      </c>
      <c r="X8" s="703"/>
      <c r="Y8" s="3658" t="s">
        <v>1683</v>
      </c>
      <c r="Z8" s="365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4"/>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4"/>
      <c r="Q18" s="1352"/>
      <c r="R18" s="705"/>
      <c r="S18" s="706"/>
      <c r="T18" s="705"/>
      <c r="U18" s="706"/>
      <c r="V18" s="705"/>
      <c r="W18" s="706"/>
      <c r="X18" s="1355"/>
      <c r="Y18" s="3696"/>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4"/>
      <c r="Q20" s="1352"/>
      <c r="R20" s="705"/>
      <c r="S20" s="706"/>
      <c r="T20" s="705"/>
      <c r="U20" s="706"/>
      <c r="V20" s="705"/>
      <c r="W20" s="706"/>
      <c r="X20" s="1355"/>
      <c r="Y20" s="369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4"/>
      <c r="Q22" s="1352"/>
      <c r="R22" s="705"/>
      <c r="S22" s="706"/>
      <c r="T22" s="705"/>
      <c r="U22" s="706"/>
      <c r="V22" s="705"/>
      <c r="W22" s="706"/>
      <c r="X22" s="1355"/>
      <c r="Y22" s="369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4"/>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94"/>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2" t="str">
        <f>A47</f>
        <v>成交单价（元/平方米）</v>
      </c>
      <c r="Q47" s="3702"/>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2" t="s">
        <v>1775</v>
      </c>
      <c r="Q4" s="3733"/>
      <c r="R4" s="3729" t="s">
        <v>1771</v>
      </c>
      <c r="S4" s="3730"/>
      <c r="T4" s="3729" t="s">
        <v>1772</v>
      </c>
      <c r="U4" s="3730"/>
      <c r="V4" s="3690" t="s">
        <v>1773</v>
      </c>
      <c r="W4" s="3690"/>
      <c r="X4" s="1355"/>
      <c r="Y4" s="3729" t="s">
        <v>1775</v>
      </c>
      <c r="Z4" s="3730"/>
      <c r="AA4" s="3728" t="s">
        <v>1771</v>
      </c>
      <c r="AB4" s="3656" t="s">
        <v>1772</v>
      </c>
      <c r="AC4" s="3728" t="s">
        <v>1773</v>
      </c>
    </row>
    <row r="5" spans="1:29" ht="15">
      <c r="A5" s="358"/>
      <c r="B5" s="359"/>
      <c r="C5" s="3666" t="s">
        <v>1673</v>
      </c>
      <c r="D5" s="3667"/>
      <c r="E5" s="3731" t="s">
        <v>1674</v>
      </c>
      <c r="F5" s="3665"/>
      <c r="G5" s="3666" t="s">
        <v>1675</v>
      </c>
      <c r="H5" s="3667"/>
      <c r="I5" s="3666" t="s">
        <v>1676</v>
      </c>
      <c r="J5" s="3667"/>
      <c r="K5" s="559"/>
      <c r="L5" s="913"/>
      <c r="M5" s="914"/>
      <c r="N5" s="914"/>
      <c r="O5" s="914"/>
      <c r="P5" s="3734"/>
      <c r="Q5" s="3684"/>
      <c r="R5" s="3662"/>
      <c r="S5" s="3663"/>
      <c r="T5" s="3662"/>
      <c r="U5" s="3663"/>
      <c r="V5" s="3690"/>
      <c r="W5" s="3690"/>
      <c r="X5" s="1355"/>
      <c r="Y5" s="3662"/>
      <c r="Z5" s="3663"/>
      <c r="AA5" s="3656"/>
      <c r="AB5" s="3656"/>
      <c r="AC5" s="3656"/>
    </row>
    <row r="6" spans="1:29" ht="15.75" thickBot="1">
      <c r="A6" s="360"/>
      <c r="B6" s="361"/>
      <c r="C6" s="3668" t="s">
        <v>1677</v>
      </c>
      <c r="D6" s="3669"/>
      <c r="E6" s="3671" t="s">
        <v>1677</v>
      </c>
      <c r="F6" s="3672"/>
      <c r="G6" s="3668" t="s">
        <v>1677</v>
      </c>
      <c r="H6" s="3669"/>
      <c r="I6" s="3668" t="s">
        <v>1677</v>
      </c>
      <c r="J6" s="3669"/>
      <c r="K6" s="559" t="s">
        <v>1678</v>
      </c>
      <c r="L6" s="913"/>
      <c r="M6" s="914"/>
      <c r="N6" s="914"/>
      <c r="O6" s="914"/>
      <c r="P6" s="3735"/>
      <c r="Q6" s="3686"/>
      <c r="R6" s="3662"/>
      <c r="S6" s="3663"/>
      <c r="T6" s="3687"/>
      <c r="U6" s="3688"/>
      <c r="V6" s="3690"/>
      <c r="W6" s="3690"/>
      <c r="X6" s="1355"/>
      <c r="Y6" s="3687"/>
      <c r="Z6" s="3688"/>
      <c r="AA6" s="3657"/>
      <c r="AB6" s="3657"/>
      <c r="AC6" s="3657"/>
    </row>
    <row r="7" spans="1:29" s="108" customFormat="1" ht="15.75" thickBot="1">
      <c r="A7" s="362" t="s">
        <v>1679</v>
      </c>
      <c r="B7" s="363"/>
      <c r="C7" s="364">
        <f>'数据-取费表'!B2</f>
        <v>45251</v>
      </c>
      <c r="D7" s="365">
        <v>100</v>
      </c>
      <c r="E7" s="366"/>
      <c r="F7" s="367">
        <f>SUMIF(52:52,YEAR(E7)&amp;"-"&amp;MONTH(E7),53:53)</f>
        <v>0</v>
      </c>
      <c r="G7" s="366"/>
      <c r="H7" s="365">
        <f>SUMIF(52:52,YEAR(G7)&amp;"-"&amp;MONTH(G7),53:53)</f>
        <v>0</v>
      </c>
      <c r="I7" s="366"/>
      <c r="J7" s="365">
        <f>SUMIF(52:52,YEAR(I7)&amp;"-"&amp;MONTH(I7),53:53)</f>
        <v>0</v>
      </c>
      <c r="K7" s="560"/>
      <c r="L7" s="915"/>
      <c r="M7" s="916"/>
      <c r="N7" s="916"/>
      <c r="O7" s="916"/>
      <c r="P7" s="3658" t="s">
        <v>1680</v>
      </c>
      <c r="Q7" s="3692"/>
      <c r="R7" s="701" t="s">
        <v>14</v>
      </c>
      <c r="S7" s="702">
        <f t="shared" ref="S7:S15" si="0">F7</f>
        <v>0</v>
      </c>
      <c r="T7" s="701" t="s">
        <v>14</v>
      </c>
      <c r="U7" s="702">
        <f t="shared" ref="U7:U15" si="1">H7</f>
        <v>0</v>
      </c>
      <c r="V7" s="701" t="s">
        <v>14</v>
      </c>
      <c r="W7" s="702">
        <f t="shared" ref="W7:W15" si="2">J7</f>
        <v>0</v>
      </c>
      <c r="X7" s="703"/>
      <c r="Y7" s="3658" t="s">
        <v>1680</v>
      </c>
      <c r="Z7" s="365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8" t="s">
        <v>1683</v>
      </c>
      <c r="Q8" s="3659"/>
      <c r="R8" s="701" t="s">
        <v>14</v>
      </c>
      <c r="S8" s="702">
        <f t="shared" si="0"/>
        <v>100</v>
      </c>
      <c r="T8" s="701" t="s">
        <v>14</v>
      </c>
      <c r="U8" s="702">
        <f t="shared" si="1"/>
        <v>100</v>
      </c>
      <c r="V8" s="701" t="s">
        <v>14</v>
      </c>
      <c r="W8" s="702">
        <f t="shared" si="2"/>
        <v>100</v>
      </c>
      <c r="X8" s="703"/>
      <c r="Y8" s="3658" t="s">
        <v>1683</v>
      </c>
      <c r="Z8" s="365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9" t="s">
        <v>1771</v>
      </c>
      <c r="S4" s="3730"/>
      <c r="T4" s="3729" t="s">
        <v>1772</v>
      </c>
      <c r="U4" s="3730"/>
      <c r="V4" s="3690" t="s">
        <v>1773</v>
      </c>
      <c r="W4" s="3690"/>
      <c r="X4" s="1355"/>
      <c r="Y4" s="3729" t="s">
        <v>1775</v>
      </c>
      <c r="Z4" s="3730"/>
      <c r="AA4" s="3728" t="s">
        <v>1771</v>
      </c>
      <c r="AB4" s="3656" t="s">
        <v>1772</v>
      </c>
      <c r="AC4" s="3728" t="s">
        <v>1773</v>
      </c>
    </row>
    <row r="5" spans="1:29" ht="15">
      <c r="A5" s="358"/>
      <c r="B5" s="359"/>
      <c r="C5" s="3666" t="s">
        <v>1673</v>
      </c>
      <c r="D5" s="3667"/>
      <c r="E5" s="3731" t="s">
        <v>1674</v>
      </c>
      <c r="F5" s="3665"/>
      <c r="G5" s="3666" t="s">
        <v>1675</v>
      </c>
      <c r="H5" s="3667"/>
      <c r="I5" s="3666" t="s">
        <v>1676</v>
      </c>
      <c r="J5" s="3667"/>
      <c r="K5" s="559"/>
      <c r="L5" s="2713"/>
      <c r="M5" s="2714"/>
      <c r="N5" s="2714"/>
      <c r="O5" s="2714"/>
      <c r="P5" s="3734"/>
      <c r="Q5" s="3684"/>
      <c r="R5" s="3662"/>
      <c r="S5" s="3663"/>
      <c r="T5" s="3662"/>
      <c r="U5" s="3663"/>
      <c r="V5" s="3690"/>
      <c r="W5" s="3690"/>
      <c r="X5" s="1355"/>
      <c r="Y5" s="3662"/>
      <c r="Z5" s="3663"/>
      <c r="AA5" s="3656"/>
      <c r="AB5" s="3656"/>
      <c r="AC5" s="3656"/>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735"/>
      <c r="Q6" s="3686"/>
      <c r="R6" s="3662"/>
      <c r="S6" s="3663"/>
      <c r="T6" s="3687"/>
      <c r="U6" s="3688"/>
      <c r="V6" s="3690"/>
      <c r="W6" s="3690"/>
      <c r="X6" s="1355"/>
      <c r="Y6" s="3687"/>
      <c r="Z6" s="3688"/>
      <c r="AA6" s="3657"/>
      <c r="AB6" s="3657"/>
      <c r="AC6" s="3657"/>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8" t="s">
        <v>1680</v>
      </c>
      <c r="Q7" s="3692"/>
      <c r="R7" s="701" t="s">
        <v>14</v>
      </c>
      <c r="S7" s="702">
        <f t="shared" ref="S7:S14" si="0">F7</f>
        <v>0</v>
      </c>
      <c r="T7" s="701" t="s">
        <v>14</v>
      </c>
      <c r="U7" s="702">
        <f t="shared" ref="U7:U14" si="1">H7</f>
        <v>0</v>
      </c>
      <c r="V7" s="701" t="s">
        <v>14</v>
      </c>
      <c r="W7" s="702">
        <f t="shared" ref="W7:W14" si="2">J7</f>
        <v>0</v>
      </c>
      <c r="X7" s="703"/>
      <c r="Y7" s="3658" t="s">
        <v>1680</v>
      </c>
      <c r="Z7" s="365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8" t="s">
        <v>1683</v>
      </c>
      <c r="Q8" s="3659"/>
      <c r="R8" s="701" t="s">
        <v>14</v>
      </c>
      <c r="S8" s="702">
        <f t="shared" si="0"/>
        <v>100</v>
      </c>
      <c r="T8" s="701" t="s">
        <v>14</v>
      </c>
      <c r="U8" s="702">
        <f t="shared" si="1"/>
        <v>100</v>
      </c>
      <c r="V8" s="701" t="s">
        <v>14</v>
      </c>
      <c r="W8" s="702">
        <f t="shared" si="2"/>
        <v>100</v>
      </c>
      <c r="X8" s="703"/>
      <c r="Y8" s="3658" t="s">
        <v>1683</v>
      </c>
      <c r="Z8" s="365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6"/>
      <c r="Q15" s="1352"/>
      <c r="R15" s="705"/>
      <c r="S15" s="706"/>
      <c r="T15" s="705"/>
      <c r="U15" s="706"/>
      <c r="V15" s="705"/>
      <c r="W15" s="706"/>
      <c r="X15" s="1355"/>
      <c r="Y15" s="369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6"/>
      <c r="Q17" s="1352"/>
      <c r="R17" s="705"/>
      <c r="S17" s="706"/>
      <c r="T17" s="705"/>
      <c r="U17" s="706"/>
      <c r="V17" s="705"/>
      <c r="W17" s="706"/>
      <c r="X17" s="1355"/>
      <c r="Y17" s="369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6"/>
      <c r="Q19" s="1352"/>
      <c r="R19" s="705"/>
      <c r="S19" s="706"/>
      <c r="T19" s="705"/>
      <c r="U19" s="706"/>
      <c r="V19" s="705"/>
      <c r="W19" s="706"/>
      <c r="X19" s="1355"/>
      <c r="Y19" s="369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2"/>
      <c r="M37" s="2723"/>
      <c r="N37" s="2714"/>
      <c r="O37" s="2723"/>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36" t="str">
        <f>A39</f>
        <v>估价对象XX用房的比较价值（楼面单价，元/平方米）</v>
      </c>
      <c r="Q39" s="3737"/>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21" sqref="Q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9" t="s">
        <v>1771</v>
      </c>
      <c r="S4" s="3730"/>
      <c r="T4" s="3729" t="s">
        <v>1772</v>
      </c>
      <c r="U4" s="3730"/>
      <c r="V4" s="3690" t="s">
        <v>1773</v>
      </c>
      <c r="W4" s="3690"/>
      <c r="X4" s="1355"/>
      <c r="Y4" s="3729" t="s">
        <v>1775</v>
      </c>
      <c r="Z4" s="3730"/>
      <c r="AA4" s="3728" t="s">
        <v>1771</v>
      </c>
      <c r="AB4" s="3656" t="s">
        <v>1772</v>
      </c>
      <c r="AC4" s="3728" t="s">
        <v>1773</v>
      </c>
    </row>
    <row r="5" spans="1:29" ht="15">
      <c r="A5" s="358"/>
      <c r="B5" s="359"/>
      <c r="C5" s="3666" t="s">
        <v>1673</v>
      </c>
      <c r="D5" s="3667"/>
      <c r="E5" s="3731" t="s">
        <v>1674</v>
      </c>
      <c r="F5" s="3665"/>
      <c r="G5" s="3666" t="s">
        <v>1675</v>
      </c>
      <c r="H5" s="3667"/>
      <c r="I5" s="3666" t="s">
        <v>1676</v>
      </c>
      <c r="J5" s="3667"/>
      <c r="K5" s="559"/>
      <c r="L5" s="2713"/>
      <c r="M5" s="2714"/>
      <c r="N5" s="2714"/>
      <c r="O5" s="2714"/>
      <c r="P5" s="3734"/>
      <c r="Q5" s="3684"/>
      <c r="R5" s="3662"/>
      <c r="S5" s="3663"/>
      <c r="T5" s="3662"/>
      <c r="U5" s="3663"/>
      <c r="V5" s="3690"/>
      <c r="W5" s="3690"/>
      <c r="X5" s="1355"/>
      <c r="Y5" s="3662"/>
      <c r="Z5" s="3663"/>
      <c r="AA5" s="3656"/>
      <c r="AB5" s="3656"/>
      <c r="AC5" s="3656"/>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735"/>
      <c r="Q6" s="3686"/>
      <c r="R6" s="3662"/>
      <c r="S6" s="3663"/>
      <c r="T6" s="3687"/>
      <c r="U6" s="3688"/>
      <c r="V6" s="3690"/>
      <c r="W6" s="3690"/>
      <c r="X6" s="1355"/>
      <c r="Y6" s="3687"/>
      <c r="Z6" s="3688"/>
      <c r="AA6" s="3657"/>
      <c r="AB6" s="3657"/>
      <c r="AC6" s="3657"/>
    </row>
    <row r="7" spans="1:29" s="108" customFormat="1" ht="15.75" thickBot="1">
      <c r="A7" s="362" t="s">
        <v>1679</v>
      </c>
      <c r="B7" s="363"/>
      <c r="C7" s="364">
        <f>'数据-取费表'!B2</f>
        <v>45251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58" t="s">
        <v>1680</v>
      </c>
      <c r="Q7" s="3692"/>
      <c r="R7" s="701" t="s">
        <v>14</v>
      </c>
      <c r="S7" s="702">
        <f t="shared" ref="S7:S14" si="0">F7</f>
        <v>0</v>
      </c>
      <c r="T7" s="701" t="s">
        <v>14</v>
      </c>
      <c r="U7" s="702">
        <f t="shared" ref="U7:U14" si="1">H7</f>
        <v>0</v>
      </c>
      <c r="V7" s="701" t="s">
        <v>14</v>
      </c>
      <c r="W7" s="702">
        <f t="shared" ref="W7:W14" si="2">J7</f>
        <v>0</v>
      </c>
      <c r="X7" s="703"/>
      <c r="Y7" s="3658" t="s">
        <v>1680</v>
      </c>
      <c r="Z7" s="365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8" t="s">
        <v>1683</v>
      </c>
      <c r="Q8" s="3659"/>
      <c r="R8" s="701" t="s">
        <v>14</v>
      </c>
      <c r="S8" s="702">
        <f t="shared" si="0"/>
        <v>100</v>
      </c>
      <c r="T8" s="701" t="s">
        <v>14</v>
      </c>
      <c r="U8" s="702">
        <f t="shared" si="1"/>
        <v>100</v>
      </c>
      <c r="V8" s="701" t="s">
        <v>14</v>
      </c>
      <c r="W8" s="702">
        <f t="shared" si="2"/>
        <v>100</v>
      </c>
      <c r="X8" s="703"/>
      <c r="Y8" s="3658" t="s">
        <v>1683</v>
      </c>
      <c r="Z8" s="365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6"/>
      <c r="Q15" s="1352"/>
      <c r="R15" s="705"/>
      <c r="S15" s="706"/>
      <c r="T15" s="705"/>
      <c r="U15" s="706"/>
      <c r="V15" s="705"/>
      <c r="W15" s="706"/>
      <c r="X15" s="1355"/>
      <c r="Y15" s="369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6"/>
      <c r="Q17" s="1352"/>
      <c r="R17" s="705"/>
      <c r="S17" s="706"/>
      <c r="T17" s="705"/>
      <c r="U17" s="706"/>
      <c r="V17" s="705"/>
      <c r="W17" s="706"/>
      <c r="X17" s="1355"/>
      <c r="Y17" s="369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6"/>
      <c r="Q19" s="1352"/>
      <c r="R19" s="705"/>
      <c r="S19" s="706"/>
      <c r="T19" s="705"/>
      <c r="U19" s="706"/>
      <c r="V19" s="705"/>
      <c r="W19" s="706"/>
      <c r="X19" s="1355"/>
      <c r="Y19" s="369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36" t="str">
        <f>A37</f>
        <v>估价对象XX用房的比较价值（楼面单价，元/平方米）</v>
      </c>
      <c r="Q37" s="3737"/>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9" t="s">
        <v>1771</v>
      </c>
      <c r="S4" s="3730"/>
      <c r="T4" s="3729" t="s">
        <v>1772</v>
      </c>
      <c r="U4" s="3730"/>
      <c r="V4" s="3690" t="s">
        <v>1773</v>
      </c>
      <c r="W4" s="3690"/>
      <c r="X4" s="1355"/>
      <c r="Y4" s="3729" t="s">
        <v>1775</v>
      </c>
      <c r="Z4" s="3730"/>
      <c r="AA4" s="3728" t="s">
        <v>1771</v>
      </c>
      <c r="AB4" s="3656" t="s">
        <v>1772</v>
      </c>
      <c r="AC4" s="3728" t="s">
        <v>1773</v>
      </c>
    </row>
    <row r="5" spans="1:30" ht="15">
      <c r="A5" s="358"/>
      <c r="B5" s="359"/>
      <c r="C5" s="3666" t="s">
        <v>1673</v>
      </c>
      <c r="D5" s="3667"/>
      <c r="E5" s="3731" t="s">
        <v>1674</v>
      </c>
      <c r="F5" s="3665"/>
      <c r="G5" s="3666" t="s">
        <v>1675</v>
      </c>
      <c r="H5" s="3667"/>
      <c r="I5" s="3666" t="s">
        <v>1676</v>
      </c>
      <c r="J5" s="3667"/>
      <c r="K5" s="559"/>
      <c r="L5" s="2713"/>
      <c r="M5" s="2714"/>
      <c r="N5" s="2714"/>
      <c r="O5" s="2714"/>
      <c r="P5" s="3734"/>
      <c r="Q5" s="3684"/>
      <c r="R5" s="3662"/>
      <c r="S5" s="3663"/>
      <c r="T5" s="3662"/>
      <c r="U5" s="3663"/>
      <c r="V5" s="3690"/>
      <c r="W5" s="3690"/>
      <c r="X5" s="1355"/>
      <c r="Y5" s="3662"/>
      <c r="Z5" s="3663"/>
      <c r="AA5" s="3656"/>
      <c r="AB5" s="3656"/>
      <c r="AC5" s="3656"/>
    </row>
    <row r="6" spans="1:30" ht="15.75" thickBot="1">
      <c r="A6" s="360"/>
      <c r="B6" s="361"/>
      <c r="C6" s="3668" t="s">
        <v>1677</v>
      </c>
      <c r="D6" s="3669"/>
      <c r="E6" s="3671" t="s">
        <v>1677</v>
      </c>
      <c r="F6" s="3672"/>
      <c r="G6" s="3668" t="s">
        <v>1677</v>
      </c>
      <c r="H6" s="3669"/>
      <c r="I6" s="3668" t="s">
        <v>1677</v>
      </c>
      <c r="J6" s="3669"/>
      <c r="K6" s="559" t="s">
        <v>1678</v>
      </c>
      <c r="L6" s="2713"/>
      <c r="M6" s="2714"/>
      <c r="N6" s="2714"/>
      <c r="O6" s="2714"/>
      <c r="P6" s="3735"/>
      <c r="Q6" s="3686"/>
      <c r="R6" s="3662"/>
      <c r="S6" s="3663"/>
      <c r="T6" s="3687"/>
      <c r="U6" s="3688"/>
      <c r="V6" s="3690"/>
      <c r="W6" s="3690"/>
      <c r="X6" s="1355"/>
      <c r="Y6" s="3687"/>
      <c r="Z6" s="3688"/>
      <c r="AA6" s="3657"/>
      <c r="AB6" s="3657"/>
      <c r="AC6" s="3657"/>
    </row>
    <row r="7" spans="1:30" s="108" customFormat="1" ht="15.75" thickBot="1">
      <c r="A7" s="362" t="s">
        <v>1679</v>
      </c>
      <c r="B7" s="363"/>
      <c r="C7" s="364">
        <f>'数据-取费表'!B2</f>
        <v>45251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58" t="s">
        <v>1680</v>
      </c>
      <c r="Q7" s="3692"/>
      <c r="R7" s="701" t="s">
        <v>14</v>
      </c>
      <c r="S7" s="702">
        <f t="shared" ref="S7:S15" si="0">F7</f>
        <v>0</v>
      </c>
      <c r="T7" s="701" t="s">
        <v>14</v>
      </c>
      <c r="U7" s="702">
        <f t="shared" ref="U7:U15" si="1">H7</f>
        <v>0</v>
      </c>
      <c r="V7" s="701" t="s">
        <v>14</v>
      </c>
      <c r="W7" s="702">
        <f t="shared" ref="W7:W15" si="2">J7</f>
        <v>0</v>
      </c>
      <c r="X7" s="703"/>
      <c r="Y7" s="3658" t="s">
        <v>1680</v>
      </c>
      <c r="Z7" s="365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8" t="s">
        <v>1683</v>
      </c>
      <c r="Q8" s="3659"/>
      <c r="R8" s="701" t="s">
        <v>14</v>
      </c>
      <c r="S8" s="702">
        <f t="shared" si="0"/>
        <v>0</v>
      </c>
      <c r="T8" s="701" t="s">
        <v>14</v>
      </c>
      <c r="U8" s="702">
        <f t="shared" si="1"/>
        <v>0</v>
      </c>
      <c r="V8" s="701" t="s">
        <v>14</v>
      </c>
      <c r="W8" s="702">
        <f t="shared" si="2"/>
        <v>0</v>
      </c>
      <c r="X8" s="703"/>
      <c r="Y8" s="3658" t="s">
        <v>1683</v>
      </c>
      <c r="Z8" s="365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702"/>
      <c r="Q10" s="1343" t="str">
        <f t="shared" si="6"/>
        <v>土地使用年限（年）</v>
      </c>
      <c r="R10" s="701" t="s">
        <v>14</v>
      </c>
      <c r="S10" s="702">
        <f t="shared" si="0"/>
        <v>119</v>
      </c>
      <c r="T10" s="701" t="s">
        <v>14</v>
      </c>
      <c r="U10" s="702">
        <f t="shared" si="1"/>
        <v>119</v>
      </c>
      <c r="V10" s="701" t="s">
        <v>14</v>
      </c>
      <c r="W10" s="702">
        <f t="shared" si="2"/>
        <v>119</v>
      </c>
      <c r="X10" s="703"/>
      <c r="Y10" s="3623"/>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2"/>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2"/>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2"/>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6"/>
      <c r="Q16" s="1352"/>
      <c r="R16" s="705"/>
      <c r="S16" s="706"/>
      <c r="T16" s="705"/>
      <c r="U16" s="706"/>
      <c r="V16" s="705"/>
      <c r="W16" s="706"/>
      <c r="X16" s="1355"/>
      <c r="Y16" s="3696"/>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6"/>
      <c r="Q18" s="1352"/>
      <c r="R18" s="705"/>
      <c r="S18" s="706"/>
      <c r="T18" s="705"/>
      <c r="U18" s="706"/>
      <c r="V18" s="705"/>
      <c r="W18" s="706"/>
      <c r="X18" s="1355"/>
      <c r="Y18" s="369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6"/>
      <c r="Q20" s="1352"/>
      <c r="R20" s="705"/>
      <c r="S20" s="706"/>
      <c r="T20" s="705"/>
      <c r="U20" s="706"/>
      <c r="V20" s="705"/>
      <c r="W20" s="706"/>
      <c r="X20" s="1355"/>
      <c r="Y20" s="3696"/>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6"/>
      <c r="Q24" s="1352"/>
      <c r="R24" s="705"/>
      <c r="S24" s="706"/>
      <c r="T24" s="705"/>
      <c r="U24" s="706"/>
      <c r="V24" s="705"/>
      <c r="W24" s="706"/>
      <c r="X24" s="1355"/>
      <c r="Y24" s="369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6"/>
      <c r="Q26" s="1352"/>
      <c r="R26" s="705"/>
      <c r="S26" s="706"/>
      <c r="T26" s="705"/>
      <c r="U26" s="706"/>
      <c r="V26" s="705"/>
      <c r="W26" s="706"/>
      <c r="X26" s="1355"/>
      <c r="Y26" s="369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6"/>
      <c r="Q28" s="1343"/>
      <c r="R28" s="701"/>
      <c r="S28" s="702"/>
      <c r="T28" s="701"/>
      <c r="U28" s="702"/>
      <c r="V28" s="701"/>
      <c r="W28" s="702"/>
      <c r="X28" s="703"/>
      <c r="Y28" s="369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9"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2" t="str">
        <f>A46</f>
        <v>成交单价</v>
      </c>
      <c r="Q46" s="3702"/>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2" t="str">
        <f>A47</f>
        <v>比较价值（元/平方米）</v>
      </c>
      <c r="Q47" s="370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6" t="str">
        <f>A48</f>
        <v>估价对象XX用房的比较价值（楼面单价，元/平方米）</v>
      </c>
      <c r="Q48" s="3737"/>
      <c r="R48" s="3742" t="e">
        <f>ROUND(IF(D47="简单平均",AVERAGE(R47:W47),R47*F47+T47*H47+V47*J47),0)</f>
        <v>#DIV/0!</v>
      </c>
      <c r="S48" s="3742"/>
      <c r="T48" s="3742"/>
      <c r="U48" s="3742"/>
      <c r="V48" s="3742"/>
      <c r="W48" s="374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7" t="s">
        <v>1887</v>
      </c>
      <c r="H55" s="3743"/>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481.7</v>
      </c>
      <c r="F56" s="886" t="e">
        <f t="shared" ref="F56:F64" si="15">ROUND(B56*E56/10000,0)</f>
        <v>#DIV/0!</v>
      </c>
      <c r="G56" s="3673"/>
      <c r="H56" s="370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481.7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2" t="s">
        <v>1775</v>
      </c>
      <c r="Q4" s="3733"/>
      <c r="R4" s="3729" t="s">
        <v>1771</v>
      </c>
      <c r="S4" s="3730"/>
      <c r="T4" s="3729" t="s">
        <v>1772</v>
      </c>
      <c r="U4" s="3730"/>
      <c r="V4" s="3690" t="s">
        <v>1773</v>
      </c>
      <c r="W4" s="3690"/>
      <c r="X4" s="1355"/>
      <c r="Y4" s="3729" t="s">
        <v>1775</v>
      </c>
      <c r="Z4" s="3730"/>
      <c r="AA4" s="3728" t="s">
        <v>1771</v>
      </c>
      <c r="AB4" s="3656" t="s">
        <v>1772</v>
      </c>
      <c r="AC4" s="3728" t="s">
        <v>1773</v>
      </c>
    </row>
    <row r="5" spans="1:29" ht="15">
      <c r="A5" s="358"/>
      <c r="B5" s="359"/>
      <c r="C5" s="3666" t="s">
        <v>1673</v>
      </c>
      <c r="D5" s="3667"/>
      <c r="E5" s="3731" t="s">
        <v>1674</v>
      </c>
      <c r="F5" s="3665"/>
      <c r="G5" s="3666" t="s">
        <v>1675</v>
      </c>
      <c r="H5" s="3667"/>
      <c r="I5" s="3666" t="s">
        <v>1676</v>
      </c>
      <c r="J5" s="3667"/>
      <c r="K5" s="559"/>
      <c r="L5" s="2713"/>
      <c r="M5" s="2714"/>
      <c r="N5" s="2714"/>
      <c r="O5" s="2714"/>
      <c r="P5" s="3734"/>
      <c r="Q5" s="3684"/>
      <c r="R5" s="3662"/>
      <c r="S5" s="3663"/>
      <c r="T5" s="3662"/>
      <c r="U5" s="3663"/>
      <c r="V5" s="3690"/>
      <c r="W5" s="3690"/>
      <c r="X5" s="1355"/>
      <c r="Y5" s="3662"/>
      <c r="Z5" s="3663"/>
      <c r="AA5" s="3656"/>
      <c r="AB5" s="3656"/>
      <c r="AC5" s="3656"/>
    </row>
    <row r="6" spans="1:29" ht="15.75" thickBot="1">
      <c r="A6" s="360"/>
      <c r="B6" s="361"/>
      <c r="C6" s="3744" t="s">
        <v>1919</v>
      </c>
      <c r="D6" s="3745"/>
      <c r="E6" s="3746" t="s">
        <v>1919</v>
      </c>
      <c r="F6" s="3747"/>
      <c r="G6" s="3744" t="s">
        <v>1919</v>
      </c>
      <c r="H6" s="3745"/>
      <c r="I6" s="3744" t="s">
        <v>1919</v>
      </c>
      <c r="J6" s="3745"/>
      <c r="K6" s="559" t="s">
        <v>1678</v>
      </c>
      <c r="L6" s="2713"/>
      <c r="M6" s="2714"/>
      <c r="N6" s="2714"/>
      <c r="O6" s="2714"/>
      <c r="P6" s="3735"/>
      <c r="Q6" s="3686"/>
      <c r="R6" s="3662"/>
      <c r="S6" s="3663"/>
      <c r="T6" s="3687"/>
      <c r="U6" s="3688"/>
      <c r="V6" s="3690"/>
      <c r="W6" s="3690"/>
      <c r="X6" s="1355"/>
      <c r="Y6" s="3687"/>
      <c r="Z6" s="3688"/>
      <c r="AA6" s="3657"/>
      <c r="AB6" s="3657"/>
      <c r="AC6" s="3657"/>
    </row>
    <row r="7" spans="1:29" s="108" customFormat="1" ht="15.75" thickBot="1">
      <c r="A7" s="362" t="s">
        <v>1679</v>
      </c>
      <c r="B7" s="363"/>
      <c r="C7" s="364">
        <f>'数据-取费表'!B2</f>
        <v>45251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58" t="s">
        <v>1680</v>
      </c>
      <c r="Q7" s="3692"/>
      <c r="R7" s="701" t="s">
        <v>14</v>
      </c>
      <c r="S7" s="702">
        <f t="shared" ref="S7:S15" si="0">F7</f>
        <v>0</v>
      </c>
      <c r="T7" s="701" t="s">
        <v>14</v>
      </c>
      <c r="U7" s="702">
        <f t="shared" ref="U7:U15" si="1">H7</f>
        <v>0</v>
      </c>
      <c r="V7" s="701" t="s">
        <v>14</v>
      </c>
      <c r="W7" s="702">
        <f t="shared" ref="W7:W15" si="2">J7</f>
        <v>0</v>
      </c>
      <c r="X7" s="703"/>
      <c r="Y7" s="3658" t="s">
        <v>1680</v>
      </c>
      <c r="Z7" s="365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8" t="s">
        <v>1683</v>
      </c>
      <c r="Q8" s="3659"/>
      <c r="R8" s="701" t="s">
        <v>14</v>
      </c>
      <c r="S8" s="702">
        <f t="shared" si="0"/>
        <v>0</v>
      </c>
      <c r="T8" s="701" t="s">
        <v>14</v>
      </c>
      <c r="U8" s="702">
        <f t="shared" si="1"/>
        <v>0</v>
      </c>
      <c r="V8" s="701" t="s">
        <v>14</v>
      </c>
      <c r="W8" s="702">
        <f t="shared" si="2"/>
        <v>0</v>
      </c>
      <c r="X8" s="703"/>
      <c r="Y8" s="3658" t="s">
        <v>1683</v>
      </c>
      <c r="Z8" s="365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702"/>
      <c r="Q10" s="1343" t="str">
        <f t="shared" si="6"/>
        <v>土地使用年限（年）</v>
      </c>
      <c r="R10" s="701" t="s">
        <v>14</v>
      </c>
      <c r="S10" s="702">
        <f t="shared" si="0"/>
        <v>119</v>
      </c>
      <c r="T10" s="701" t="s">
        <v>14</v>
      </c>
      <c r="U10" s="702">
        <f t="shared" si="1"/>
        <v>119</v>
      </c>
      <c r="V10" s="701" t="s">
        <v>14</v>
      </c>
      <c r="W10" s="702">
        <f t="shared" si="2"/>
        <v>119</v>
      </c>
      <c r="X10" s="703"/>
      <c r="Y10" s="3623"/>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9"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2" t="str">
        <f>A41</f>
        <v>成交单价</v>
      </c>
      <c r="Q41" s="3702"/>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2" t="str">
        <f>A42</f>
        <v>比较价值（元/平方米）</v>
      </c>
      <c r="Q42" s="370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6" t="str">
        <f>A43</f>
        <v>估价对象XX用房的比较价值（楼面单价，元/平方米）</v>
      </c>
      <c r="Q43" s="3737"/>
      <c r="R43" s="3742" t="e">
        <f>ROUND(IF(D42="简单平均",AVERAGE(R42:W42),R42*F42+T42*H42+V42*J42),0)</f>
        <v>#DIV/0!</v>
      </c>
      <c r="S43" s="3742"/>
      <c r="T43" s="3742"/>
      <c r="U43" s="3742"/>
      <c r="V43" s="3742"/>
      <c r="W43" s="374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7" t="s">
        <v>1887</v>
      </c>
      <c r="H50" s="3743"/>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481.7</v>
      </c>
      <c r="F51" s="639" t="e">
        <f t="shared" ref="F51:F60" si="15">ROUND(B51*E51/10000,0)</f>
        <v>#DIV/0!</v>
      </c>
      <c r="G51" s="3673"/>
      <c r="H51" s="370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0"/>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3244</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t="e">
        <f>ROUND(G18/I18,2)</f>
        <v>#DIV/0!</v>
      </c>
      <c r="F17" s="3320" t="s">
        <v>3252</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3250</v>
      </c>
      <c r="E18" s="3327"/>
      <c r="F18" s="3322" t="s">
        <v>3253</v>
      </c>
      <c r="G18" s="3326">
        <f>ROUND(1-(1/(POWER(1+G24,E18))),4)</f>
        <v>0</v>
      </c>
      <c r="H18" s="3322" t="s">
        <v>3255</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3251</v>
      </c>
      <c r="E19" s="3336"/>
      <c r="F19" s="3337" t="s">
        <v>3254</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5" t="s">
        <v>3256</v>
      </c>
      <c r="B20" s="167" t="s">
        <v>1994</v>
      </c>
      <c r="C20" s="3323" t="e">
        <f>ROUND(IF(F21="与级别开发程度一致",0,(G21-E21)/C21),0)</f>
        <v>#DIV/0!</v>
      </c>
      <c r="D20" s="3339" t="s">
        <v>1998</v>
      </c>
      <c r="E20" s="3340"/>
      <c r="F20" s="3771" t="s">
        <v>1995</v>
      </c>
      <c r="G20" s="3772"/>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45251</v>
      </c>
      <c r="H23" s="3341" t="s">
        <v>3258</v>
      </c>
      <c r="I23" s="3342" t="str">
        <f>IF(H23="季度增幅（自定义）",SUMIF(N25:N28,E2,O25:O28),"")</f>
        <v/>
      </c>
      <c r="J23" s="3444" t="s">
        <v>3257</v>
      </c>
      <c r="K23" s="1125"/>
      <c r="L23" s="2055" t="s">
        <v>2004</v>
      </c>
      <c r="M23" s="1328">
        <f>ROUND(SUMIF(地价!B2:G2,E2,地价!B16:G16),0)</f>
        <v>0</v>
      </c>
      <c r="N23" s="2056" t="s">
        <v>2005</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3337</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3262</v>
      </c>
      <c r="G33" s="2099"/>
      <c r="H33" s="2099"/>
      <c r="I33" s="2099"/>
      <c r="J33" s="2100"/>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0"/>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3271</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3271</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3271</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3272</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3275</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3279</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3280</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3281</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3296</v>
      </c>
      <c r="B103" s="3767"/>
      <c r="C103" s="3767"/>
      <c r="D103" s="3767"/>
      <c r="E103" s="3767"/>
      <c r="F103" s="3767"/>
      <c r="G103" s="3767"/>
      <c r="H103" s="3767"/>
      <c r="I103" s="3767"/>
      <c r="J103" s="3767"/>
      <c r="K103" s="3388"/>
      <c r="L103" s="3388"/>
      <c r="M103" s="3388"/>
      <c r="N103" s="3388"/>
    </row>
    <row r="104" spans="1:14">
      <c r="A104" s="3768" t="s">
        <v>3297</v>
      </c>
      <c r="B104" s="3768" t="s">
        <v>3298</v>
      </c>
      <c r="C104" s="3389" t="s">
        <v>3299</v>
      </c>
      <c r="D104" s="3390"/>
      <c r="E104" s="3390"/>
      <c r="F104" s="3390"/>
      <c r="G104" s="3390"/>
      <c r="H104" s="3390"/>
      <c r="I104" s="3390"/>
      <c r="J104" s="3391"/>
      <c r="K104" s="3392"/>
      <c r="L104" s="3392"/>
      <c r="M104" s="3392"/>
      <c r="N104" s="3392"/>
    </row>
    <row r="105" spans="1:14">
      <c r="A105" s="3768"/>
      <c r="B105" s="3768"/>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54"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3313</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0</v>
      </c>
      <c r="C116" s="3398" t="s">
        <v>3315</v>
      </c>
      <c r="D116" s="3399">
        <f>SUMPRODUCT((A118:A122=F116)*(B117:M117=H116)*B118:M122)</f>
        <v>0</v>
      </c>
      <c r="E116" s="2000" t="s">
        <v>3316</v>
      </c>
      <c r="F116" s="3400">
        <f>E2</f>
        <v>0</v>
      </c>
      <c r="G116" s="2000" t="s">
        <v>3317</v>
      </c>
      <c r="H116" s="3400">
        <f>G2</f>
        <v>0</v>
      </c>
      <c r="I116" s="2000"/>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0" t="s">
        <v>2607</v>
      </c>
      <c r="B20" s="3773" t="s">
        <v>2628</v>
      </c>
      <c r="C20" s="3101" t="s">
        <v>2439</v>
      </c>
      <c r="D20" s="3102"/>
      <c r="E20" s="3103">
        <v>1</v>
      </c>
      <c r="F20" s="3104" t="s">
        <v>2440</v>
      </c>
      <c r="G20" s="3104"/>
    </row>
    <row r="21" spans="1:13" ht="19.5" customHeight="1">
      <c r="A21" s="3781"/>
      <c r="B21" s="3774"/>
      <c r="C21" s="3105" t="s">
        <v>2441</v>
      </c>
      <c r="D21" s="3106"/>
      <c r="E21" s="3107">
        <v>1</v>
      </c>
      <c r="F21" s="3104" t="s">
        <v>2442</v>
      </c>
      <c r="G21" s="3104"/>
    </row>
    <row r="22" spans="1:13" ht="19.5" customHeight="1">
      <c r="A22" s="3781"/>
      <c r="B22" s="3774"/>
      <c r="C22" s="3105" t="s">
        <v>2443</v>
      </c>
      <c r="D22" s="3106"/>
      <c r="E22" s="3107">
        <v>0.9</v>
      </c>
      <c r="F22" s="3104" t="s">
        <v>2444</v>
      </c>
      <c r="G22" s="3104"/>
    </row>
    <row r="23" spans="1:13" ht="19.5" customHeight="1">
      <c r="A23" s="3781"/>
      <c r="B23" s="3774"/>
      <c r="C23" s="3105" t="s">
        <v>2445</v>
      </c>
      <c r="D23" s="3106"/>
      <c r="E23" s="3107">
        <v>0.9</v>
      </c>
      <c r="F23" s="3104" t="s">
        <v>2446</v>
      </c>
      <c r="G23" s="3104"/>
    </row>
    <row r="24" spans="1:13" ht="19.5" customHeight="1">
      <c r="A24" s="3781"/>
      <c r="B24" s="3774"/>
      <c r="C24" s="3105" t="s">
        <v>2447</v>
      </c>
      <c r="D24" s="3106"/>
      <c r="E24" s="3107">
        <v>0.8</v>
      </c>
      <c r="F24" s="3104" t="s">
        <v>2448</v>
      </c>
      <c r="G24" s="3104"/>
    </row>
    <row r="25" spans="1:13" ht="19.5" customHeight="1" thickBot="1">
      <c r="A25" s="3782"/>
      <c r="B25" s="377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6" t="s">
        <v>2631</v>
      </c>
      <c r="B27" s="3773" t="s">
        <v>2612</v>
      </c>
      <c r="C27" s="3101" t="s">
        <v>2452</v>
      </c>
      <c r="D27" s="3102"/>
      <c r="E27" s="3103">
        <v>1</v>
      </c>
      <c r="F27" s="3104" t="s">
        <v>2453</v>
      </c>
      <c r="G27" s="3104"/>
    </row>
    <row r="28" spans="1:13" ht="19.5" customHeight="1">
      <c r="A28" s="3777"/>
      <c r="B28" s="3774"/>
      <c r="C28" s="3105" t="s">
        <v>2454</v>
      </c>
      <c r="D28" s="3106"/>
      <c r="E28" s="3107">
        <v>1</v>
      </c>
      <c r="F28" s="3104" t="s">
        <v>2455</v>
      </c>
      <c r="G28" s="3104"/>
    </row>
    <row r="29" spans="1:13" ht="19.5" customHeight="1">
      <c r="A29" s="3777"/>
      <c r="B29" s="3774"/>
      <c r="C29" s="3105" t="s">
        <v>2456</v>
      </c>
      <c r="D29" s="3106"/>
      <c r="E29" s="3107">
        <v>0.8</v>
      </c>
      <c r="F29" s="3104" t="s">
        <v>2457</v>
      </c>
      <c r="G29" s="3104"/>
    </row>
    <row r="30" spans="1:13" ht="19.5" customHeight="1">
      <c r="A30" s="3777"/>
      <c r="B30" s="3774"/>
      <c r="C30" s="3105" t="s">
        <v>2458</v>
      </c>
      <c r="D30" s="3106"/>
      <c r="E30" s="3107">
        <v>0.8</v>
      </c>
      <c r="F30" s="3104" t="s">
        <v>2459</v>
      </c>
      <c r="G30" s="3104"/>
    </row>
    <row r="31" spans="1:13" ht="19.5" customHeight="1">
      <c r="A31" s="3777"/>
      <c r="B31" s="3774"/>
      <c r="C31" s="3105" t="s">
        <v>2460</v>
      </c>
      <c r="D31" s="3106"/>
      <c r="E31" s="3107">
        <v>0.8</v>
      </c>
      <c r="F31" s="3104" t="s">
        <v>2461</v>
      </c>
      <c r="G31" s="3104"/>
    </row>
    <row r="32" spans="1:13" ht="19.5" customHeight="1">
      <c r="A32" s="3777"/>
      <c r="B32" s="3774"/>
      <c r="C32" s="3105" t="s">
        <v>2462</v>
      </c>
      <c r="D32" s="3106"/>
      <c r="E32" s="3107">
        <v>0.7</v>
      </c>
      <c r="F32" s="3104" t="s">
        <v>2463</v>
      </c>
      <c r="G32" s="3104"/>
    </row>
    <row r="33" spans="1:7" ht="19.5" customHeight="1">
      <c r="A33" s="3777"/>
      <c r="B33" s="3774"/>
      <c r="C33" s="3105" t="s">
        <v>2464</v>
      </c>
      <c r="D33" s="3106"/>
      <c r="E33" s="3107">
        <v>0.8</v>
      </c>
      <c r="F33" s="3104" t="s">
        <v>2465</v>
      </c>
      <c r="G33" s="3104"/>
    </row>
    <row r="34" spans="1:7" ht="19.5" customHeight="1">
      <c r="A34" s="3777"/>
      <c r="B34" s="3774"/>
      <c r="C34" s="3105" t="s">
        <v>2466</v>
      </c>
      <c r="D34" s="3106"/>
      <c r="E34" s="3107">
        <v>0.6</v>
      </c>
      <c r="F34" s="3104" t="s">
        <v>2467</v>
      </c>
      <c r="G34" s="3104"/>
    </row>
    <row r="35" spans="1:7" ht="19.5" customHeight="1">
      <c r="A35" s="3777"/>
      <c r="B35" s="3774"/>
      <c r="C35" s="3105" t="s">
        <v>2468</v>
      </c>
      <c r="D35" s="3106"/>
      <c r="E35" s="3107">
        <v>0.2</v>
      </c>
      <c r="F35" s="3104" t="s">
        <v>2469</v>
      </c>
      <c r="G35" s="3104"/>
    </row>
    <row r="36" spans="1:7" ht="19.5" customHeight="1">
      <c r="A36" s="3777"/>
      <c r="B36" s="3774"/>
      <c r="C36" s="3105" t="s">
        <v>2470</v>
      </c>
      <c r="D36" s="3106"/>
      <c r="E36" s="3107">
        <v>0.2</v>
      </c>
      <c r="F36" s="3104" t="s">
        <v>2471</v>
      </c>
      <c r="G36" s="3104"/>
    </row>
    <row r="37" spans="1:7" ht="19.5" customHeight="1">
      <c r="A37" s="3777"/>
      <c r="B37" s="3779" t="s">
        <v>2632</v>
      </c>
      <c r="C37" s="3105" t="s">
        <v>2472</v>
      </c>
      <c r="D37" s="3106"/>
      <c r="E37" s="3107">
        <v>0.6</v>
      </c>
      <c r="F37" s="3104" t="s">
        <v>2473</v>
      </c>
      <c r="G37" s="3104"/>
    </row>
    <row r="38" spans="1:7" ht="19.5" customHeight="1">
      <c r="A38" s="3777"/>
      <c r="B38" s="3774"/>
      <c r="C38" s="3105" t="s">
        <v>2474</v>
      </c>
      <c r="D38" s="3106"/>
      <c r="E38" s="3107">
        <v>0.6</v>
      </c>
      <c r="F38" s="3104" t="s">
        <v>2475</v>
      </c>
      <c r="G38" s="3104"/>
    </row>
    <row r="39" spans="1:7" ht="19.5" customHeight="1" thickBot="1">
      <c r="A39" s="3778"/>
      <c r="B39" s="377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0" t="s">
        <v>2610</v>
      </c>
      <c r="B41" s="3773" t="s">
        <v>2634</v>
      </c>
      <c r="C41" s="3101" t="s">
        <v>2479</v>
      </c>
      <c r="D41" s="3102"/>
      <c r="E41" s="3103">
        <v>1</v>
      </c>
      <c r="F41" s="3104" t="s">
        <v>2480</v>
      </c>
      <c r="G41" s="3104"/>
    </row>
    <row r="42" spans="1:7" ht="19.5" customHeight="1">
      <c r="A42" s="3781"/>
      <c r="B42" s="3774"/>
      <c r="C42" s="3105" t="s">
        <v>2481</v>
      </c>
      <c r="D42" s="3106"/>
      <c r="E42" s="3107">
        <v>1</v>
      </c>
      <c r="F42" s="3104" t="s">
        <v>2482</v>
      </c>
      <c r="G42" s="3104"/>
    </row>
    <row r="43" spans="1:7" ht="19.5" customHeight="1">
      <c r="A43" s="3781"/>
      <c r="B43" s="3783"/>
      <c r="C43" s="3105" t="s">
        <v>2483</v>
      </c>
      <c r="D43" s="3106"/>
      <c r="E43" s="3107">
        <v>1.5</v>
      </c>
      <c r="F43" s="3104" t="s">
        <v>2484</v>
      </c>
      <c r="G43" s="3104"/>
    </row>
    <row r="44" spans="1:7" ht="19.5" customHeight="1">
      <c r="A44" s="3781"/>
      <c r="B44" s="3116" t="s">
        <v>2635</v>
      </c>
      <c r="C44" s="3105" t="s">
        <v>2636</v>
      </c>
      <c r="D44" s="3106"/>
      <c r="E44" s="3107">
        <v>2</v>
      </c>
      <c r="F44" s="3104" t="s">
        <v>2485</v>
      </c>
      <c r="G44" s="3104"/>
    </row>
    <row r="45" spans="1:7" ht="19.5" customHeight="1">
      <c r="A45" s="3781"/>
      <c r="B45" s="3779" t="s">
        <v>2637</v>
      </c>
      <c r="C45" s="3105" t="s">
        <v>2486</v>
      </c>
      <c r="D45" s="3106"/>
      <c r="E45" s="3107">
        <v>1</v>
      </c>
      <c r="F45" s="3104" t="s">
        <v>2487</v>
      </c>
      <c r="G45" s="3104"/>
    </row>
    <row r="46" spans="1:7" ht="19.5" customHeight="1">
      <c r="A46" s="3781"/>
      <c r="B46" s="3774"/>
      <c r="C46" s="3105" t="s">
        <v>2488</v>
      </c>
      <c r="D46" s="3106"/>
      <c r="E46" s="3107">
        <v>1</v>
      </c>
      <c r="F46" s="3104" t="s">
        <v>2489</v>
      </c>
      <c r="G46" s="3104"/>
    </row>
    <row r="47" spans="1:7" ht="19.5" customHeight="1">
      <c r="A47" s="3781"/>
      <c r="B47" s="3774"/>
      <c r="C47" s="3105" t="s">
        <v>2490</v>
      </c>
      <c r="D47" s="3106"/>
      <c r="E47" s="3107">
        <v>1</v>
      </c>
      <c r="F47" s="3104" t="s">
        <v>2491</v>
      </c>
      <c r="G47" s="3104"/>
    </row>
    <row r="48" spans="1:7" ht="19.5" customHeight="1">
      <c r="A48" s="3781"/>
      <c r="B48" s="3774"/>
      <c r="C48" s="3105" t="s">
        <v>2492</v>
      </c>
      <c r="D48" s="3106"/>
      <c r="E48" s="3107">
        <v>1</v>
      </c>
      <c r="F48" s="3104" t="s">
        <v>2493</v>
      </c>
      <c r="G48" s="3104"/>
    </row>
    <row r="49" spans="1:7" ht="19.5" customHeight="1">
      <c r="A49" s="3781"/>
      <c r="B49" s="3774"/>
      <c r="C49" s="3105" t="s">
        <v>2494</v>
      </c>
      <c r="D49" s="3106"/>
      <c r="E49" s="3107">
        <v>1</v>
      </c>
      <c r="F49" s="3104" t="s">
        <v>2495</v>
      </c>
      <c r="G49" s="3104"/>
    </row>
    <row r="50" spans="1:7" ht="19.5" customHeight="1">
      <c r="A50" s="3781"/>
      <c r="B50" s="3774"/>
      <c r="C50" s="3105" t="s">
        <v>2496</v>
      </c>
      <c r="D50" s="3106"/>
      <c r="E50" s="3107">
        <v>1</v>
      </c>
      <c r="F50" s="3104" t="s">
        <v>2497</v>
      </c>
      <c r="G50" s="3104"/>
    </row>
    <row r="51" spans="1:7" ht="19.5" customHeight="1" thickBot="1">
      <c r="A51" s="3782"/>
      <c r="B51" s="377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79" t="s">
        <v>2651</v>
      </c>
      <c r="C73" s="3090" t="s">
        <v>2652</v>
      </c>
      <c r="D73" s="3090" t="s">
        <v>2653</v>
      </c>
      <c r="E73" s="3116">
        <v>0.2</v>
      </c>
      <c r="F73" s="3116">
        <v>25</v>
      </c>
    </row>
    <row r="74" spans="1:7" ht="24">
      <c r="A74" s="3116">
        <v>2</v>
      </c>
      <c r="B74" s="3774"/>
      <c r="C74" s="3090" t="s">
        <v>2654</v>
      </c>
      <c r="D74" s="3090" t="s">
        <v>2655</v>
      </c>
      <c r="E74" s="3116">
        <v>0.2</v>
      </c>
      <c r="F74" s="3116">
        <v>25</v>
      </c>
    </row>
    <row r="75" spans="1:7" ht="24">
      <c r="A75" s="3116">
        <v>3</v>
      </c>
      <c r="B75" s="3774"/>
      <c r="C75" s="3090" t="s">
        <v>2656</v>
      </c>
      <c r="D75" s="3090" t="s">
        <v>2657</v>
      </c>
      <c r="E75" s="3116">
        <v>0.2</v>
      </c>
      <c r="F75" s="3116">
        <v>25</v>
      </c>
    </row>
    <row r="76" spans="1:7" ht="13.5">
      <c r="A76" s="3116">
        <v>4</v>
      </c>
      <c r="B76" s="3774"/>
      <c r="C76" s="3090" t="s">
        <v>2658</v>
      </c>
      <c r="D76" s="3090" t="s">
        <v>2659</v>
      </c>
      <c r="E76" s="3116">
        <v>0.15</v>
      </c>
      <c r="F76" s="3116">
        <v>20</v>
      </c>
    </row>
    <row r="77" spans="1:7" ht="24">
      <c r="A77" s="3116">
        <v>5</v>
      </c>
      <c r="B77" s="3774"/>
      <c r="C77" s="3090" t="s">
        <v>2660</v>
      </c>
      <c r="D77" s="3090" t="s">
        <v>2661</v>
      </c>
      <c r="E77" s="3116">
        <v>0.15</v>
      </c>
      <c r="F77" s="3116">
        <v>20</v>
      </c>
    </row>
    <row r="78" spans="1:7" ht="24">
      <c r="A78" s="3116">
        <v>6</v>
      </c>
      <c r="B78" s="3774"/>
      <c r="C78" s="3090" t="s">
        <v>2662</v>
      </c>
      <c r="D78" s="3090" t="s">
        <v>2663</v>
      </c>
      <c r="E78" s="3116">
        <v>0.15</v>
      </c>
      <c r="F78" s="3116">
        <v>20</v>
      </c>
    </row>
    <row r="79" spans="1:7" ht="24">
      <c r="A79" s="3116">
        <v>7</v>
      </c>
      <c r="B79" s="3774"/>
      <c r="C79" s="3090" t="s">
        <v>2664</v>
      </c>
      <c r="D79" s="3090" t="s">
        <v>2665</v>
      </c>
      <c r="E79" s="3116">
        <v>0.15</v>
      </c>
      <c r="F79" s="3116">
        <v>20</v>
      </c>
    </row>
    <row r="80" spans="1:7" ht="24">
      <c r="A80" s="3116">
        <v>8</v>
      </c>
      <c r="B80" s="3774"/>
      <c r="C80" s="3090" t="s">
        <v>2666</v>
      </c>
      <c r="D80" s="3090" t="s">
        <v>2667</v>
      </c>
      <c r="E80" s="3116">
        <v>0.1</v>
      </c>
      <c r="F80" s="3116">
        <v>15</v>
      </c>
    </row>
    <row r="81" spans="1:6" ht="24">
      <c r="A81" s="3116">
        <v>9</v>
      </c>
      <c r="B81" s="3774"/>
      <c r="C81" s="3090" t="s">
        <v>2668</v>
      </c>
      <c r="D81" s="3090" t="s">
        <v>2669</v>
      </c>
      <c r="E81" s="3116">
        <v>0.1</v>
      </c>
      <c r="F81" s="3116">
        <v>15</v>
      </c>
    </row>
    <row r="82" spans="1:6" ht="24">
      <c r="A82" s="3116">
        <v>10</v>
      </c>
      <c r="B82" s="3774"/>
      <c r="C82" s="3090" t="s">
        <v>2670</v>
      </c>
      <c r="D82" s="3090" t="s">
        <v>2671</v>
      </c>
      <c r="E82" s="3116">
        <v>0.1</v>
      </c>
      <c r="F82" s="3116">
        <v>15</v>
      </c>
    </row>
    <row r="83" spans="1:6" ht="24">
      <c r="A83" s="3116">
        <v>11</v>
      </c>
      <c r="B83" s="3774"/>
      <c r="C83" s="3090" t="s">
        <v>2672</v>
      </c>
      <c r="D83" s="3090" t="s">
        <v>2673</v>
      </c>
      <c r="E83" s="3116">
        <v>0.1</v>
      </c>
      <c r="F83" s="3116">
        <v>15</v>
      </c>
    </row>
    <row r="84" spans="1:6" ht="24">
      <c r="A84" s="3116">
        <v>12</v>
      </c>
      <c r="B84" s="3774"/>
      <c r="C84" s="3090" t="s">
        <v>2674</v>
      </c>
      <c r="D84" s="3090" t="s">
        <v>2675</v>
      </c>
      <c r="E84" s="3116">
        <v>0.1</v>
      </c>
      <c r="F84" s="3116">
        <v>15</v>
      </c>
    </row>
    <row r="85" spans="1:6" ht="13.5">
      <c r="A85" s="3116">
        <v>13</v>
      </c>
      <c r="B85" s="3774"/>
      <c r="C85" s="3090" t="s">
        <v>2676</v>
      </c>
      <c r="D85" s="3090" t="s">
        <v>2677</v>
      </c>
      <c r="E85" s="3116">
        <v>0.1</v>
      </c>
      <c r="F85" s="3116">
        <v>15</v>
      </c>
    </row>
    <row r="86" spans="1:6" ht="13.5">
      <c r="A86" s="3116">
        <v>14</v>
      </c>
      <c r="B86" s="3774"/>
      <c r="C86" s="3090" t="s">
        <v>2678</v>
      </c>
      <c r="D86" s="3090" t="s">
        <v>2679</v>
      </c>
      <c r="E86" s="3116">
        <v>0.1</v>
      </c>
      <c r="F86" s="3116">
        <v>15</v>
      </c>
    </row>
    <row r="87" spans="1:6" ht="13.5">
      <c r="A87" s="3116">
        <v>15</v>
      </c>
      <c r="B87" s="3774"/>
      <c r="C87" s="3090" t="s">
        <v>2680</v>
      </c>
      <c r="D87" s="3090" t="s">
        <v>2681</v>
      </c>
      <c r="E87" s="3116">
        <v>0.1</v>
      </c>
      <c r="F87" s="3116">
        <v>15</v>
      </c>
    </row>
    <row r="88" spans="1:6" ht="24">
      <c r="A88" s="3116">
        <v>16</v>
      </c>
      <c r="B88" s="3774"/>
      <c r="C88" s="3090" t="s">
        <v>2682</v>
      </c>
      <c r="D88" s="3090" t="s">
        <v>2683</v>
      </c>
      <c r="E88" s="3116">
        <v>0.1</v>
      </c>
      <c r="F88" s="3116">
        <v>15</v>
      </c>
    </row>
    <row r="89" spans="1:6" ht="24">
      <c r="A89" s="3116">
        <v>17</v>
      </c>
      <c r="B89" s="3783"/>
      <c r="C89" s="3090" t="s">
        <v>2684</v>
      </c>
      <c r="D89" s="3090" t="s">
        <v>2685</v>
      </c>
      <c r="E89" s="3116">
        <v>0.1</v>
      </c>
      <c r="F89" s="3116">
        <v>15</v>
      </c>
    </row>
    <row r="90" spans="1:6" ht="13.5">
      <c r="A90" s="3116">
        <v>18</v>
      </c>
      <c r="B90" s="3779" t="s">
        <v>2686</v>
      </c>
      <c r="C90" s="3090" t="s">
        <v>2687</v>
      </c>
      <c r="D90" s="3090" t="s">
        <v>2688</v>
      </c>
      <c r="E90" s="3116">
        <v>0.2</v>
      </c>
      <c r="F90" s="3116">
        <v>25</v>
      </c>
    </row>
    <row r="91" spans="1:6" ht="24">
      <c r="A91" s="3116">
        <v>19</v>
      </c>
      <c r="B91" s="3774"/>
      <c r="C91" s="3090" t="s">
        <v>2689</v>
      </c>
      <c r="D91" s="3090" t="s">
        <v>2690</v>
      </c>
      <c r="E91" s="3116">
        <v>0.2</v>
      </c>
      <c r="F91" s="3116">
        <v>25</v>
      </c>
    </row>
    <row r="92" spans="1:6" ht="13.5">
      <c r="A92" s="3116">
        <v>20</v>
      </c>
      <c r="B92" s="3774"/>
      <c r="C92" s="3090" t="s">
        <v>2691</v>
      </c>
      <c r="D92" s="3090" t="s">
        <v>2692</v>
      </c>
      <c r="E92" s="3116">
        <v>0.15</v>
      </c>
      <c r="F92" s="3116">
        <v>20</v>
      </c>
    </row>
    <row r="93" spans="1:6" ht="13.5">
      <c r="A93" s="3116">
        <v>21</v>
      </c>
      <c r="B93" s="3774"/>
      <c r="C93" s="3090" t="s">
        <v>2693</v>
      </c>
      <c r="D93" s="3090" t="s">
        <v>2694</v>
      </c>
      <c r="E93" s="3116">
        <v>0.15</v>
      </c>
      <c r="F93" s="3116">
        <v>20</v>
      </c>
    </row>
    <row r="94" spans="1:6" ht="13.5">
      <c r="A94" s="3116">
        <v>22</v>
      </c>
      <c r="B94" s="3774"/>
      <c r="C94" s="3090" t="s">
        <v>2695</v>
      </c>
      <c r="D94" s="3090" t="s">
        <v>2696</v>
      </c>
      <c r="E94" s="3116">
        <v>0.15</v>
      </c>
      <c r="F94" s="3116">
        <v>20</v>
      </c>
    </row>
    <row r="95" spans="1:6" ht="36">
      <c r="A95" s="3116">
        <v>23</v>
      </c>
      <c r="B95" s="3774"/>
      <c r="C95" s="3090" t="s">
        <v>2697</v>
      </c>
      <c r="D95" s="3090" t="s">
        <v>2698</v>
      </c>
      <c r="E95" s="3116">
        <v>0.15</v>
      </c>
      <c r="F95" s="3116">
        <v>20</v>
      </c>
    </row>
    <row r="96" spans="1:6" ht="13.5">
      <c r="A96" s="3116">
        <v>24</v>
      </c>
      <c r="B96" s="3774"/>
      <c r="C96" s="3090" t="s">
        <v>2699</v>
      </c>
      <c r="D96" s="3090" t="s">
        <v>2700</v>
      </c>
      <c r="E96" s="3116">
        <v>0.1</v>
      </c>
      <c r="F96" s="3116">
        <v>15</v>
      </c>
    </row>
    <row r="97" spans="1:6" ht="13.5">
      <c r="A97" s="3116">
        <v>25</v>
      </c>
      <c r="B97" s="3774"/>
      <c r="C97" s="3090" t="s">
        <v>2701</v>
      </c>
      <c r="D97" s="3090" t="s">
        <v>2702</v>
      </c>
      <c r="E97" s="3116">
        <v>0.1</v>
      </c>
      <c r="F97" s="3116">
        <v>15</v>
      </c>
    </row>
    <row r="98" spans="1:6" ht="24">
      <c r="A98" s="3116">
        <v>26</v>
      </c>
      <c r="B98" s="3774"/>
      <c r="C98" s="3090" t="s">
        <v>2703</v>
      </c>
      <c r="D98" s="3090" t="s">
        <v>2704</v>
      </c>
      <c r="E98" s="3116">
        <v>0.1</v>
      </c>
      <c r="F98" s="3116">
        <v>15</v>
      </c>
    </row>
    <row r="99" spans="1:6" ht="24">
      <c r="A99" s="3116">
        <v>27</v>
      </c>
      <c r="B99" s="3774"/>
      <c r="C99" s="3090" t="s">
        <v>2705</v>
      </c>
      <c r="D99" s="3090" t="s">
        <v>2706</v>
      </c>
      <c r="E99" s="3116">
        <v>0.1</v>
      </c>
      <c r="F99" s="3116">
        <v>15</v>
      </c>
    </row>
    <row r="100" spans="1:6" ht="13.5">
      <c r="A100" s="3116">
        <v>28</v>
      </c>
      <c r="B100" s="3774"/>
      <c r="C100" s="3090" t="s">
        <v>2707</v>
      </c>
      <c r="D100" s="3090" t="s">
        <v>2708</v>
      </c>
      <c r="E100" s="3116">
        <v>0.1</v>
      </c>
      <c r="F100" s="3116">
        <v>15</v>
      </c>
    </row>
    <row r="101" spans="1:6" ht="13.5">
      <c r="A101" s="3116">
        <v>29</v>
      </c>
      <c r="B101" s="3774"/>
      <c r="C101" s="3090" t="s">
        <v>2709</v>
      </c>
      <c r="D101" s="3090" t="s">
        <v>2710</v>
      </c>
      <c r="E101" s="3116">
        <v>0.1</v>
      </c>
      <c r="F101" s="3116">
        <v>15</v>
      </c>
    </row>
    <row r="102" spans="1:6" ht="13.5">
      <c r="A102" s="3116">
        <v>30</v>
      </c>
      <c r="B102" s="3774"/>
      <c r="C102" s="3090" t="s">
        <v>2711</v>
      </c>
      <c r="D102" s="3090" t="s">
        <v>2712</v>
      </c>
      <c r="E102" s="3116">
        <v>0.1</v>
      </c>
      <c r="F102" s="3116">
        <v>15</v>
      </c>
    </row>
    <row r="103" spans="1:6" ht="24">
      <c r="A103" s="3116">
        <v>31</v>
      </c>
      <c r="B103" s="3774"/>
      <c r="C103" s="3090" t="s">
        <v>2713</v>
      </c>
      <c r="D103" s="3090" t="s">
        <v>2714</v>
      </c>
      <c r="E103" s="3116">
        <v>0.1</v>
      </c>
      <c r="F103" s="3116">
        <v>15</v>
      </c>
    </row>
    <row r="104" spans="1:6" ht="24">
      <c r="A104" s="3116">
        <v>32</v>
      </c>
      <c r="B104" s="3774"/>
      <c r="C104" s="3090" t="s">
        <v>2715</v>
      </c>
      <c r="D104" s="3090" t="s">
        <v>2716</v>
      </c>
      <c r="E104" s="3116">
        <v>0.1</v>
      </c>
      <c r="F104" s="3116">
        <v>15</v>
      </c>
    </row>
    <row r="105" spans="1:6" ht="24">
      <c r="A105" s="3116">
        <v>33</v>
      </c>
      <c r="B105" s="3774"/>
      <c r="C105" s="3090" t="s">
        <v>2717</v>
      </c>
      <c r="D105" s="3090" t="s">
        <v>2718</v>
      </c>
      <c r="E105" s="3116">
        <v>0.1</v>
      </c>
      <c r="F105" s="3116">
        <v>15</v>
      </c>
    </row>
    <row r="106" spans="1:6" ht="24">
      <c r="A106" s="3116">
        <v>34</v>
      </c>
      <c r="B106" s="3783"/>
      <c r="C106" s="3090" t="s">
        <v>2719</v>
      </c>
      <c r="D106" s="3090" t="s">
        <v>2720</v>
      </c>
      <c r="E106" s="3116">
        <v>0.1</v>
      </c>
      <c r="F106" s="3116">
        <v>15</v>
      </c>
    </row>
    <row r="107" spans="1:6" ht="24">
      <c r="A107" s="3116">
        <v>35</v>
      </c>
      <c r="B107" s="3779" t="s">
        <v>2721</v>
      </c>
      <c r="C107" s="3116" t="s">
        <v>2722</v>
      </c>
      <c r="D107" s="3090" t="s">
        <v>2723</v>
      </c>
      <c r="E107" s="3116">
        <v>0.15</v>
      </c>
      <c r="F107" s="3116">
        <v>20</v>
      </c>
    </row>
    <row r="108" spans="1:6" ht="13.5">
      <c r="A108" s="3116">
        <v>36</v>
      </c>
      <c r="B108" s="3774"/>
      <c r="C108" s="3116" t="s">
        <v>2724</v>
      </c>
      <c r="D108" s="3090" t="s">
        <v>2725</v>
      </c>
      <c r="E108" s="3116">
        <v>0.15</v>
      </c>
      <c r="F108" s="3116">
        <v>20</v>
      </c>
    </row>
    <row r="109" spans="1:6" ht="13.5">
      <c r="A109" s="3116">
        <v>37</v>
      </c>
      <c r="B109" s="3774"/>
      <c r="C109" s="3116" t="s">
        <v>2726</v>
      </c>
      <c r="D109" s="3090" t="s">
        <v>2727</v>
      </c>
      <c r="E109" s="3116">
        <v>0.15</v>
      </c>
      <c r="F109" s="3116">
        <v>20</v>
      </c>
    </row>
    <row r="110" spans="1:6" ht="13.5">
      <c r="A110" s="3116">
        <v>38</v>
      </c>
      <c r="B110" s="3774"/>
      <c r="C110" s="3116" t="s">
        <v>2728</v>
      </c>
      <c r="D110" s="3090" t="s">
        <v>2729</v>
      </c>
      <c r="E110" s="3116">
        <v>0.1</v>
      </c>
      <c r="F110" s="3116">
        <v>15</v>
      </c>
    </row>
    <row r="111" spans="1:6" ht="24">
      <c r="A111" s="3116">
        <v>39</v>
      </c>
      <c r="B111" s="3774"/>
      <c r="C111" s="3116" t="s">
        <v>2730</v>
      </c>
      <c r="D111" s="3090" t="s">
        <v>2731</v>
      </c>
      <c r="E111" s="3116">
        <v>0.1</v>
      </c>
      <c r="F111" s="3116">
        <v>15</v>
      </c>
    </row>
    <row r="112" spans="1:6" ht="24">
      <c r="A112" s="3116">
        <v>40</v>
      </c>
      <c r="B112" s="3783"/>
      <c r="C112" s="3116" t="s">
        <v>2732</v>
      </c>
      <c r="D112" s="3090" t="s">
        <v>2733</v>
      </c>
      <c r="E112" s="3116">
        <v>0.1</v>
      </c>
      <c r="F112" s="3116">
        <v>15</v>
      </c>
    </row>
    <row r="113" spans="1:6" ht="13.5">
      <c r="A113" s="3116">
        <v>41</v>
      </c>
      <c r="B113" s="3784" t="s">
        <v>2734</v>
      </c>
      <c r="C113" s="3116" t="s">
        <v>2735</v>
      </c>
      <c r="D113" s="3090" t="s">
        <v>2736</v>
      </c>
      <c r="E113" s="3116">
        <v>0.1</v>
      </c>
      <c r="F113" s="3116">
        <v>15</v>
      </c>
    </row>
    <row r="114" spans="1:6" ht="13.5">
      <c r="A114" s="3116">
        <v>42</v>
      </c>
      <c r="B114" s="3784"/>
      <c r="C114" s="3116" t="s">
        <v>2737</v>
      </c>
      <c r="D114" s="3090" t="s">
        <v>2738</v>
      </c>
      <c r="E114" s="3116">
        <v>0.1</v>
      </c>
      <c r="F114" s="3116">
        <v>15</v>
      </c>
    </row>
    <row r="115" spans="1:6" ht="24">
      <c r="A115" s="3116">
        <v>43</v>
      </c>
      <c r="B115" s="3784"/>
      <c r="C115" s="3116" t="s">
        <v>2739</v>
      </c>
      <c r="D115" s="3090" t="s">
        <v>2740</v>
      </c>
      <c r="E115" s="3116">
        <v>0.1</v>
      </c>
      <c r="F115" s="3116">
        <v>15</v>
      </c>
    </row>
    <row r="116" spans="1:6" ht="13.5">
      <c r="A116" s="3116">
        <v>44</v>
      </c>
      <c r="B116" s="3779" t="s">
        <v>2741</v>
      </c>
      <c r="C116" s="3116" t="s">
        <v>2742</v>
      </c>
      <c r="D116" s="3090" t="s">
        <v>2743</v>
      </c>
      <c r="E116" s="3116">
        <v>0.1</v>
      </c>
      <c r="F116" s="3116">
        <v>15</v>
      </c>
    </row>
    <row r="117" spans="1:6" ht="24">
      <c r="A117" s="3116">
        <v>45</v>
      </c>
      <c r="B117" s="3783"/>
      <c r="C117" s="3090" t="s">
        <v>2744</v>
      </c>
      <c r="D117" s="3090" t="s">
        <v>2745</v>
      </c>
      <c r="E117" s="3116">
        <v>0.1</v>
      </c>
      <c r="F117" s="3116">
        <v>15</v>
      </c>
    </row>
    <row r="118" spans="1:6" ht="24">
      <c r="A118" s="3116">
        <v>46</v>
      </c>
      <c r="B118" s="3779" t="s">
        <v>2746</v>
      </c>
      <c r="C118" s="3116" t="s">
        <v>2747</v>
      </c>
      <c r="D118" s="3090" t="s">
        <v>2748</v>
      </c>
      <c r="E118" s="3116">
        <v>0.1</v>
      </c>
      <c r="F118" s="3116">
        <v>15</v>
      </c>
    </row>
    <row r="119" spans="1:6" ht="24">
      <c r="A119" s="3116">
        <v>47</v>
      </c>
      <c r="B119" s="3783"/>
      <c r="C119" s="3116" t="s">
        <v>2749</v>
      </c>
      <c r="D119" s="3090" t="s">
        <v>2750</v>
      </c>
      <c r="E119" s="3116">
        <v>0.1</v>
      </c>
      <c r="F119" s="3116">
        <v>15</v>
      </c>
    </row>
    <row r="120" spans="1:6" ht="13.5">
      <c r="A120" s="3116">
        <v>48</v>
      </c>
      <c r="B120" s="3779" t="s">
        <v>2751</v>
      </c>
      <c r="C120" s="3116" t="s">
        <v>2752</v>
      </c>
      <c r="D120" s="3090" t="s">
        <v>2753</v>
      </c>
      <c r="E120" s="3116">
        <v>0.1</v>
      </c>
      <c r="F120" s="3116">
        <v>15</v>
      </c>
    </row>
    <row r="121" spans="1:6" ht="13.5">
      <c r="A121" s="3116">
        <v>49</v>
      </c>
      <c r="B121" s="3783"/>
      <c r="C121" s="3116" t="s">
        <v>2754</v>
      </c>
      <c r="D121" s="3090" t="s">
        <v>2755</v>
      </c>
      <c r="E121" s="3116">
        <v>0.1</v>
      </c>
      <c r="F121" s="3116">
        <v>15</v>
      </c>
    </row>
    <row r="122" spans="1:6" ht="24">
      <c r="A122" s="3116">
        <v>50</v>
      </c>
      <c r="B122" s="3784" t="s">
        <v>2756</v>
      </c>
      <c r="C122" s="3116" t="s">
        <v>2757</v>
      </c>
      <c r="D122" s="3090" t="s">
        <v>2758</v>
      </c>
      <c r="E122" s="3116">
        <v>0.1</v>
      </c>
      <c r="F122" s="3116">
        <v>15</v>
      </c>
    </row>
    <row r="123" spans="1:6" ht="24">
      <c r="A123" s="3116">
        <v>51</v>
      </c>
      <c r="B123" s="3784"/>
      <c r="C123" s="3116" t="s">
        <v>2759</v>
      </c>
      <c r="D123" s="3090" t="s">
        <v>2760</v>
      </c>
      <c r="E123" s="3116">
        <v>0.1</v>
      </c>
      <c r="F123" s="3116">
        <v>15</v>
      </c>
    </row>
    <row r="124" spans="1:6" ht="24">
      <c r="A124" s="3116">
        <v>52</v>
      </c>
      <c r="B124" s="3784" t="s">
        <v>2761</v>
      </c>
      <c r="C124" s="3116" t="s">
        <v>2762</v>
      </c>
      <c r="D124" s="3090" t="s">
        <v>2763</v>
      </c>
      <c r="E124" s="3116">
        <v>0.1</v>
      </c>
      <c r="F124" s="3116">
        <v>15</v>
      </c>
    </row>
    <row r="125" spans="1:6" ht="24">
      <c r="A125" s="3116">
        <v>53</v>
      </c>
      <c r="B125" s="3784"/>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4" t="s">
        <v>2769</v>
      </c>
      <c r="C127" s="3116" t="s">
        <v>2770</v>
      </c>
      <c r="D127" s="3090" t="s">
        <v>2771</v>
      </c>
      <c r="E127" s="3116">
        <v>0.1</v>
      </c>
      <c r="F127" s="3116">
        <v>15</v>
      </c>
    </row>
    <row r="128" spans="1:6" ht="13.5">
      <c r="A128" s="3116">
        <v>56</v>
      </c>
      <c r="B128" s="3784"/>
      <c r="C128" s="3116" t="s">
        <v>2772</v>
      </c>
      <c r="D128" s="3090" t="s">
        <v>2773</v>
      </c>
      <c r="E128" s="3116">
        <v>0.1</v>
      </c>
      <c r="F128" s="3116">
        <v>15</v>
      </c>
    </row>
    <row r="129" spans="1:6" ht="24">
      <c r="A129" s="3116">
        <v>57</v>
      </c>
      <c r="B129" s="3784"/>
      <c r="C129" s="3116" t="s">
        <v>2774</v>
      </c>
      <c r="D129" s="3090" t="s">
        <v>2775</v>
      </c>
      <c r="E129" s="3116">
        <v>0.1</v>
      </c>
      <c r="F129" s="3116">
        <v>15</v>
      </c>
    </row>
    <row r="130" spans="1:6" ht="24">
      <c r="A130" s="3116">
        <v>58</v>
      </c>
      <c r="B130" s="3784" t="s">
        <v>2776</v>
      </c>
      <c r="C130" s="3116" t="s">
        <v>2777</v>
      </c>
      <c r="D130" s="3090" t="s">
        <v>2778</v>
      </c>
      <c r="E130" s="3116">
        <v>0.1</v>
      </c>
      <c r="F130" s="3116">
        <v>15</v>
      </c>
    </row>
    <row r="131" spans="1:6" ht="13.5">
      <c r="A131" s="3116">
        <v>59</v>
      </c>
      <c r="B131" s="3784"/>
      <c r="C131" s="3116" t="s">
        <v>2779</v>
      </c>
      <c r="D131" s="3090" t="s">
        <v>2780</v>
      </c>
      <c r="E131" s="3116">
        <v>0.1</v>
      </c>
      <c r="F131" s="3116">
        <v>15</v>
      </c>
    </row>
    <row r="132" spans="1:6" ht="13.5">
      <c r="A132" s="3116">
        <v>60</v>
      </c>
      <c r="B132" s="3779" t="s">
        <v>2781</v>
      </c>
      <c r="C132" s="3116" t="s">
        <v>2782</v>
      </c>
      <c r="D132" s="3090" t="s">
        <v>2783</v>
      </c>
      <c r="E132" s="3116">
        <v>0.1</v>
      </c>
      <c r="F132" s="3116">
        <v>15</v>
      </c>
    </row>
    <row r="133" spans="1:6" ht="13.5">
      <c r="A133" s="3116">
        <v>61</v>
      </c>
      <c r="B133" s="3783"/>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4" t="s">
        <v>2789</v>
      </c>
      <c r="C135" s="3116" t="s">
        <v>2790</v>
      </c>
      <c r="D135" s="3090" t="s">
        <v>2791</v>
      </c>
      <c r="E135" s="3116">
        <v>0.1</v>
      </c>
      <c r="F135" s="3116">
        <v>15</v>
      </c>
    </row>
    <row r="136" spans="1:6" ht="13.5">
      <c r="A136" s="3116">
        <v>64</v>
      </c>
      <c r="B136" s="3784"/>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28062</v>
      </c>
      <c r="C2" s="2" t="s">
        <v>106</v>
      </c>
      <c r="D2" s="199"/>
      <c r="E2" s="199"/>
      <c r="F2" s="199"/>
      <c r="G2" s="199"/>
    </row>
    <row r="3" spans="1:7" s="200" customFormat="1" ht="18" customHeight="1" thickBot="1">
      <c r="A3" s="203" t="s">
        <v>58</v>
      </c>
      <c r="B3" s="204">
        <f ca="1">ROUND(B2*10000/'数据-汇总表'!E3,0)</f>
        <v>582562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481.7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481.7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481.7</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38</v>
      </c>
      <c r="D45" s="235">
        <f>C47</f>
        <v>3.0000000000000001E-3</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272</v>
      </c>
      <c r="D51" s="232"/>
      <c r="E51" s="232"/>
      <c r="F51" s="264"/>
      <c r="G51" s="234" t="s">
        <v>37</v>
      </c>
    </row>
    <row r="52" spans="1:7" s="208" customFormat="1" ht="16.5" thickBot="1">
      <c r="A52" s="265" t="s">
        <v>38</v>
      </c>
      <c r="B52" s="266"/>
      <c r="C52" s="267">
        <f ca="1">C31+C51</f>
        <v>28062</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1419</v>
      </c>
      <c r="E5" s="1491"/>
    </row>
    <row r="6" spans="1:5" ht="15.75">
      <c r="A6" s="1491"/>
      <c r="B6" s="3466"/>
      <c r="C6" s="1494" t="s">
        <v>911</v>
      </c>
      <c r="D6" s="850" t="str">
        <f ca="1">NUMBERSTRING(INT(D5*10000),2)&amp;"元整"</f>
        <v>壹仟肆佰壹拾玖万元整</v>
      </c>
      <c r="E6" s="1491"/>
    </row>
    <row r="7" spans="1:5" ht="15.75">
      <c r="A7" s="1491"/>
      <c r="B7" s="3471"/>
      <c r="C7" s="1495" t="s">
        <v>912</v>
      </c>
      <c r="D7" s="851">
        <f ca="1">结果表!H102</f>
        <v>29456</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1419</v>
      </c>
      <c r="E13" s="1491"/>
    </row>
    <row r="14" spans="1:5" ht="15.75">
      <c r="A14" s="1491"/>
      <c r="B14" s="3466"/>
      <c r="C14" s="1494" t="s">
        <v>911</v>
      </c>
      <c r="D14" s="850" t="str">
        <f ca="1">NUMBERSTRING(INT(D13*10000),2)&amp;"元整"</f>
        <v>壹仟肆佰壹拾玖万元整</v>
      </c>
      <c r="E14" s="1491"/>
    </row>
    <row r="15" spans="1:5" ht="15">
      <c r="A15" s="1491"/>
      <c r="B15" s="3471"/>
      <c r="C15" s="1495" t="s">
        <v>921</v>
      </c>
      <c r="D15" s="859">
        <f ca="1">结果表!H108</f>
        <v>29456</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7" t="s">
        <v>2841</v>
      </c>
      <c r="B1" s="3787"/>
      <c r="C1" s="3787"/>
      <c r="D1" s="3787"/>
      <c r="E1" s="3787"/>
      <c r="F1" s="3787"/>
      <c r="G1" s="3788"/>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5" t="s">
        <v>2868</v>
      </c>
      <c r="B3" s="3228"/>
      <c r="C3" s="3229" t="s">
        <v>2811</v>
      </c>
      <c r="D3" s="3229" t="s">
        <v>2869</v>
      </c>
      <c r="E3" s="3229" t="s">
        <v>2813</v>
      </c>
      <c r="F3" s="3229" t="s">
        <v>2870</v>
      </c>
      <c r="G3" s="3229" t="s">
        <v>2631</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6"/>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9" t="s">
        <v>3183</v>
      </c>
      <c r="B1" s="3789"/>
    </row>
    <row r="2" spans="1:7" ht="14.25" thickBot="1">
      <c r="A2" s="3253"/>
      <c r="B2" s="3253"/>
    </row>
    <row r="3" spans="1:7" ht="14.25" thickBot="1">
      <c r="A3" s="3253"/>
      <c r="B3" s="3253"/>
      <c r="C3" s="3254" t="s">
        <v>2811</v>
      </c>
      <c r="D3" s="3254" t="s">
        <v>2869</v>
      </c>
      <c r="E3" s="3254" t="s">
        <v>2813</v>
      </c>
      <c r="F3" s="3254" t="s">
        <v>2870</v>
      </c>
      <c r="G3" s="3254" t="s">
        <v>2631</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0" t="s">
        <v>3234</v>
      </c>
      <c r="B1" s="3790"/>
      <c r="C1" s="3790"/>
      <c r="D1" s="3790"/>
      <c r="E1" s="3790"/>
      <c r="F1" s="3791"/>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45251</v>
      </c>
      <c r="B1" s="3208" t="s">
        <v>2840</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3370</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3371</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3375</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3374</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3372</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3366</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3357</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2820</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2821</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2822</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2823</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2824</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3368</v>
      </c>
    </row>
    <row r="19" spans="1:30" s="3007" customFormat="1">
      <c r="I19" s="3206" t="s">
        <v>2825</v>
      </c>
    </row>
    <row r="20" spans="1:30" s="3007" customFormat="1"/>
    <row r="21" spans="1:30" s="3207" customFormat="1" ht="12.75">
      <c r="B21" s="3208" t="s">
        <v>2826</v>
      </c>
      <c r="C21" s="3209"/>
      <c r="D21" s="3209"/>
      <c r="E21" s="3209"/>
      <c r="F21" s="3209"/>
      <c r="G21" s="3209"/>
      <c r="H21" s="3209"/>
      <c r="I21" s="3209"/>
      <c r="J21" s="3163"/>
      <c r="K21" s="3209" t="s">
        <v>2827</v>
      </c>
      <c r="L21" s="3209"/>
      <c r="M21" s="3209"/>
      <c r="N21" s="3209"/>
      <c r="O21" s="3209"/>
      <c r="P21" s="3209"/>
      <c r="Q21" s="3163"/>
      <c r="R21" s="3792" t="s">
        <v>2828</v>
      </c>
      <c r="S21" s="3793"/>
      <c r="T21" s="3793"/>
      <c r="U21" s="3793"/>
      <c r="V21" s="3793"/>
      <c r="W21" s="3793"/>
      <c r="X21" s="3163"/>
      <c r="Y21" s="3792" t="s">
        <v>2829</v>
      </c>
      <c r="Z21" s="3793"/>
      <c r="AA21" s="3793"/>
      <c r="AB21" s="3793"/>
      <c r="AC21" s="3793"/>
      <c r="AD21" s="3793"/>
    </row>
    <row r="22" spans="1:30" s="3141" customFormat="1" ht="14.25" thickBot="1">
      <c r="B22" s="3142"/>
      <c r="C22" s="3143"/>
      <c r="D22" s="3144" t="s">
        <v>2830</v>
      </c>
      <c r="E22" s="3145" t="s">
        <v>2831</v>
      </c>
      <c r="F22" s="3145" t="s">
        <v>2832</v>
      </c>
      <c r="G22" s="3145" t="s">
        <v>2833</v>
      </c>
      <c r="H22" s="3145"/>
      <c r="I22" s="3145" t="s">
        <v>2834</v>
      </c>
      <c r="J22" s="3146"/>
      <c r="K22" s="3144" t="s">
        <v>2830</v>
      </c>
      <c r="L22" s="3145" t="s">
        <v>2831</v>
      </c>
      <c r="M22" s="3145" t="s">
        <v>2832</v>
      </c>
      <c r="N22" s="3145" t="s">
        <v>2833</v>
      </c>
      <c r="O22" s="3145"/>
      <c r="P22" s="3145" t="s">
        <v>2834</v>
      </c>
      <c r="Q22" s="3146"/>
      <c r="R22" s="3144" t="s">
        <v>2830</v>
      </c>
      <c r="S22" s="3145" t="s">
        <v>2831</v>
      </c>
      <c r="T22" s="3145" t="s">
        <v>2832</v>
      </c>
      <c r="U22" s="3145" t="s">
        <v>2833</v>
      </c>
      <c r="V22" s="3145"/>
      <c r="W22" s="3145" t="s">
        <v>2834</v>
      </c>
      <c r="X22" s="3146"/>
      <c r="Y22" s="3144" t="s">
        <v>2830</v>
      </c>
      <c r="Z22" s="3145" t="s">
        <v>2831</v>
      </c>
      <c r="AA22" s="3145" t="s">
        <v>2832</v>
      </c>
      <c r="AB22" s="3145" t="s">
        <v>2833</v>
      </c>
      <c r="AC22" s="3145"/>
      <c r="AD22" s="3145" t="s">
        <v>2834</v>
      </c>
    </row>
    <row r="23" spans="1:30" s="3159" customFormat="1" ht="12.75">
      <c r="A23" s="3147" t="s">
        <v>2835</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3370</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1.0396000000000001</v>
      </c>
      <c r="T25" s="3181">
        <f>ROUND(IF([3]项目基本情况!$B$8="出让",SUMPRODUCT(PRODUCT(1+M25:M$36)),SUMPRODUCT(PRODUCT(1+M25:M$35))),4)</f>
        <v>1.0269999999999999</v>
      </c>
      <c r="U25" s="3181">
        <f>ROUND(IF([3]项目基本情况!$B$8="出让",SUMPRODUCT(PRODUCT(1+N25:N$36)),SUMPRODUCT(PRODUCT(1+N25:N$35))),4)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3371</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1.0396000000000001</v>
      </c>
      <c r="T26" s="3181">
        <f>ROUND(IF([3]项目基本情况!$B$8="出让",SUMPRODUCT(PRODUCT(1+M26:M$36)),SUMPRODUCT(PRODUCT(1+M26:M$35))),4)</f>
        <v>1.0269999999999999</v>
      </c>
      <c r="U26" s="3181">
        <f>ROUND(IF([3]项目基本情况!$B$8="出让",SUMPRODUCT(PRODUCT(1+N26:N$36)),SUMPRODUCT(PRODUCT(1+N26:N$35))),4)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3373</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ROUND(IF([3]项目基本情况!$B$8="出让",SUMPRODUCT(PRODUCT(1+L27:L$36)),SUMPRODUCT(PRODUCT(1+L27:L$35))),4)</f>
        <v>1.0396000000000001</v>
      </c>
      <c r="T27" s="3190">
        <f>ROUND(IF([3]项目基本情况!$B$8="出让",SUMPRODUCT(PRODUCT(1+M27:M$36)),SUMPRODUCT(PRODUCT(1+M27:M$35))),4)</f>
        <v>1.0269999999999999</v>
      </c>
      <c r="U27" s="3190">
        <f>ROUND(IF([3]项目基本情况!$B$8="出让",SUMPRODUCT(PRODUCT(1+N27:N$36)),SUMPRODUCT(PRODUCT(1+N27:N$35))),4)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3374</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ROUND(IF([3]项目基本情况!$B$8="出让",SUMPRODUCT(PRODUCT(1+L28:L$36)),SUMPRODUCT(PRODUCT(1+L28:L$35))),4)</f>
        <v>1.0344</v>
      </c>
      <c r="T28" s="3181">
        <f>ROUND(IF([3]项目基本情况!$B$8="出让",SUMPRODUCT(PRODUCT(1+M28:M$36)),SUMPRODUCT(PRODUCT(1+M28:M$35))),4)</f>
        <v>1.0224</v>
      </c>
      <c r="U28" s="3181">
        <f>ROUND(IF([3]项目基本情况!$B$8="出让",SUMPRODUCT(PRODUCT(1+N28:N$36)),SUMPRODUCT(PRODUCT(1+N28:N$35))),4)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3372</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3367</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3357</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2836</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2837</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2838</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2839</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2824</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8" sqref="M2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481.7</v>
      </c>
      <c r="C4" s="854">
        <f>项目基本情况!C18</f>
        <v>0</v>
      </c>
      <c r="D4" s="854" t="e">
        <f ca="1">结果表!D118</f>
        <v>#REF!</v>
      </c>
      <c r="E4" s="854" t="e">
        <f ca="1">结果表!E118</f>
        <v>#REF!</v>
      </c>
      <c r="F4" s="854" t="e">
        <f ca="1">结果表!F118</f>
        <v>#REF!</v>
      </c>
      <c r="G4" s="854" t="e">
        <f ca="1">结果表!G118</f>
        <v>#REF!</v>
      </c>
      <c r="H4" s="854">
        <f ca="1">结果表!H118</f>
        <v>1419</v>
      </c>
      <c r="I4" s="854">
        <f ca="1">结果表!I118</f>
        <v>29456</v>
      </c>
    </row>
    <row r="5" spans="1:9" ht="30" customHeight="1">
      <c r="A5" s="3477" t="s">
        <v>927</v>
      </c>
      <c r="B5" s="3477"/>
      <c r="C5" s="3477"/>
      <c r="D5" s="3477" t="e">
        <f ca="1">结果表!D119</f>
        <v>#REF!</v>
      </c>
      <c r="E5" s="3477"/>
      <c r="F5" s="3477" t="e">
        <f ca="1">结果表!F119</f>
        <v>#REF!</v>
      </c>
      <c r="G5" s="3477"/>
      <c r="H5" s="3477" t="str">
        <f ca="1">结果表!H119</f>
        <v>壹仟肆佰壹拾玖万元整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1419</v>
      </c>
      <c r="E8" s="3478"/>
      <c r="F8" s="3478"/>
      <c r="G8" s="3478"/>
      <c r="H8" s="3478"/>
      <c r="I8" s="3478"/>
    </row>
    <row r="9" spans="1:9" ht="15">
      <c r="A9" s="3477" t="s">
        <v>927</v>
      </c>
      <c r="B9" s="3477"/>
      <c r="C9" s="3477"/>
      <c r="D9" s="3477" t="str">
        <f ca="1">结果表!D123</f>
        <v>壹仟肆佰壹拾玖万元整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案例及中指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2023-11-29T05:06:48Z</dcterms:modified>
</cp:coreProperties>
</file>