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不动产收益法仓储" sheetId="15" state="hidden" r:id="rId34"/>
    <sheet name="不动产收益法车库" sheetId="69"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0" r:id="rId43"/>
  </sheets>
  <externalReferences>
    <externalReference r:id="rId44"/>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地价!$A$2:$A$22</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'[1]不动产比较法-商业'!$B$116:$M$116</definedName>
    <definedName name="商业层高">'不动产比较法-商业'!$B$116:$M$116</definedName>
    <definedName name="商业成新度">'不动产比较法-商业'!$B$109:$M$109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'不动产比较法-商业'!$B$107:$M$107</definedName>
    <definedName name="商业基础设施水平" localSheetId="30">'[1]不动产比较法-商业'!$B$112:$M$112</definedName>
    <definedName name="商业基础设施水平">'不动产比较法-商业'!$B$112:$M$112</definedName>
    <definedName name="商业建筑结构" localSheetId="30">'[1]不动产比较法-商业'!$B$105:$M$105</definedName>
    <definedName name="商业建筑结构">'不动产比较法-商业'!$B$105:$M$105</definedName>
    <definedName name="商业交易情况" localSheetId="30">'[1]不动产比较法-商业'!$A$61:$M$61</definedName>
    <definedName name="商业交易情况">'不动产比较法-商业'!$A$61:$M$61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'不动产比较法-商业'!$B$120:$M$120</definedName>
    <definedName name="商业类型" localSheetId="30">'[1]不动产比较法-商业'!$B$100:$M$100</definedName>
    <definedName name="商业类型">'不动产比较法-商业'!$B$100:$M$100</definedName>
    <definedName name="商业临街状况" localSheetId="30">'[1]不动产比较法-商业'!$B$86:$M$86</definedName>
    <definedName name="商业临街状况">'不动产比较法-商业'!$B$86:$M$86</definedName>
    <definedName name="商业楼层" localSheetId="30">'[1]不动产比较法-商业'!$B$92:$M$92</definedName>
    <definedName name="商业楼层">'不动产比较法-商业'!$B$92:$M$92</definedName>
    <definedName name="商业内部装修" localSheetId="30">'[1]不动产比较法-商业'!$B$122:$M$122</definedName>
    <definedName name="商业内部装修">'不动产比较法-商业'!$B$122:$M$122</definedName>
    <definedName name="商业人流量" localSheetId="30">'[1]不动产比较法-商业'!$B$90:$M$90</definedName>
    <definedName name="商业人流量">'不动产比较法-商业'!$B$90:$M$90</definedName>
    <definedName name="商业业态" localSheetId="30">'[1]不动产比较法-商业'!$B$114:$M$114</definedName>
    <definedName name="商业业态">'不动产比较法-商业'!$B$114:$M$114</definedName>
    <definedName name="商业用途" localSheetId="3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7" i="9" l="1"/>
  <c r="B27" i="9"/>
  <c r="C30" i="9" l="1"/>
  <c r="D15" i="66" l="1"/>
  <c r="D16" i="66" l="1"/>
  <c r="I13" i="3" l="1"/>
  <c r="D14" i="9" l="1"/>
  <c r="Q73" i="69"/>
  <c r="Q60" i="69"/>
  <c r="D60" i="69"/>
  <c r="Q59" i="69"/>
  <c r="K59" i="69"/>
  <c r="P75" i="69" s="1"/>
  <c r="F58" i="69"/>
  <c r="Q52" i="69"/>
  <c r="J50" i="69"/>
  <c r="M47" i="69"/>
  <c r="F33" i="69"/>
  <c r="F60" i="69" s="1"/>
  <c r="F31" i="69"/>
  <c r="F23" i="69"/>
  <c r="D23" i="69" s="1"/>
  <c r="F21" i="69"/>
  <c r="F20" i="69"/>
  <c r="M19" i="69"/>
  <c r="F18" i="69"/>
  <c r="M17" i="69"/>
  <c r="F17" i="69"/>
  <c r="F15" i="69"/>
  <c r="D24" i="69" l="1"/>
  <c r="D22" i="69"/>
  <c r="P62" i="69"/>
  <c r="I40" i="39" l="1"/>
  <c r="G40" i="39"/>
  <c r="E40" i="39"/>
  <c r="C40" i="39"/>
  <c r="I9" i="39"/>
  <c r="G9" i="39"/>
  <c r="E9" i="39"/>
  <c r="I7" i="39"/>
  <c r="G7" i="39"/>
  <c r="E7" i="39"/>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I48" i="39" s="1"/>
  <c r="L6" i="68"/>
  <c r="G48" i="39" s="1"/>
  <c r="L5" i="68"/>
  <c r="E48" i="39" s="1"/>
  <c r="L4" i="68"/>
  <c r="L3" i="68"/>
  <c r="L2" i="68"/>
  <c r="B7" i="4" l="1"/>
  <c r="J50" i="15" l="1"/>
  <c r="D7" i="59"/>
  <c r="AH5" i="59"/>
  <c r="AG5" i="59"/>
  <c r="AE5" i="59"/>
  <c r="AF5" i="59" s="1"/>
  <c r="AD5" i="59"/>
  <c r="Q5" i="59"/>
  <c r="P5" i="59"/>
  <c r="O5" i="59"/>
  <c r="N5" i="59"/>
  <c r="I3" i="59"/>
  <c r="L3" i="59"/>
  <c r="K3" i="59"/>
  <c r="J3" i="59"/>
  <c r="AE6" i="59"/>
  <c r="AF6" i="59"/>
  <c r="AG6" i="59"/>
  <c r="AH6" i="59"/>
  <c r="AD6" i="59"/>
  <c r="Q6" i="59"/>
  <c r="F6" i="59" s="1"/>
  <c r="P6" i="59"/>
  <c r="O6" i="59"/>
  <c r="N6" i="59"/>
  <c r="N7" i="59"/>
  <c r="Q7" i="59"/>
  <c r="P7" i="59"/>
  <c r="O7" i="59"/>
  <c r="K59" i="15"/>
  <c r="P62" i="15" s="1"/>
  <c r="Q74" i="44"/>
  <c r="Q61" i="44"/>
  <c r="Q60" i="44"/>
  <c r="Q53" i="44"/>
  <c r="J51" i="44"/>
  <c r="J52" i="44" s="1"/>
  <c r="M48" i="44"/>
  <c r="A16" i="55"/>
  <c r="B67" i="63" s="1"/>
  <c r="A15" i="55"/>
  <c r="B66" i="63" s="1"/>
  <c r="A10" i="55"/>
  <c r="A9" i="55"/>
  <c r="A8" i="55"/>
  <c r="A6" i="54"/>
  <c r="A8" i="54"/>
  <c r="A7" i="54"/>
  <c r="A27" i="51"/>
  <c r="D5" i="46"/>
  <c r="Q8" i="59"/>
  <c r="O8" i="59"/>
  <c r="N9" i="59"/>
  <c r="O9" i="59"/>
  <c r="P9" i="59"/>
  <c r="Q9" i="59"/>
  <c r="N8" i="59"/>
  <c r="P8" i="59"/>
  <c r="K75" i="9"/>
  <c r="K6" i="4"/>
  <c r="O76" i="9" s="1"/>
  <c r="B22" i="31"/>
  <c r="E17" i="66"/>
  <c r="F17" i="66"/>
  <c r="E18" i="66"/>
  <c r="F18" i="66"/>
  <c r="E19" i="66"/>
  <c r="F19" i="66"/>
  <c r="E20" i="66"/>
  <c r="F20" i="66"/>
  <c r="E21" i="66"/>
  <c r="F21" i="66"/>
  <c r="E22" i="66"/>
  <c r="F22" i="66"/>
  <c r="E23" i="66"/>
  <c r="F23" i="66"/>
  <c r="B3" i="66"/>
  <c r="M19" i="46"/>
  <c r="B6" i="59"/>
  <c r="E6" i="59"/>
  <c r="E5" i="59" s="1"/>
  <c r="B5" i="59"/>
  <c r="S6" i="59"/>
  <c r="AD3" i="59"/>
  <c r="AE3" i="59"/>
  <c r="AF3" i="59" s="1"/>
  <c r="AG3" i="59"/>
  <c r="AH3" i="59"/>
  <c r="AD7" i="59"/>
  <c r="AE7" i="59"/>
  <c r="AF7" i="59"/>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T6" i="59" s="1"/>
  <c r="C3" i="65"/>
  <c r="C1" i="65"/>
  <c r="N1" i="65" s="1"/>
  <c r="C5" i="59"/>
  <c r="D5" i="59" s="1"/>
  <c r="D6" i="59"/>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C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A4" i="55"/>
  <c r="B57" i="63"/>
  <c r="B41" i="63"/>
  <c r="G5" i="54"/>
  <c r="B34" i="63" s="1"/>
  <c r="E5" i="54"/>
  <c r="B32" i="63" s="1"/>
  <c r="R2" i="54"/>
  <c r="B24" i="63" s="1"/>
  <c r="B49" i="50"/>
  <c r="B5" i="63"/>
  <c r="B40" i="50"/>
  <c r="B3" i="63"/>
  <c r="B21" i="63"/>
  <c r="I19" i="46"/>
  <c r="Q10" i="59"/>
  <c r="P10" i="59"/>
  <c r="O10" i="59"/>
  <c r="N10" i="59"/>
  <c r="B10" i="59" s="1"/>
  <c r="D71" i="59"/>
  <c r="F70" i="59"/>
  <c r="F69" i="59" s="1"/>
  <c r="F68" i="59" s="1"/>
  <c r="E70" i="59"/>
  <c r="E69" i="59" s="1"/>
  <c r="E68" i="59" s="1"/>
  <c r="C70" i="59"/>
  <c r="B70" i="59"/>
  <c r="B69" i="59" s="1"/>
  <c r="B68" i="59" s="1"/>
  <c r="D67" i="59"/>
  <c r="F66" i="59"/>
  <c r="F65" i="59" s="1"/>
  <c r="F64" i="59" s="1"/>
  <c r="E66" i="59"/>
  <c r="E65" i="59" s="1"/>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E50" i="59"/>
  <c r="C50" i="59"/>
  <c r="B50" i="59"/>
  <c r="N50" i="59"/>
  <c r="B49" i="59"/>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s="1"/>
  <c r="O31" i="59"/>
  <c r="C32" i="59"/>
  <c r="D32" i="59" s="1"/>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P19" i="59"/>
  <c r="AA19" i="59" s="1"/>
  <c r="O19" i="59"/>
  <c r="C20" i="59"/>
  <c r="C21" i="59" s="1"/>
  <c r="N19" i="59"/>
  <c r="B20" i="59"/>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Q14" i="59"/>
  <c r="P14" i="59"/>
  <c r="O14" i="59"/>
  <c r="N14" i="59"/>
  <c r="Q13" i="59"/>
  <c r="P13" i="59"/>
  <c r="O13" i="59"/>
  <c r="N13" i="59"/>
  <c r="X13" i="59" s="1"/>
  <c r="Q12" i="59"/>
  <c r="P12" i="59"/>
  <c r="O12" i="59"/>
  <c r="N12" i="59"/>
  <c r="Q11" i="59"/>
  <c r="P11" i="59"/>
  <c r="O11" i="59"/>
  <c r="C12" i="59"/>
  <c r="C13" i="59" s="1"/>
  <c r="N11" i="59"/>
  <c r="B12" i="59"/>
  <c r="D11" i="59"/>
  <c r="X3" i="59"/>
  <c r="X8" i="59"/>
  <c r="X10" i="59"/>
  <c r="AA7" i="59"/>
  <c r="Y7" i="59"/>
  <c r="Z7" i="59" s="1"/>
  <c r="Y3" i="59"/>
  <c r="Z3" i="59" s="1"/>
  <c r="AB8" i="59"/>
  <c r="B13" i="59"/>
  <c r="B14" i="59" s="1"/>
  <c r="S14" i="59" s="1"/>
  <c r="E12" i="59"/>
  <c r="E13" i="59" s="1"/>
  <c r="E14" i="59" s="1"/>
  <c r="U14" i="59" s="1"/>
  <c r="S50" i="59"/>
  <c r="AA21" i="59"/>
  <c r="F25" i="59"/>
  <c r="F26" i="59" s="1"/>
  <c r="V26" i="59" s="1"/>
  <c r="F41" i="59"/>
  <c r="F42" i="59" s="1"/>
  <c r="V42" i="59" s="1"/>
  <c r="F45" i="59"/>
  <c r="F46" i="59" s="1"/>
  <c r="V46" i="59" s="1"/>
  <c r="D12" i="59"/>
  <c r="D20" i="59"/>
  <c r="C25" i="59"/>
  <c r="D24" i="59"/>
  <c r="C37" i="59"/>
  <c r="C38" i="59" s="1"/>
  <c r="D36" i="59"/>
  <c r="C41" i="59"/>
  <c r="D41" i="59" s="1"/>
  <c r="C45" i="59"/>
  <c r="C46" i="59" s="1"/>
  <c r="D44" i="59"/>
  <c r="N49" i="59"/>
  <c r="B48" i="59"/>
  <c r="N47" i="59" s="1"/>
  <c r="T50" i="59"/>
  <c r="D50" i="59"/>
  <c r="P50" i="59"/>
  <c r="Q50" i="59"/>
  <c r="C53" i="59"/>
  <c r="E53" i="59"/>
  <c r="E52" i="59" s="1"/>
  <c r="D54" i="59"/>
  <c r="C57" i="59"/>
  <c r="D58" i="59"/>
  <c r="C61" i="59"/>
  <c r="E61" i="59"/>
  <c r="E60" i="59" s="1"/>
  <c r="D62" i="59"/>
  <c r="C65" i="59"/>
  <c r="D65" i="59" s="1"/>
  <c r="U16" i="4"/>
  <c r="S16" i="4"/>
  <c r="Q16" i="4"/>
  <c r="O16" i="4"/>
  <c r="M16" i="4"/>
  <c r="K16" i="4"/>
  <c r="D61" i="59"/>
  <c r="C60" i="59"/>
  <c r="D60" i="59" s="1"/>
  <c r="D53" i="59"/>
  <c r="C52" i="59"/>
  <c r="D52" i="59" s="1"/>
  <c r="C64" i="59"/>
  <c r="D64" i="59" s="1"/>
  <c r="D57" i="59"/>
  <c r="C56" i="59"/>
  <c r="D56" i="59" s="1"/>
  <c r="N48" i="59"/>
  <c r="D45" i="59"/>
  <c r="C42" i="59"/>
  <c r="T42" i="59" s="1"/>
  <c r="C26" i="59"/>
  <c r="D25" i="59"/>
  <c r="C22" i="59"/>
  <c r="D21" i="59"/>
  <c r="C14" i="59"/>
  <c r="D13" i="59"/>
  <c r="T14" i="59"/>
  <c r="D14" i="59"/>
  <c r="T22" i="59"/>
  <c r="D22" i="59"/>
  <c r="T26" i="59"/>
  <c r="D2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18" i="35"/>
  <c r="S21" i="37"/>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s="1"/>
  <c r="Q10" i="21"/>
  <c r="Z10" i="21" s="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E20" i="6" s="1"/>
  <c r="J5" i="3"/>
  <c r="BE10" i="3"/>
  <c r="BD13" i="3"/>
  <c r="BE13" i="3"/>
  <c r="BF13" i="3"/>
  <c r="BG13" i="3"/>
  <c r="BH13" i="3"/>
  <c r="BI13" i="3"/>
  <c r="BJ13" i="3"/>
  <c r="BK13" i="3"/>
  <c r="BM13" i="3"/>
  <c r="BN13" i="3"/>
  <c r="BO13" i="3"/>
  <c r="BP13" i="3"/>
  <c r="BS13" i="3"/>
  <c r="BT13" i="3"/>
  <c r="BB570" i="3"/>
  <c r="BC570" i="3"/>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12"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s="1"/>
  <c r="AB27" i="35"/>
  <c r="S10" i="40"/>
  <c r="W10" i="40"/>
  <c r="S11" i="40"/>
  <c r="U11" i="40"/>
  <c r="S36" i="40"/>
  <c r="U36" i="40"/>
  <c r="S40" i="39"/>
  <c r="S36" i="39"/>
  <c r="F11" i="21"/>
  <c r="S11" i="21" s="1"/>
  <c r="AC40"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AZ13" i="3" s="1"/>
  <c r="BL572" i="3"/>
  <c r="J14" i="2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AB30" i="21"/>
  <c r="AA28" i="21"/>
  <c r="W14" i="21"/>
  <c r="AC14" i="21"/>
  <c r="S46" i="33"/>
  <c r="U36" i="37"/>
  <c r="AC13" i="36"/>
  <c r="AB45" i="33"/>
  <c r="AB31"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AZ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AC23" i="37"/>
  <c r="U39" i="37"/>
  <c r="AC8" i="37"/>
  <c r="AC36" i="34"/>
  <c r="AB8" i="34"/>
  <c r="AC37" i="33"/>
  <c r="AA13" i="33"/>
  <c r="AC45" i="33"/>
  <c r="AA36" i="21"/>
  <c r="F43" i="33"/>
  <c r="AA43" i="33" s="1"/>
  <c r="AB44" i="33"/>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AZ363" i="3" s="1"/>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AZ162" i="3" s="1"/>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s="1"/>
  <c r="G182" i="3"/>
  <c r="BA184" i="3"/>
  <c r="AZ184" i="3" s="1"/>
  <c r="BL185" i="3"/>
  <c r="G186" i="3"/>
  <c r="BA188" i="3"/>
  <c r="AZ188" i="3" s="1"/>
  <c r="BL189" i="3"/>
  <c r="AZ189" i="3" s="1"/>
  <c r="G190" i="3"/>
  <c r="BA192" i="3"/>
  <c r="AZ192" i="3"/>
  <c r="BL193" i="3"/>
  <c r="G194" i="3"/>
  <c r="BA196" i="3"/>
  <c r="AZ196" i="3" s="1"/>
  <c r="BL197" i="3"/>
  <c r="AZ197" i="3" s="1"/>
  <c r="G198" i="3"/>
  <c r="BA200" i="3"/>
  <c r="AZ200" i="3"/>
  <c r="BL201" i="3"/>
  <c r="AZ70" i="3"/>
  <c r="AZ78" i="3"/>
  <c r="AZ94" i="3"/>
  <c r="AZ98" i="3"/>
  <c r="AZ102" i="3"/>
  <c r="AZ110" i="3"/>
  <c r="G491" i="3"/>
  <c r="BA298" i="3"/>
  <c r="AZ298" i="3" s="1"/>
  <c r="BA299" i="3"/>
  <c r="BL299" i="3"/>
  <c r="G300" i="3"/>
  <c r="G303" i="3"/>
  <c r="BL304" i="3"/>
  <c r="BA306" i="3"/>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BA347" i="3"/>
  <c r="BL347" i="3"/>
  <c r="G348" i="3"/>
  <c r="G351" i="3"/>
  <c r="BL352" i="3"/>
  <c r="BA354" i="3"/>
  <c r="AZ354" i="3" s="1"/>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87" i="3"/>
  <c r="AZ195" i="3"/>
  <c r="G523" i="3"/>
  <c r="BL297" i="3"/>
  <c r="G298" i="3"/>
  <c r="BA300" i="3"/>
  <c r="BL301" i="3"/>
  <c r="G302" i="3"/>
  <c r="BA304" i="3"/>
  <c r="AZ304" i="3" s="1"/>
  <c r="BL305" i="3"/>
  <c r="G306" i="3"/>
  <c r="BA308" i="3"/>
  <c r="AZ308" i="3" s="1"/>
  <c r="BL309" i="3"/>
  <c r="AZ309" i="3" s="1"/>
  <c r="G310" i="3"/>
  <c r="BA310" i="3"/>
  <c r="AZ310" i="3" s="1"/>
  <c r="BL311" i="3"/>
  <c r="G312" i="3"/>
  <c r="BA312" i="3"/>
  <c r="BL313" i="3"/>
  <c r="AZ313" i="3" s="1"/>
  <c r="G314" i="3"/>
  <c r="BA314" i="3"/>
  <c r="AZ314" i="3" s="1"/>
  <c r="BL315" i="3"/>
  <c r="G316" i="3"/>
  <c r="BA316" i="3"/>
  <c r="AZ316" i="3" s="1"/>
  <c r="BL317" i="3"/>
  <c r="G318" i="3"/>
  <c r="BA320" i="3"/>
  <c r="AZ320" i="3" s="1"/>
  <c r="BL321" i="3"/>
  <c r="AZ321" i="3" s="1"/>
  <c r="G322" i="3"/>
  <c r="BA324" i="3"/>
  <c r="AZ324" i="3" s="1"/>
  <c r="BL325" i="3"/>
  <c r="G326" i="3"/>
  <c r="BA328" i="3"/>
  <c r="AZ328" i="3" s="1"/>
  <c r="BL329" i="3"/>
  <c r="G330" i="3"/>
  <c r="BA332" i="3"/>
  <c r="BL333" i="3"/>
  <c r="AZ333" i="3" s="1"/>
  <c r="G334" i="3"/>
  <c r="BA336" i="3"/>
  <c r="AZ336" i="3" s="1"/>
  <c r="BL337" i="3"/>
  <c r="G338" i="3"/>
  <c r="BA340" i="3"/>
  <c r="AZ340" i="3" s="1"/>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21" i="3"/>
  <c r="AZ225" i="3"/>
  <c r="AZ237" i="3"/>
  <c r="AZ241" i="3"/>
  <c r="AZ317" i="3"/>
  <c r="AZ325" i="3"/>
  <c r="AZ349" i="3"/>
  <c r="AZ353" i="3"/>
  <c r="AZ357" i="3"/>
  <c r="AZ367" i="3"/>
  <c r="G368" i="3"/>
  <c r="BA370" i="3"/>
  <c r="AZ370" i="3" s="1"/>
  <c r="BL371" i="3"/>
  <c r="AZ371" i="3"/>
  <c r="G372" i="3"/>
  <c r="BA374" i="3"/>
  <c r="AZ374" i="3" s="1"/>
  <c r="BL375" i="3"/>
  <c r="G376" i="3"/>
  <c r="BA378" i="3"/>
  <c r="BL379" i="3"/>
  <c r="G380" i="3"/>
  <c r="BA382" i="3"/>
  <c r="AZ382" i="3" s="1"/>
  <c r="BL383" i="3"/>
  <c r="G384" i="3"/>
  <c r="AZ249" i="3"/>
  <c r="AZ261" i="3"/>
  <c r="AZ265" i="3"/>
  <c r="AZ375" i="3"/>
  <c r="AZ383" i="3"/>
  <c r="AZ274" i="3"/>
  <c r="AZ278" i="3"/>
  <c r="AZ290" i="3"/>
  <c r="AZ311" i="3"/>
  <c r="AZ331" i="3"/>
  <c r="AZ335" i="3"/>
  <c r="AZ394" i="3"/>
  <c r="AZ410" i="3"/>
  <c r="AZ418" i="3"/>
  <c r="AZ426" i="3"/>
  <c r="AZ430" i="3"/>
  <c r="AZ442" i="3"/>
  <c r="AZ446" i="3"/>
  <c r="AZ455" i="3"/>
  <c r="AZ467" i="3"/>
  <c r="AZ471"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J13" i="39"/>
  <c r="AC13" i="39" s="1"/>
  <c r="H11" i="37"/>
  <c r="AB11" i="37" s="1"/>
  <c r="W37" i="37"/>
  <c r="AA30" i="33"/>
  <c r="S42" i="33"/>
  <c r="U32" i="33"/>
  <c r="AB17" i="37"/>
  <c r="AZ508" i="3"/>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c r="F29" i="35"/>
  <c r="S29" i="35"/>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s="1"/>
  <c r="BL537" i="3"/>
  <c r="BA537" i="3"/>
  <c r="AZ537" i="3" s="1"/>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AZ513" i="3" s="1"/>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AC12" i="21"/>
  <c r="W12"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W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c r="F47" i="46"/>
  <c r="H49" i="46" s="1"/>
  <c r="N7" i="46"/>
  <c r="AZ466" i="3"/>
  <c r="AZ469" i="3"/>
  <c r="AZ388" i="3"/>
  <c r="AZ207" i="3"/>
  <c r="AZ220" i="3"/>
  <c r="AZ223" i="3"/>
  <c r="AZ236" i="3"/>
  <c r="AZ239" i="3"/>
  <c r="AZ260" i="3"/>
  <c r="AZ263" i="3"/>
  <c r="AZ276" i="3"/>
  <c r="AZ281" i="3"/>
  <c r="AZ292" i="3"/>
  <c r="AZ121" i="3"/>
  <c r="AZ137" i="3"/>
  <c r="AZ152" i="3"/>
  <c r="M7" i="46"/>
  <c r="M11" i="46"/>
  <c r="N3" i="46"/>
  <c r="N6" i="46"/>
  <c r="N10" i="46"/>
  <c r="AZ167" i="3"/>
  <c r="AZ180" i="3"/>
  <c r="AZ32" i="3"/>
  <c r="AZ48" i="3"/>
  <c r="AZ63" i="3"/>
  <c r="AZ79" i="3"/>
  <c r="AZ91" i="3"/>
  <c r="AZ112" i="3"/>
  <c r="J13" i="40"/>
  <c r="W13" i="40" s="1"/>
  <c r="AB14" i="40"/>
  <c r="F72" i="9"/>
  <c r="AB32" i="40"/>
  <c r="S47" i="39"/>
  <c r="U37" i="34"/>
  <c r="AC41" i="40"/>
  <c r="U41" i="40"/>
  <c r="J23" i="40"/>
  <c r="AC23" i="40"/>
  <c r="F23" i="40"/>
  <c r="S23" i="40" s="1"/>
  <c r="AC15" i="40"/>
  <c r="W15" i="40"/>
  <c r="W14" i="39"/>
  <c r="U23" i="35"/>
  <c r="H20" i="35"/>
  <c r="U20" i="35" s="1"/>
  <c r="F20" i="35"/>
  <c r="S20" i="35"/>
  <c r="H15" i="34"/>
  <c r="AB15" i="34"/>
  <c r="J15" i="34"/>
  <c r="H41" i="33"/>
  <c r="U41" i="33" s="1"/>
  <c r="F30" i="40"/>
  <c r="AA30" i="40" s="1"/>
  <c r="AB38" i="34"/>
  <c r="AZ497" i="3"/>
  <c r="AZ515" i="3"/>
  <c r="AZ530" i="3"/>
  <c r="AZ547" i="3"/>
  <c r="AZ549" i="3"/>
  <c r="AB37" i="39"/>
  <c r="AA29" i="35"/>
  <c r="U39" i="39"/>
  <c r="J29" i="39"/>
  <c r="AC29" i="39" s="1"/>
  <c r="AB21" i="39"/>
  <c r="U21" i="39"/>
  <c r="AB33"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S13" i="39"/>
  <c r="AA13" i="39"/>
  <c r="U16" i="40"/>
  <c r="AB34" i="40"/>
  <c r="AB42" i="40"/>
  <c r="U42" i="40"/>
  <c r="AC16" i="40"/>
  <c r="W32" i="40"/>
  <c r="H25" i="40"/>
  <c r="AB25" i="40" s="1"/>
  <c r="F94" i="40"/>
  <c r="G94" i="40" s="1"/>
  <c r="W15" i="39"/>
  <c r="J37" i="34"/>
  <c r="AC37" i="34" s="1"/>
  <c r="J36" i="33"/>
  <c r="W36" i="33" s="1"/>
  <c r="AB23" i="40"/>
  <c r="F97" i="39"/>
  <c r="G97" i="39" s="1"/>
  <c r="S15" i="34"/>
  <c r="AA15" i="34"/>
  <c r="AA41" i="33"/>
  <c r="AA34" i="33"/>
  <c r="F106" i="33"/>
  <c r="G106" i="33" s="1"/>
  <c r="H106" i="33" s="1"/>
  <c r="I106" i="33" s="1"/>
  <c r="J106" i="33" s="1"/>
  <c r="K106" i="33" s="1"/>
  <c r="L106" i="33" s="1"/>
  <c r="M106" i="33" s="1"/>
  <c r="J34" i="33"/>
  <c r="AC34" i="33" s="1"/>
  <c r="U30" i="40"/>
  <c r="W29" i="35"/>
  <c r="S39" i="39"/>
  <c r="W33" i="39"/>
  <c r="AA33" i="39"/>
  <c r="S33" i="39"/>
  <c r="U11" i="36"/>
  <c r="F80" i="35"/>
  <c r="G80" i="35" s="1"/>
  <c r="H80" i="35" s="1"/>
  <c r="I80" i="35" s="1"/>
  <c r="J80" i="35" s="1"/>
  <c r="K80" i="35" s="1"/>
  <c r="L80" i="35" s="1"/>
  <c r="M80" i="35" s="1"/>
  <c r="W14" i="35"/>
  <c r="F27" i="34"/>
  <c r="S27" i="34" s="1"/>
  <c r="AA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U13" i="39"/>
  <c r="AC16" i="35"/>
  <c r="AC13" i="40"/>
  <c r="J11" i="34"/>
  <c r="W11" i="34"/>
  <c r="S17" i="34"/>
  <c r="AC36" i="33"/>
  <c r="F25" i="40"/>
  <c r="AA25" i="40"/>
  <c r="J11" i="33"/>
  <c r="W11" i="33"/>
  <c r="H33" i="37"/>
  <c r="AB33" i="37"/>
  <c r="W15" i="34"/>
  <c r="AC15" i="34"/>
  <c r="AB20" i="35"/>
  <c r="W23" i="40"/>
  <c r="D73" i="9"/>
  <c r="N73" i="9" s="1"/>
  <c r="AP11" i="1"/>
  <c r="B11" i="1"/>
  <c r="E11" i="1" s="1"/>
  <c r="K11" i="1"/>
  <c r="M11" i="1" s="1"/>
  <c r="B9" i="1"/>
  <c r="E9" i="1"/>
  <c r="K9" i="1"/>
  <c r="M9" i="1" s="1"/>
  <c r="B7" i="1"/>
  <c r="E7" i="1" s="1"/>
  <c r="C20" i="43"/>
  <c r="F6" i="1"/>
  <c r="AP6" i="1" s="1"/>
  <c r="G11" i="1"/>
  <c r="M22" i="44"/>
  <c r="F32" i="15"/>
  <c r="F59" i="15" s="1"/>
  <c r="F70" i="9"/>
  <c r="M20" i="44"/>
  <c r="F31" i="43"/>
  <c r="F30" i="44"/>
  <c r="AC25" i="36"/>
  <c r="S23" i="36"/>
  <c r="S8" i="36"/>
  <c r="AA26" i="36"/>
  <c r="AA28" i="36"/>
  <c r="U25" i="36"/>
  <c r="H20" i="36"/>
  <c r="U20" i="36"/>
  <c r="F68" i="36"/>
  <c r="G68" i="36"/>
  <c r="J20" i="36"/>
  <c r="AC20" i="36" s="1"/>
  <c r="F20" i="36"/>
  <c r="S20" i="36" s="1"/>
  <c r="F62" i="36"/>
  <c r="G62" i="36" s="1"/>
  <c r="J14" i="36"/>
  <c r="H14" i="36"/>
  <c r="F14" i="36"/>
  <c r="AA14" i="36" s="1"/>
  <c r="W20" i="36"/>
  <c r="U27" i="36"/>
  <c r="U32" i="36"/>
  <c r="AB12" i="36"/>
  <c r="AA27" i="36"/>
  <c r="S16" i="36"/>
  <c r="S29" i="36"/>
  <c r="AC33" i="35"/>
  <c r="U22" i="35"/>
  <c r="AA13" i="35"/>
  <c r="AC9" i="35"/>
  <c r="S8" i="35"/>
  <c r="U33" i="35"/>
  <c r="AA20" i="35"/>
  <c r="W20" i="35"/>
  <c r="S23" i="35"/>
  <c r="S16" i="35"/>
  <c r="AC10" i="35"/>
  <c r="U9" i="35"/>
  <c r="W13" i="35"/>
  <c r="AC18" i="35"/>
  <c r="W18" i="35"/>
  <c r="U18" i="35"/>
  <c r="AB18" i="35"/>
  <c r="S30" i="35"/>
  <c r="AA35" i="35"/>
  <c r="AB30" i="35"/>
  <c r="S27" i="35"/>
  <c r="S28" i="35"/>
  <c r="J26" i="35"/>
  <c r="F26" i="35"/>
  <c r="H26" i="35"/>
  <c r="AB26" i="35" s="1"/>
  <c r="AB9" i="37"/>
  <c r="W12" i="37"/>
  <c r="AA9" i="37"/>
  <c r="S17" i="37"/>
  <c r="W28" i="37"/>
  <c r="AB37" i="37"/>
  <c r="AA31" i="37"/>
  <c r="S33" i="37"/>
  <c r="AA33" i="37"/>
  <c r="U32" i="37"/>
  <c r="AA32" i="37"/>
  <c r="J33" i="37"/>
  <c r="W33" i="37" s="1"/>
  <c r="S29" i="37"/>
  <c r="J19" i="37"/>
  <c r="AC19" i="37"/>
  <c r="G75" i="37"/>
  <c r="F19" i="37"/>
  <c r="AA19" i="37" s="1"/>
  <c r="H19" i="37"/>
  <c r="J17" i="37"/>
  <c r="W17" i="37" s="1"/>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86" i="34"/>
  <c r="G86" i="34" s="1"/>
  <c r="F23" i="34"/>
  <c r="S23" i="34" s="1"/>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S14" i="33"/>
  <c r="AC21" i="33"/>
  <c r="W21" i="33"/>
  <c r="W14" i="33"/>
  <c r="AB10" i="33"/>
  <c r="U25" i="33"/>
  <c r="AB21" i="33"/>
  <c r="U21" i="33"/>
  <c r="AA21" i="33"/>
  <c r="S21" i="33"/>
  <c r="AA44" i="33"/>
  <c r="AA36" i="33"/>
  <c r="S44" i="21"/>
  <c r="W39" i="21"/>
  <c r="U35" i="21"/>
  <c r="W43" i="21"/>
  <c r="W28" i="21"/>
  <c r="AC46" i="21"/>
  <c r="AC26" i="21"/>
  <c r="J23" i="21"/>
  <c r="W23" i="21" s="1"/>
  <c r="F23" i="21"/>
  <c r="AA23" i="21" s="1"/>
  <c r="H23" i="21"/>
  <c r="AB23" i="21" s="1"/>
  <c r="AC11" i="21"/>
  <c r="AB11" i="21"/>
  <c r="W13" i="21"/>
  <c r="AC21" i="21"/>
  <c r="W21" i="21"/>
  <c r="W44" i="21"/>
  <c r="W10" i="21"/>
  <c r="AC38" i="21"/>
  <c r="AB21" i="21"/>
  <c r="U21" i="21"/>
  <c r="AB29" i="21"/>
  <c r="AA30" i="21"/>
  <c r="AA31" i="21"/>
  <c r="W33" i="40"/>
  <c r="U33" i="40"/>
  <c r="S35" i="40"/>
  <c r="S14" i="40"/>
  <c r="AB13" i="40"/>
  <c r="S16" i="40"/>
  <c r="W11" i="40"/>
  <c r="AA21" i="40"/>
  <c r="U21" i="40"/>
  <c r="U25" i="40"/>
  <c r="U35" i="40"/>
  <c r="F37" i="40"/>
  <c r="J37" i="40"/>
  <c r="AC37" i="40" s="1"/>
  <c r="H37" i="40"/>
  <c r="G113" i="40"/>
  <c r="H113" i="40" s="1"/>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W13" i="39"/>
  <c r="S11" i="39"/>
  <c r="AB45" i="39"/>
  <c r="AA21" i="39"/>
  <c r="AC19" i="39"/>
  <c r="AC38" i="39"/>
  <c r="W29" i="39"/>
  <c r="AC21" i="39"/>
  <c r="AC17" i="39"/>
  <c r="AB15" i="39"/>
  <c r="U11" i="39"/>
  <c r="U41" i="39"/>
  <c r="AB38" i="39"/>
  <c r="U31" i="39"/>
  <c r="AB31" i="39"/>
  <c r="S38" i="39"/>
  <c r="S22" i="31"/>
  <c r="B20" i="31" s="1"/>
  <c r="M20" i="15"/>
  <c r="D96" i="9"/>
  <c r="F28" i="15"/>
  <c r="M18" i="15"/>
  <c r="A18" i="64"/>
  <c r="B74" i="63"/>
  <c r="C53" i="10"/>
  <c r="A25" i="64" s="1"/>
  <c r="A18" i="51"/>
  <c r="B14" i="63" s="1"/>
  <c r="BA16" i="3"/>
  <c r="BA17" i="3"/>
  <c r="AZ17" i="3" s="1"/>
  <c r="F3" i="35"/>
  <c r="K1" i="43"/>
  <c r="K1" i="12"/>
  <c r="G1" i="44"/>
  <c r="I4" i="6"/>
  <c r="G3" i="46" s="1"/>
  <c r="AJ11" i="46" s="1"/>
  <c r="AJ13" i="46" s="1"/>
  <c r="AZ15" i="3"/>
  <c r="BK5" i="3"/>
  <c r="BO5" i="3"/>
  <c r="BP5" i="3"/>
  <c r="BN5" i="3"/>
  <c r="BL18" i="3"/>
  <c r="AZ18" i="3"/>
  <c r="BC5" i="3"/>
  <c r="E8" i="6"/>
  <c r="E58" i="39" s="1"/>
  <c r="BD5" i="3"/>
  <c r="BR5" i="3"/>
  <c r="G28" i="6" s="1"/>
  <c r="BS5" i="3"/>
  <c r="BQ5" i="3"/>
  <c r="F28" i="6" s="1"/>
  <c r="BL16" i="3"/>
  <c r="BM5" i="3"/>
  <c r="BA13" i="3"/>
  <c r="H48" i="46"/>
  <c r="H53" i="46"/>
  <c r="G28" i="12"/>
  <c r="G26" i="12"/>
  <c r="D24" i="44"/>
  <c r="D26" i="44"/>
  <c r="G23" i="43"/>
  <c r="H54" i="46"/>
  <c r="H55"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B56" i="46" s="1"/>
  <c r="A4" i="64"/>
  <c r="A4" i="51"/>
  <c r="C51" i="10"/>
  <c r="H58" i="46"/>
  <c r="H61" i="46"/>
  <c r="H62" i="46"/>
  <c r="H71" i="46"/>
  <c r="H75" i="46"/>
  <c r="H76" i="46"/>
  <c r="I100" i="46"/>
  <c r="C24" i="46"/>
  <c r="N100" i="46"/>
  <c r="H100" i="46"/>
  <c r="F108" i="46"/>
  <c r="H80" i="46"/>
  <c r="B45" i="46"/>
  <c r="E100" i="46"/>
  <c r="G100" i="46"/>
  <c r="H84" i="46"/>
  <c r="H65" i="46"/>
  <c r="H66" i="46"/>
  <c r="C100" i="46"/>
  <c r="J100" i="46"/>
  <c r="M100" i="46"/>
  <c r="AA12" i="36"/>
  <c r="W11" i="35"/>
  <c r="AA11" i="35"/>
  <c r="S14" i="37"/>
  <c r="U13" i="37"/>
  <c r="S13" i="21"/>
  <c r="AP7" i="1"/>
  <c r="AP9" i="1"/>
  <c r="G9" i="1"/>
  <c r="AP8" i="1"/>
  <c r="G8" i="1"/>
  <c r="I20" i="46"/>
  <c r="C20" i="46" s="1"/>
  <c r="B6" i="63"/>
  <c r="L5" i="54"/>
  <c r="B39" i="63"/>
  <c r="K5" i="54"/>
  <c r="B38" i="63" s="1"/>
  <c r="T41" i="4"/>
  <c r="A17" i="64" s="1"/>
  <c r="B46" i="50"/>
  <c r="B4" i="63" s="1"/>
  <c r="C46" i="36"/>
  <c r="D46" i="36" s="1"/>
  <c r="E46" i="36" s="1"/>
  <c r="F46" i="36" s="1"/>
  <c r="C59" i="34"/>
  <c r="D59" i="34" s="1"/>
  <c r="E59" i="34" s="1"/>
  <c r="C48" i="35"/>
  <c r="D48" i="35" s="1"/>
  <c r="C52" i="37"/>
  <c r="D52" i="37" s="1"/>
  <c r="F7" i="33"/>
  <c r="J7" i="33"/>
  <c r="W7" i="33" s="1"/>
  <c r="P24" i="46"/>
  <c r="B68" i="40" s="1"/>
  <c r="P25" i="46"/>
  <c r="B73" i="39" s="1"/>
  <c r="P23" i="46"/>
  <c r="P21" i="46"/>
  <c r="P22" i="46"/>
  <c r="H7" i="33"/>
  <c r="U7" i="33" s="1"/>
  <c r="C72" i="39"/>
  <c r="D70" i="39"/>
  <c r="D72" i="39" s="1"/>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c r="S12" i="1"/>
  <c r="G1" i="15"/>
  <c r="F66" i="36"/>
  <c r="H18" i="36"/>
  <c r="AB18" i="36" s="1"/>
  <c r="U16" i="36"/>
  <c r="S25" i="36"/>
  <c r="AA34" i="36"/>
  <c r="U23" i="36"/>
  <c r="AC27" i="36"/>
  <c r="W28"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9" i="21"/>
  <c r="U27" i="21"/>
  <c r="W31" i="21"/>
  <c r="S27" i="21"/>
  <c r="AC27" i="21"/>
  <c r="W29" i="21"/>
  <c r="G96" i="40"/>
  <c r="J27" i="40"/>
  <c r="AC27" i="40" s="1"/>
  <c r="W37" i="40"/>
  <c r="S17" i="40"/>
  <c r="W30" i="40"/>
  <c r="S34" i="40"/>
  <c r="U17" i="40"/>
  <c r="U38" i="40"/>
  <c r="S40" i="40"/>
  <c r="S42" i="40"/>
  <c r="G105" i="39"/>
  <c r="J31" i="39"/>
  <c r="W31" i="39" s="1"/>
  <c r="S45" i="39"/>
  <c r="AB43" i="39"/>
  <c r="AB33" i="39"/>
  <c r="AC46" i="39"/>
  <c r="W42" i="39"/>
  <c r="W36" i="39"/>
  <c r="AC37" i="39"/>
  <c r="U14" i="39"/>
  <c r="S15" i="39"/>
  <c r="W25" i="39"/>
  <c r="W45" i="39"/>
  <c r="AA46" i="39"/>
  <c r="W10" i="39"/>
  <c r="W11" i="39"/>
  <c r="U42" i="39"/>
  <c r="W40" i="39"/>
  <c r="S32" i="40"/>
  <c r="C27" i="39"/>
  <c r="C17" i="40"/>
  <c r="C19" i="40"/>
  <c r="C17" i="39"/>
  <c r="C19" i="39"/>
  <c r="C21" i="39"/>
  <c r="C23" i="40"/>
  <c r="B48" i="46"/>
  <c r="B51" i="46"/>
  <c r="B55" i="46"/>
  <c r="B59" i="46"/>
  <c r="B62" i="46"/>
  <c r="B66" i="46"/>
  <c r="B53" i="46"/>
  <c r="B64" i="46"/>
  <c r="D24" i="15"/>
  <c r="G6" i="1"/>
  <c r="F29" i="6"/>
  <c r="AF11" i="46"/>
  <c r="AF13" i="46" s="1"/>
  <c r="E22" i="46"/>
  <c r="I101" i="46"/>
  <c r="I105" i="46" s="1"/>
  <c r="S14" i="36"/>
  <c r="AB20" i="36"/>
  <c r="AA20" i="36"/>
  <c r="AC14" i="36"/>
  <c r="W14" i="36"/>
  <c r="U14" i="36"/>
  <c r="AB14" i="36"/>
  <c r="U18" i="36"/>
  <c r="AA26" i="35"/>
  <c r="S26" i="35"/>
  <c r="U26" i="35"/>
  <c r="W26" i="35"/>
  <c r="AC26" i="35"/>
  <c r="S19" i="37"/>
  <c r="W19" i="37"/>
  <c r="AB19" i="37"/>
  <c r="U19" i="37"/>
  <c r="AC17" i="37"/>
  <c r="U25" i="34"/>
  <c r="AA25" i="34"/>
  <c r="S25" i="34"/>
  <c r="W25" i="34"/>
  <c r="AC25" i="34"/>
  <c r="U23" i="34"/>
  <c r="AB23" i="34"/>
  <c r="AA23" i="34"/>
  <c r="AC23" i="34"/>
  <c r="AA25" i="33"/>
  <c r="S25" i="33"/>
  <c r="U23" i="33"/>
  <c r="W23" i="33"/>
  <c r="S23" i="33"/>
  <c r="AA23" i="33"/>
  <c r="W17" i="33"/>
  <c r="AA17" i="33"/>
  <c r="U17" i="33"/>
  <c r="AB17" i="33"/>
  <c r="AB39" i="40"/>
  <c r="AC39" i="40"/>
  <c r="W39" i="40"/>
  <c r="AA39" i="40"/>
  <c r="U37" i="40"/>
  <c r="AB37" i="40"/>
  <c r="AA37" i="40"/>
  <c r="S37" i="40"/>
  <c r="U29" i="40"/>
  <c r="AC29" i="40"/>
  <c r="W29" i="40"/>
  <c r="AA29" i="40"/>
  <c r="S29" i="40"/>
  <c r="W19" i="40"/>
  <c r="AA19" i="40"/>
  <c r="AB19" i="40"/>
  <c r="U19" i="40"/>
  <c r="W27" i="40"/>
  <c r="R22" i="31"/>
  <c r="B21" i="31" s="1"/>
  <c r="E53" i="40"/>
  <c r="E5" i="6"/>
  <c r="D21" i="12" s="1"/>
  <c r="C21" i="12" s="1"/>
  <c r="G29" i="6"/>
  <c r="G30" i="6" s="1"/>
  <c r="G31" i="6" s="1"/>
  <c r="AZ16" i="3"/>
  <c r="H70" i="46"/>
  <c r="H72" i="46"/>
  <c r="A9" i="64"/>
  <c r="A9" i="51"/>
  <c r="B9" i="63" s="1"/>
  <c r="A25" i="51"/>
  <c r="B18" i="63" s="1"/>
  <c r="A3" i="55"/>
  <c r="B56" i="63" s="1"/>
  <c r="E52" i="37"/>
  <c r="F52" i="37" s="1"/>
  <c r="G52" i="37" s="1"/>
  <c r="E70" i="39"/>
  <c r="F70" i="39" s="1"/>
  <c r="AC7" i="33"/>
  <c r="V48" i="33" s="1"/>
  <c r="I48" i="33" s="1"/>
  <c r="AB7" i="33"/>
  <c r="T48" i="33" s="1"/>
  <c r="G48" i="33" s="1"/>
  <c r="S7" i="33"/>
  <c r="AA7" i="33"/>
  <c r="R48" i="33" s="1"/>
  <c r="R49" i="33" s="1"/>
  <c r="G39" i="46"/>
  <c r="I39" i="46" s="1"/>
  <c r="G66" i="36"/>
  <c r="J18" i="36"/>
  <c r="AE6" i="1"/>
  <c r="W18" i="36"/>
  <c r="AC18" i="36"/>
  <c r="AG6" i="1"/>
  <c r="D12" i="11"/>
  <c r="C12" i="11" s="1"/>
  <c r="L20" i="6"/>
  <c r="E72" i="39"/>
  <c r="S9" i="1"/>
  <c r="R9" i="1"/>
  <c r="C45" i="9"/>
  <c r="H14" i="66" s="1"/>
  <c r="B7" i="66" s="1"/>
  <c r="K31" i="9"/>
  <c r="K32" i="9" s="1"/>
  <c r="N76" i="9"/>
  <c r="C46" i="9"/>
  <c r="K33" i="9" s="1"/>
  <c r="F33" i="44"/>
  <c r="F31" i="15"/>
  <c r="M9" i="15"/>
  <c r="E14" i="67"/>
  <c r="B8" i="67"/>
  <c r="L49" i="44"/>
  <c r="M26" i="44"/>
  <c r="B13" i="67"/>
  <c r="F40" i="44"/>
  <c r="M24" i="44"/>
  <c r="L47" i="15"/>
  <c r="E12" i="67"/>
  <c r="F9" i="15"/>
  <c r="F10" i="44"/>
  <c r="F9" i="67"/>
  <c r="M25" i="44"/>
  <c r="F6" i="15"/>
  <c r="M21" i="15"/>
  <c r="F28" i="44"/>
  <c r="F14" i="67"/>
  <c r="F26" i="15"/>
  <c r="E13" i="67"/>
  <c r="F43" i="44"/>
  <c r="B10" i="67"/>
  <c r="F8" i="44"/>
  <c r="F45" i="44"/>
  <c r="E11" i="67"/>
  <c r="F8" i="67"/>
  <c r="N6" i="65"/>
  <c r="F18" i="44"/>
  <c r="N5" i="65"/>
  <c r="N4" i="65"/>
  <c r="M11" i="44"/>
  <c r="F38" i="15"/>
  <c r="M22" i="15"/>
  <c r="J15" i="15"/>
  <c r="F35" i="15"/>
  <c r="F11" i="44"/>
  <c r="J36" i="15"/>
  <c r="M30" i="44"/>
  <c r="J17" i="44"/>
  <c r="F12" i="67"/>
  <c r="M6" i="15"/>
  <c r="F38" i="44"/>
  <c r="F7" i="15"/>
  <c r="M8" i="15"/>
  <c r="F39" i="44"/>
  <c r="F43" i="15"/>
  <c r="E10" i="67"/>
  <c r="F37" i="15"/>
  <c r="B14" i="67"/>
  <c r="F10" i="67"/>
  <c r="F11" i="67"/>
  <c r="M10" i="44"/>
  <c r="B11" i="67"/>
  <c r="E8" i="67"/>
  <c r="E9" i="67"/>
  <c r="F15" i="44"/>
  <c r="M8" i="44"/>
  <c r="M29" i="44"/>
  <c r="M28" i="44"/>
  <c r="F13" i="67"/>
  <c r="B9" i="67"/>
  <c r="L48" i="44"/>
  <c r="B12" i="67"/>
  <c r="W34" i="39" l="1"/>
  <c r="AA37" i="39"/>
  <c r="U27" i="33"/>
  <c r="AB27" i="33"/>
  <c r="AB9" i="34"/>
  <c r="U9" i="34"/>
  <c r="AB12" i="35"/>
  <c r="U12" i="35"/>
  <c r="W12" i="36"/>
  <c r="AC12" i="36"/>
  <c r="F30" i="6"/>
  <c r="E28" i="6"/>
  <c r="K14" i="1" s="1"/>
  <c r="M14" i="1" s="1"/>
  <c r="S32" i="36"/>
  <c r="AA32" i="36"/>
  <c r="F27" i="6"/>
  <c r="A17" i="51"/>
  <c r="B13" i="63" s="1"/>
  <c r="M101" i="46"/>
  <c r="M107" i="46" s="1"/>
  <c r="AG11" i="46"/>
  <c r="AC33" i="37"/>
  <c r="H51" i="46"/>
  <c r="H50" i="46"/>
  <c r="H52" i="46"/>
  <c r="W42" i="40"/>
  <c r="W25" i="40"/>
  <c r="S15" i="40"/>
  <c r="U15" i="40"/>
  <c r="W10" i="33"/>
  <c r="AB34" i="33"/>
  <c r="AB14" i="35"/>
  <c r="S33" i="36"/>
  <c r="AB46" i="39"/>
  <c r="W39" i="39"/>
  <c r="S16" i="39"/>
  <c r="J23" i="39"/>
  <c r="AC23" i="39" s="1"/>
  <c r="U27" i="39"/>
  <c r="S41" i="40"/>
  <c r="U47" i="39"/>
  <c r="W34" i="40"/>
  <c r="AA11" i="36"/>
  <c r="AB17" i="39"/>
  <c r="W35" i="40"/>
  <c r="W40" i="40"/>
  <c r="H47" i="46"/>
  <c r="F23" i="39"/>
  <c r="AA23" i="39" s="1"/>
  <c r="AZ490" i="3"/>
  <c r="AZ507" i="3"/>
  <c r="AZ517" i="3"/>
  <c r="AZ539" i="3"/>
  <c r="AA36" i="35"/>
  <c r="AB15" i="37"/>
  <c r="AZ378" i="3"/>
  <c r="AZ373" i="3"/>
  <c r="AZ365" i="3"/>
  <c r="AZ347" i="3"/>
  <c r="AZ344" i="3"/>
  <c r="AZ339" i="3"/>
  <c r="AZ379" i="3"/>
  <c r="AZ361" i="3"/>
  <c r="AZ345" i="3"/>
  <c r="AZ329" i="3"/>
  <c r="AZ305" i="3"/>
  <c r="AZ303" i="3"/>
  <c r="U31" i="37"/>
  <c r="AA23" i="37"/>
  <c r="S39" i="33"/>
  <c r="AZ492" i="3"/>
  <c r="AZ544" i="3"/>
  <c r="AZ493" i="3"/>
  <c r="AB44" i="21"/>
  <c r="S46" i="21"/>
  <c r="AB28" i="36"/>
  <c r="AB36" i="21"/>
  <c r="H5" i="3"/>
  <c r="BG5" i="3"/>
  <c r="E15" i="6" s="1"/>
  <c r="BA570" i="3"/>
  <c r="AZ570" i="3" s="1"/>
  <c r="BI5" i="3"/>
  <c r="H23" i="39"/>
  <c r="AB23" i="39" s="1"/>
  <c r="AZ514" i="3"/>
  <c r="AZ562" i="3"/>
  <c r="H25" i="37"/>
  <c r="F25" i="37"/>
  <c r="G519" i="3"/>
  <c r="G489" i="3"/>
  <c r="G569" i="3"/>
  <c r="G564" i="3"/>
  <c r="G555" i="3"/>
  <c r="G543" i="3"/>
  <c r="G535" i="3"/>
  <c r="G528" i="3"/>
  <c r="G520" i="3"/>
  <c r="G511" i="3"/>
  <c r="G500" i="3"/>
  <c r="G490" i="3"/>
  <c r="G482" i="3"/>
  <c r="G15"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AZ277" i="3"/>
  <c r="G17" i="46"/>
  <c r="A11" i="55"/>
  <c r="B62" i="63" s="1"/>
  <c r="AZ393" i="3"/>
  <c r="AZ396" i="3"/>
  <c r="AZ406" i="3"/>
  <c r="AZ409" i="3"/>
  <c r="AZ425" i="3"/>
  <c r="AZ429" i="3"/>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5" i="3" s="1"/>
  <c r="BL24" i="3"/>
  <c r="AZ24" i="3" s="1"/>
  <c r="BA25" i="3"/>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BA88" i="3"/>
  <c r="AZ88" i="3" s="1"/>
  <c r="BL90" i="3"/>
  <c r="AZ90" i="3" s="1"/>
  <c r="G93" i="3"/>
  <c r="BL93" i="3"/>
  <c r="AZ93" i="3" s="1"/>
  <c r="G96" i="3"/>
  <c r="BL96" i="3"/>
  <c r="AZ96" i="3" s="1"/>
  <c r="BA97" i="3"/>
  <c r="BL97" i="3"/>
  <c r="BL99" i="3"/>
  <c r="AZ99" i="3" s="1"/>
  <c r="G101" i="3"/>
  <c r="BL101" i="3"/>
  <c r="G104" i="3"/>
  <c r="BL104" i="3"/>
  <c r="BA105" i="3"/>
  <c r="AZ105" i="3" s="1"/>
  <c r="BA106" i="3"/>
  <c r="AZ106" i="3" s="1"/>
  <c r="BA107" i="3"/>
  <c r="AZ107" i="3" s="1"/>
  <c r="G110" i="3"/>
  <c r="G111" i="3"/>
  <c r="BL111" i="3"/>
  <c r="C42" i="1"/>
  <c r="C25" i="12" s="1"/>
  <c r="J51" i="69"/>
  <c r="D42" i="59"/>
  <c r="D37" i="59"/>
  <c r="C33" i="59"/>
  <c r="AB3" i="59"/>
  <c r="Y9" i="59"/>
  <c r="Z9" i="59" s="1"/>
  <c r="AA9" i="59"/>
  <c r="AA11" i="59"/>
  <c r="AA3" i="59"/>
  <c r="AA8" i="59"/>
  <c r="AA10" i="59"/>
  <c r="X12" i="59"/>
  <c r="X7" i="59"/>
  <c r="X9" i="59"/>
  <c r="AA12" i="59"/>
  <c r="AA13" i="59"/>
  <c r="AA14" i="59"/>
  <c r="Y15" i="59"/>
  <c r="Z15" i="59" s="1"/>
  <c r="AB15" i="59"/>
  <c r="F16" i="59"/>
  <c r="F17" i="59" s="1"/>
  <c r="F18" i="59" s="1"/>
  <c r="V18" i="59" s="1"/>
  <c r="Y16" i="59"/>
  <c r="Z16" i="59" s="1"/>
  <c r="AB16" i="59"/>
  <c r="Y17" i="59"/>
  <c r="Z17" i="59" s="1"/>
  <c r="AB17" i="59"/>
  <c r="Y18" i="59"/>
  <c r="Z18" i="59" s="1"/>
  <c r="O50" i="59"/>
  <c r="C49" i="59"/>
  <c r="V50" i="59"/>
  <c r="F49" i="59"/>
  <c r="Y8" i="59"/>
  <c r="Z8" i="59" s="1"/>
  <c r="Y10" i="59"/>
  <c r="Z10" i="59" s="1"/>
  <c r="AB10" i="59"/>
  <c r="AB7" i="59"/>
  <c r="AB9" i="59"/>
  <c r="F5" i="59"/>
  <c r="V6" i="59"/>
  <c r="AZ104" i="3"/>
  <c r="AZ111" i="3"/>
  <c r="G1" i="69"/>
  <c r="C29" i="59"/>
  <c r="D29" i="59" s="1"/>
  <c r="D28" i="59"/>
  <c r="E49" i="59"/>
  <c r="U50" i="59"/>
  <c r="U58" i="59"/>
  <c r="E57" i="59"/>
  <c r="E56" i="59" s="1"/>
  <c r="D70" i="59"/>
  <c r="C69" i="59"/>
  <c r="L16" i="4"/>
  <c r="N16" i="4"/>
  <c r="X11" i="59"/>
  <c r="Y11" i="59"/>
  <c r="Z11" i="59" s="1"/>
  <c r="AB11" i="59"/>
  <c r="Y12" i="59"/>
  <c r="Z12" i="59" s="1"/>
  <c r="AB12" i="59"/>
  <c r="Y13" i="59"/>
  <c r="Z13" i="59" s="1"/>
  <c r="AB13" i="59"/>
  <c r="Y14" i="59"/>
  <c r="Z14" i="59" s="1"/>
  <c r="AB14" i="59"/>
  <c r="X16" i="59"/>
  <c r="AA16" i="59"/>
  <c r="X17" i="59"/>
  <c r="AA17" i="59"/>
  <c r="X18" i="59"/>
  <c r="AA18" i="59"/>
  <c r="X19" i="59"/>
  <c r="AB19" i="59"/>
  <c r="Y20" i="59"/>
  <c r="Z20" i="59" s="1"/>
  <c r="AB20" i="59"/>
  <c r="AG12" i="46"/>
  <c r="H1" i="65"/>
  <c r="U6" i="59"/>
  <c r="P75" i="15"/>
  <c r="J51" i="15"/>
  <c r="AA25" i="21"/>
  <c r="F81" i="21"/>
  <c r="G81" i="21" s="1"/>
  <c r="F19" i="21"/>
  <c r="AA19" i="21" s="1"/>
  <c r="J19" i="21"/>
  <c r="H19" i="21"/>
  <c r="AB19" i="21" s="1"/>
  <c r="F17" i="21"/>
  <c r="J17" i="21"/>
  <c r="AC17" i="21" s="1"/>
  <c r="G79" i="21"/>
  <c r="H17" i="21"/>
  <c r="AB17" i="21" s="1"/>
  <c r="F77" i="21"/>
  <c r="G77" i="21" s="1"/>
  <c r="H15" i="21"/>
  <c r="U15" i="21" s="1"/>
  <c r="F15" i="21"/>
  <c r="S15" i="21" s="1"/>
  <c r="J15" i="21"/>
  <c r="W15" i="21" s="1"/>
  <c r="H113" i="21"/>
  <c r="J37" i="21"/>
  <c r="F37" i="21"/>
  <c r="H37" i="21"/>
  <c r="U40" i="21"/>
  <c r="U43" i="21"/>
  <c r="S42" i="21"/>
  <c r="AC34" i="21"/>
  <c r="U42" i="21"/>
  <c r="W42" i="21"/>
  <c r="S39" i="21"/>
  <c r="U39" i="21"/>
  <c r="U38" i="21"/>
  <c r="AA38" i="21"/>
  <c r="S35" i="21"/>
  <c r="AB34" i="21"/>
  <c r="AB32" i="21"/>
  <c r="W32" i="21"/>
  <c r="AC23" i="21"/>
  <c r="U23" i="21"/>
  <c r="S23" i="21"/>
  <c r="S21" i="21"/>
  <c r="S19" i="21"/>
  <c r="W17" i="21"/>
  <c r="AA15" i="21"/>
  <c r="AA11" i="21"/>
  <c r="G7" i="1"/>
  <c r="C9" i="12"/>
  <c r="D3" i="21"/>
  <c r="E32" i="6"/>
  <c r="K6" i="1"/>
  <c r="M6" i="1" s="1"/>
  <c r="O6" i="1" s="1"/>
  <c r="D9" i="12"/>
  <c r="K7" i="1"/>
  <c r="O40" i="9"/>
  <c r="R7" i="54" s="1"/>
  <c r="B52" i="63" s="1"/>
  <c r="E11" i="52"/>
  <c r="C31" i="39"/>
  <c r="S27" i="39"/>
  <c r="AB25" i="39"/>
  <c r="S25" i="39"/>
  <c r="U23" i="39"/>
  <c r="S23" i="39"/>
  <c r="J22" i="46"/>
  <c r="G22" i="46"/>
  <c r="D101" i="46"/>
  <c r="D109" i="46" s="1"/>
  <c r="H101" i="46"/>
  <c r="H109" i="46" s="1"/>
  <c r="AC11" i="46"/>
  <c r="AC13" i="46" s="1"/>
  <c r="Y11" i="46"/>
  <c r="Y13" i="46" s="1"/>
  <c r="P6" i="1"/>
  <c r="C15" i="12" s="1"/>
  <c r="W27" i="39"/>
  <c r="W23" i="39"/>
  <c r="W16" i="39"/>
  <c r="S14" i="39"/>
  <c r="AB16" i="39"/>
  <c r="AC47" i="39"/>
  <c r="S34" i="39"/>
  <c r="U34" i="39"/>
  <c r="AA44" i="39"/>
  <c r="AC44" i="39"/>
  <c r="AB44" i="39"/>
  <c r="W43" i="39"/>
  <c r="S41" i="39"/>
  <c r="W41" i="39"/>
  <c r="S31" i="39"/>
  <c r="AC31" i="39"/>
  <c r="S29" i="39"/>
  <c r="AB29" i="39"/>
  <c r="S17" i="39"/>
  <c r="F34" i="44"/>
  <c r="M18" i="69"/>
  <c r="F32" i="69"/>
  <c r="F59" i="69" s="1"/>
  <c r="F28" i="69"/>
  <c r="C28" i="69" s="1"/>
  <c r="F34" i="15"/>
  <c r="F61" i="15" s="1"/>
  <c r="F34" i="69"/>
  <c r="M20" i="69"/>
  <c r="C18" i="9"/>
  <c r="B23" i="52"/>
  <c r="AB10" i="21"/>
  <c r="W9" i="21"/>
  <c r="U9" i="21"/>
  <c r="AA9" i="21"/>
  <c r="C16" i="46"/>
  <c r="C5" i="46" s="1"/>
  <c r="K17" i="4"/>
  <c r="A22" i="51" s="1"/>
  <c r="B16" i="63" s="1"/>
  <c r="D86" i="9"/>
  <c r="F29" i="12"/>
  <c r="F27" i="43"/>
  <c r="C27" i="43" s="1"/>
  <c r="B4" i="52"/>
  <c r="G21" i="43"/>
  <c r="G27" i="12"/>
  <c r="G22" i="43"/>
  <c r="M104" i="46"/>
  <c r="I107" i="46"/>
  <c r="M105" i="46"/>
  <c r="I102" i="46"/>
  <c r="H103" i="46"/>
  <c r="H107" i="46"/>
  <c r="D103" i="46"/>
  <c r="H106" i="46"/>
  <c r="F31" i="6"/>
  <c r="O14" i="1"/>
  <c r="P14" i="1" s="1"/>
  <c r="O11" i="1"/>
  <c r="P11" i="1" s="1"/>
  <c r="E29" i="6"/>
  <c r="K15" i="1" s="1"/>
  <c r="M103" i="46"/>
  <c r="I109" i="46"/>
  <c r="M106" i="46"/>
  <c r="M109" i="46"/>
  <c r="M102" i="46"/>
  <c r="I106" i="46"/>
  <c r="I103" i="46"/>
  <c r="I104" i="46"/>
  <c r="B6" i="52"/>
  <c r="E9" i="52"/>
  <c r="E4" i="4" s="1"/>
  <c r="B21" i="55" s="1"/>
  <c r="B72" i="63" s="1"/>
  <c r="B10" i="52"/>
  <c r="E5" i="52"/>
  <c r="B16" i="52"/>
  <c r="E10" i="52"/>
  <c r="B8" i="52"/>
  <c r="B9" i="52"/>
  <c r="B7" i="52"/>
  <c r="E4" i="52"/>
  <c r="E16" i="52"/>
  <c r="C4" i="4" s="1"/>
  <c r="B20" i="55" s="1"/>
  <c r="B70" i="63" s="1"/>
  <c r="B11" i="52"/>
  <c r="E8" i="52"/>
  <c r="B5" i="52"/>
  <c r="B13" i="52"/>
  <c r="B22" i="52"/>
  <c r="E21" i="52"/>
  <c r="B14" i="52"/>
  <c r="E6" i="52"/>
  <c r="E7" i="52"/>
  <c r="L76" i="9"/>
  <c r="C67" i="40"/>
  <c r="D65" i="40"/>
  <c r="C48" i="33"/>
  <c r="C49" i="33"/>
  <c r="B3" i="33" s="1"/>
  <c r="B2" i="33" s="1"/>
  <c r="F72" i="39"/>
  <c r="G70" i="39"/>
  <c r="F58" i="21"/>
  <c r="G58" i="21" s="1"/>
  <c r="H58" i="21" s="1"/>
  <c r="I58" i="21" s="1"/>
  <c r="J58" i="21" s="1"/>
  <c r="K58" i="21" s="1"/>
  <c r="L58" i="21" s="1"/>
  <c r="M58" i="21" s="1"/>
  <c r="N58" i="21" s="1"/>
  <c r="O58" i="21" s="1"/>
  <c r="H7" i="21"/>
  <c r="E48" i="33"/>
  <c r="E52" i="33" s="1"/>
  <c r="F52" i="33" s="1"/>
  <c r="F65" i="15"/>
  <c r="L59" i="15"/>
  <c r="M7" i="15"/>
  <c r="J6" i="15" s="1"/>
  <c r="F49" i="15"/>
  <c r="C29" i="44"/>
  <c r="F62" i="15"/>
  <c r="C34" i="15"/>
  <c r="J20" i="15"/>
  <c r="Q72" i="15"/>
  <c r="I55" i="44"/>
  <c r="J60" i="44"/>
  <c r="L57" i="44"/>
  <c r="J58" i="44"/>
  <c r="J56" i="44" s="1"/>
  <c r="J59" i="44" s="1"/>
  <c r="Q52" i="44" s="1"/>
  <c r="J61" i="44"/>
  <c r="Q50" i="44" s="1"/>
  <c r="Q73" i="44"/>
  <c r="F70" i="15"/>
  <c r="F64" i="15"/>
  <c r="L60" i="44"/>
  <c r="L59" i="44"/>
  <c r="C27" i="15"/>
  <c r="C4" i="65"/>
  <c r="B39" i="1" s="1"/>
  <c r="G52" i="33"/>
  <c r="H52" i="33" s="1"/>
  <c r="G53" i="33"/>
  <c r="H53" i="33" s="1"/>
  <c r="E53" i="33"/>
  <c r="F53" i="33" s="1"/>
  <c r="I52" i="33"/>
  <c r="J52" i="33" s="1"/>
  <c r="I53" i="33"/>
  <c r="J53" i="33" s="1"/>
  <c r="H52" i="37"/>
  <c r="I52" i="37" s="1"/>
  <c r="J52" i="37" s="1"/>
  <c r="K52" i="37" s="1"/>
  <c r="L52" i="37" s="1"/>
  <c r="M52" i="37" s="1"/>
  <c r="N52" i="37" s="1"/>
  <c r="O52" i="37" s="1"/>
  <c r="G46" i="36"/>
  <c r="E48" i="35"/>
  <c r="H22" i="46"/>
  <c r="AE11" i="46"/>
  <c r="AI11" i="46"/>
  <c r="AA11" i="46"/>
  <c r="C23" i="46"/>
  <c r="C21" i="46" s="1"/>
  <c r="AH11" i="46"/>
  <c r="AH13" i="46" s="1"/>
  <c r="AD11" i="46"/>
  <c r="AD13" i="46" s="1"/>
  <c r="Z11" i="46"/>
  <c r="Z13" i="46" s="1"/>
  <c r="F101" i="46"/>
  <c r="N101" i="46"/>
  <c r="K101" i="46"/>
  <c r="Z7" i="46"/>
  <c r="E101" i="46"/>
  <c r="F22" i="46"/>
  <c r="L101" i="46"/>
  <c r="N104" i="45"/>
  <c r="B113" i="46"/>
  <c r="J101" i="46"/>
  <c r="G101" i="46"/>
  <c r="C101" i="46"/>
  <c r="AB11" i="46"/>
  <c r="AB13" i="46" s="1"/>
  <c r="O9" i="1"/>
  <c r="P9" i="1" s="1"/>
  <c r="I14" i="66"/>
  <c r="B8" i="66" s="1"/>
  <c r="O41" i="9"/>
  <c r="R8" i="54" s="1"/>
  <c r="B54" i="63" s="1"/>
  <c r="O10" i="1"/>
  <c r="P10" i="1" s="1"/>
  <c r="H7" i="37"/>
  <c r="F7" i="37"/>
  <c r="F59" i="34"/>
  <c r="AZ299" i="3"/>
  <c r="AZ377" i="3"/>
  <c r="AZ520" i="3"/>
  <c r="S33" i="40"/>
  <c r="AC14" i="40"/>
  <c r="F71" i="9"/>
  <c r="F66" i="9"/>
  <c r="P72" i="9" s="1"/>
  <c r="AZ558" i="3"/>
  <c r="AZ412" i="3"/>
  <c r="AZ419" i="3"/>
  <c r="AZ445" i="3"/>
  <c r="AZ448" i="3"/>
  <c r="AZ468" i="3"/>
  <c r="AZ472" i="3"/>
  <c r="AA36" i="37"/>
  <c r="S10" i="35"/>
  <c r="S27" i="37"/>
  <c r="AC41" i="34"/>
  <c r="U28" i="21"/>
  <c r="S45" i="21"/>
  <c r="AA27" i="33"/>
  <c r="W31" i="34"/>
  <c r="AB14" i="21"/>
  <c r="U46" i="21"/>
  <c r="AB13" i="21"/>
  <c r="AB40" i="37"/>
  <c r="W46" i="33"/>
  <c r="W35" i="35"/>
  <c r="S22" i="35"/>
  <c r="AZ389" i="3"/>
  <c r="AZ404" i="3"/>
  <c r="AZ416" i="3"/>
  <c r="AZ421" i="3"/>
  <c r="AZ440" i="3"/>
  <c r="F9" i="33"/>
  <c r="H9" i="33"/>
  <c r="F9" i="36"/>
  <c r="H9" i="36"/>
  <c r="H24" i="36"/>
  <c r="AZ206" i="3"/>
  <c r="AZ210" i="3"/>
  <c r="AZ222" i="3"/>
  <c r="AZ226" i="3"/>
  <c r="AZ238" i="3"/>
  <c r="AZ242" i="3"/>
  <c r="AZ254" i="3"/>
  <c r="AZ258" i="3"/>
  <c r="AZ269" i="3"/>
  <c r="AZ272" i="3"/>
  <c r="AZ285" i="3"/>
  <c r="AZ288" i="3"/>
  <c r="AZ296" i="3"/>
  <c r="AZ125" i="3"/>
  <c r="AZ128" i="3"/>
  <c r="AZ141" i="3"/>
  <c r="AZ144" i="3"/>
  <c r="AZ155" i="3"/>
  <c r="AZ168" i="3"/>
  <c r="AZ171" i="3"/>
  <c r="A30" i="64"/>
  <c r="A30" i="51"/>
  <c r="B22" i="63" s="1"/>
  <c r="AZ186" i="3"/>
  <c r="AZ194" i="3"/>
  <c r="AZ22" i="3"/>
  <c r="AZ33" i="3"/>
  <c r="AZ38" i="3"/>
  <c r="AZ49" i="3"/>
  <c r="AZ54" i="3"/>
  <c r="AZ64" i="3"/>
  <c r="AZ69" i="3"/>
  <c r="AZ80" i="3"/>
  <c r="AZ89" i="3"/>
  <c r="AZ101" i="3"/>
  <c r="D1" i="57"/>
  <c r="E10" i="57" s="1"/>
  <c r="T46" i="59"/>
  <c r="D46" i="59"/>
  <c r="T38" i="59"/>
  <c r="D38" i="59"/>
  <c r="B54" i="46"/>
  <c r="C27" i="40"/>
  <c r="S27" i="40"/>
  <c r="S21" i="34"/>
  <c r="X15" i="59"/>
  <c r="B16" i="59"/>
  <c r="B17" i="59" s="1"/>
  <c r="B18" i="59" s="1"/>
  <c r="S18" i="59" s="1"/>
  <c r="K13" i="1"/>
  <c r="M13" i="1" s="1"/>
  <c r="K12" i="1"/>
  <c r="D100" i="46"/>
  <c r="D23" i="15"/>
  <c r="F12" i="59"/>
  <c r="F13" i="59" s="1"/>
  <c r="F14" i="59" s="1"/>
  <c r="V14" i="59" s="1"/>
  <c r="S10" i="59"/>
  <c r="B9" i="59"/>
  <c r="B8" i="59" s="1"/>
  <c r="AA6" i="59"/>
  <c r="E10" i="59"/>
  <c r="A28" i="64"/>
  <c r="AA12" i="46"/>
  <c r="AE12" i="46"/>
  <c r="AE13" i="46" s="1"/>
  <c r="AI12" i="46"/>
  <c r="Y5" i="59"/>
  <c r="Z5" i="59" s="1"/>
  <c r="J54" i="44"/>
  <c r="AA5" i="59"/>
  <c r="X14" i="59"/>
  <c r="C16" i="59"/>
  <c r="AA15" i="59"/>
  <c r="AB18" i="59"/>
  <c r="Y19" i="59"/>
  <c r="Z19" i="59" s="1"/>
  <c r="E20" i="59"/>
  <c r="E21" i="59" s="1"/>
  <c r="E22" i="59" s="1"/>
  <c r="U22" i="59" s="1"/>
  <c r="F20" i="59"/>
  <c r="F21" i="59" s="1"/>
  <c r="F22" i="59" s="1"/>
  <c r="V22" i="59" s="1"/>
  <c r="X20" i="59"/>
  <c r="AA20" i="59"/>
  <c r="Y6" i="59"/>
  <c r="Z6" i="59" s="1"/>
  <c r="C10" i="59"/>
  <c r="AB6" i="59"/>
  <c r="F10" i="59"/>
  <c r="X6" i="59"/>
  <c r="AB5" i="59"/>
  <c r="X5" i="59"/>
  <c r="K76" i="9"/>
  <c r="K77" i="9" s="1"/>
  <c r="K79" i="9" s="1"/>
  <c r="K81" i="9" s="1"/>
  <c r="M17" i="15"/>
  <c r="M19" i="44"/>
  <c r="F58" i="15"/>
  <c r="F16" i="15"/>
  <c r="M23" i="15"/>
  <c r="M24" i="15"/>
  <c r="M27" i="15"/>
  <c r="L48" i="15"/>
  <c r="F40" i="15"/>
  <c r="F43" i="69"/>
  <c r="N7" i="65"/>
  <c r="M26" i="15"/>
  <c r="F42" i="15"/>
  <c r="M28" i="15"/>
  <c r="M29" i="15"/>
  <c r="F8" i="15"/>
  <c r="F36" i="15"/>
  <c r="F9" i="44"/>
  <c r="M31" i="44"/>
  <c r="F7" i="69"/>
  <c r="C17" i="15"/>
  <c r="F13" i="15"/>
  <c r="N3" i="65"/>
  <c r="M29" i="69"/>
  <c r="F67" i="15" l="1"/>
  <c r="F63" i="15"/>
  <c r="F50" i="15"/>
  <c r="C6" i="15"/>
  <c r="L56" i="15"/>
  <c r="J57" i="15"/>
  <c r="J55" i="15" s="1"/>
  <c r="J58" i="15" s="1"/>
  <c r="Q51" i="15" s="1"/>
  <c r="L58" i="15"/>
  <c r="Q74" i="15" s="1"/>
  <c r="I54" i="15"/>
  <c r="J53" i="15"/>
  <c r="F1" i="15" s="1"/>
  <c r="E62" i="40"/>
  <c r="E67" i="39"/>
  <c r="P49" i="59"/>
  <c r="E48" i="59"/>
  <c r="C34" i="59"/>
  <c r="D33" i="59"/>
  <c r="AZ25" i="3"/>
  <c r="BA5" i="3"/>
  <c r="E27" i="6" s="1"/>
  <c r="K26" i="6" s="1"/>
  <c r="M26" i="6" s="1"/>
  <c r="I26" i="6" s="1"/>
  <c r="S26" i="6" s="1"/>
  <c r="U25" i="37"/>
  <c r="AB25" i="37"/>
  <c r="C28" i="15"/>
  <c r="AG13" i="46"/>
  <c r="E14" i="6"/>
  <c r="E10" i="6"/>
  <c r="E13" i="6"/>
  <c r="H105" i="46"/>
  <c r="L19" i="6"/>
  <c r="L27" i="6" s="1"/>
  <c r="AB15" i="21"/>
  <c r="U17" i="21"/>
  <c r="U19" i="21"/>
  <c r="D69" i="59"/>
  <c r="C68" i="59"/>
  <c r="D68" i="59" s="1"/>
  <c r="Q49" i="59"/>
  <c r="F48" i="59"/>
  <c r="C48" i="59"/>
  <c r="D49" i="59"/>
  <c r="O49" i="59"/>
  <c r="AZ97" i="3"/>
  <c r="G5" i="3"/>
  <c r="B3" i="3" s="1"/>
  <c r="E543" i="3"/>
  <c r="AA25" i="37"/>
  <c r="S25" i="37"/>
  <c r="C31" i="43"/>
  <c r="C30" i="44"/>
  <c r="E11" i="6"/>
  <c r="E12" i="6"/>
  <c r="W19" i="21"/>
  <c r="AC19" i="21"/>
  <c r="S17" i="21"/>
  <c r="AA17" i="21"/>
  <c r="AC15" i="21"/>
  <c r="U37" i="21"/>
  <c r="AB37" i="21"/>
  <c r="W37" i="21"/>
  <c r="AC37" i="21"/>
  <c r="S37" i="21"/>
  <c r="AA37" i="21"/>
  <c r="M9" i="44"/>
  <c r="J8" i="44" s="1"/>
  <c r="C8" i="44"/>
  <c r="D107" i="46"/>
  <c r="D105" i="46"/>
  <c r="D104" i="46"/>
  <c r="C15" i="43"/>
  <c r="F70" i="69"/>
  <c r="F49" i="69"/>
  <c r="M7" i="69"/>
  <c r="M7" i="1"/>
  <c r="D106" i="46"/>
  <c r="D102" i="46"/>
  <c r="H104" i="46"/>
  <c r="H102" i="46"/>
  <c r="C61" i="15"/>
  <c r="F61" i="69"/>
  <c r="M43" i="9"/>
  <c r="D18" i="9"/>
  <c r="M44" i="9" s="1"/>
  <c r="F11" i="69"/>
  <c r="M11" i="69"/>
  <c r="J10" i="69" s="1"/>
  <c r="AI13" i="46"/>
  <c r="K25" i="6"/>
  <c r="M25" i="6" s="1"/>
  <c r="I25" i="6" s="1"/>
  <c r="S25" i="6" s="1"/>
  <c r="K22" i="6"/>
  <c r="M22" i="6" s="1"/>
  <c r="I22" i="6" s="1"/>
  <c r="S22" i="6" s="1"/>
  <c r="K24" i="6"/>
  <c r="M24" i="6" s="1"/>
  <c r="I24" i="6" s="1"/>
  <c r="S24" i="6" s="1"/>
  <c r="K23" i="6"/>
  <c r="M23" i="6" s="1"/>
  <c r="I23" i="6" s="1"/>
  <c r="S23" i="6" s="1"/>
  <c r="K21" i="6"/>
  <c r="K19" i="6"/>
  <c r="S6" i="1" s="1"/>
  <c r="K20" i="6"/>
  <c r="D22" i="46"/>
  <c r="E30" i="6"/>
  <c r="E31" i="6" s="1"/>
  <c r="AA13" i="46"/>
  <c r="J7" i="21"/>
  <c r="F7" i="21"/>
  <c r="H70" i="39"/>
  <c r="G72" i="39"/>
  <c r="E65" i="40"/>
  <c r="D67" i="40"/>
  <c r="AB7" i="21"/>
  <c r="U7" i="21"/>
  <c r="F1" i="44"/>
  <c r="Q54" i="44"/>
  <c r="U10" i="59"/>
  <c r="E9" i="59"/>
  <c r="E8" i="59" s="1"/>
  <c r="AB9" i="33"/>
  <c r="U9" i="33"/>
  <c r="S7" i="37"/>
  <c r="AA7" i="37"/>
  <c r="R42" i="37" s="1"/>
  <c r="G16" i="1"/>
  <c r="AP16" i="1"/>
  <c r="F22" i="11" s="1"/>
  <c r="C104" i="46"/>
  <c r="C107" i="46"/>
  <c r="C102" i="46"/>
  <c r="C106" i="46"/>
  <c r="C103" i="46"/>
  <c r="C105" i="46"/>
  <c r="C109" i="46"/>
  <c r="J107" i="46"/>
  <c r="J102" i="46"/>
  <c r="J104" i="46"/>
  <c r="J105" i="46"/>
  <c r="J109" i="46"/>
  <c r="J103" i="46"/>
  <c r="J106" i="46"/>
  <c r="F9" i="59"/>
  <c r="F8" i="59" s="1"/>
  <c r="V10" i="59"/>
  <c r="D10" i="59"/>
  <c r="T10" i="59"/>
  <c r="C9" i="59"/>
  <c r="D16" i="59"/>
  <c r="C17" i="59"/>
  <c r="M12" i="1"/>
  <c r="Q16" i="1"/>
  <c r="H16" i="1"/>
  <c r="K16" i="1"/>
  <c r="AZ5" i="3"/>
  <c r="AB24" i="36"/>
  <c r="U24" i="36"/>
  <c r="AA9" i="36"/>
  <c r="S9" i="36"/>
  <c r="AA9" i="33"/>
  <c r="S9" i="33"/>
  <c r="G59" i="34"/>
  <c r="U7" i="37"/>
  <c r="AB7" i="37"/>
  <c r="T42" i="37" s="1"/>
  <c r="G42" i="37" s="1"/>
  <c r="G102" i="46"/>
  <c r="G103" i="46"/>
  <c r="G106" i="46"/>
  <c r="G104" i="46"/>
  <c r="G107" i="46"/>
  <c r="G109" i="46"/>
  <c r="G105" i="46"/>
  <c r="I116" i="46"/>
  <c r="J116" i="46" s="1"/>
  <c r="K116" i="46" s="1"/>
  <c r="L116" i="46" s="1"/>
  <c r="M116" i="46" s="1"/>
  <c r="D118" i="46"/>
  <c r="E118" i="46" s="1"/>
  <c r="F118"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5" i="46"/>
  <c r="J115" i="46" s="1"/>
  <c r="K115" i="46" s="1"/>
  <c r="L115" i="46" s="1"/>
  <c r="M115"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7" i="46"/>
  <c r="K103" i="46"/>
  <c r="K109" i="46"/>
  <c r="K104" i="46"/>
  <c r="K102" i="46"/>
  <c r="K105" i="46"/>
  <c r="K106" i="46"/>
  <c r="F106" i="46"/>
  <c r="F103" i="46"/>
  <c r="F105" i="46"/>
  <c r="F102" i="46"/>
  <c r="F109" i="46"/>
  <c r="F104" i="46"/>
  <c r="F107" i="46"/>
  <c r="F48" i="35"/>
  <c r="K34" i="9"/>
  <c r="J7" i="37"/>
  <c r="Q63" i="44"/>
  <c r="Q76" i="44"/>
  <c r="Q75" i="15"/>
  <c r="Q62" i="15"/>
  <c r="C48" i="15"/>
  <c r="O13" i="1"/>
  <c r="P13" i="1" s="1"/>
  <c r="AB9" i="36"/>
  <c r="U9" i="36"/>
  <c r="N105" i="46"/>
  <c r="N102" i="46"/>
  <c r="N107" i="46"/>
  <c r="N103" i="46"/>
  <c r="N106" i="46"/>
  <c r="N109" i="46"/>
  <c r="N104" i="46"/>
  <c r="H46" i="36"/>
  <c r="F11" i="15"/>
  <c r="F13" i="44"/>
  <c r="C12" i="44" s="1"/>
  <c r="M11" i="15"/>
  <c r="J10" i="15" s="1"/>
  <c r="J5" i="15" s="1"/>
  <c r="M13" i="44"/>
  <c r="J12" i="44" s="1"/>
  <c r="Q75" i="44"/>
  <c r="Q62" i="44"/>
  <c r="Q61" i="15"/>
  <c r="AE8" i="1"/>
  <c r="J4" i="65"/>
  <c r="C16" i="15"/>
  <c r="J36" i="69"/>
  <c r="J15" i="69"/>
  <c r="I5" i="65"/>
  <c r="I4" i="65"/>
  <c r="M23" i="69"/>
  <c r="F42" i="69"/>
  <c r="F37" i="69"/>
  <c r="M28" i="69"/>
  <c r="M26" i="69"/>
  <c r="M27" i="69"/>
  <c r="C18" i="44"/>
  <c r="F41" i="69"/>
  <c r="J6" i="65"/>
  <c r="I3" i="65"/>
  <c r="J7" i="65"/>
  <c r="M9" i="69"/>
  <c r="F36" i="69"/>
  <c r="M24" i="69"/>
  <c r="F8" i="69"/>
  <c r="L48" i="69"/>
  <c r="M6" i="69"/>
  <c r="I7" i="65"/>
  <c r="J3" i="65"/>
  <c r="F16" i="69"/>
  <c r="M8" i="69"/>
  <c r="F38" i="69"/>
  <c r="F6" i="69"/>
  <c r="F9" i="69"/>
  <c r="F40" i="69"/>
  <c r="F41" i="15"/>
  <c r="J5" i="65"/>
  <c r="I6" i="65"/>
  <c r="F26" i="69"/>
  <c r="F13" i="69"/>
  <c r="L47" i="69"/>
  <c r="M22" i="69"/>
  <c r="Q53" i="15" l="1"/>
  <c r="C7" i="44"/>
  <c r="C40" i="44" s="1"/>
  <c r="L60" i="69"/>
  <c r="L56" i="69"/>
  <c r="J57" i="69"/>
  <c r="J55" i="69" s="1"/>
  <c r="J58" i="69" s="1"/>
  <c r="Q51" i="69" s="1"/>
  <c r="L57" i="69"/>
  <c r="I54" i="69"/>
  <c r="J53" i="69"/>
  <c r="F50" i="69"/>
  <c r="C48" i="69" s="1"/>
  <c r="L58" i="69"/>
  <c r="L59" i="69"/>
  <c r="F63" i="69"/>
  <c r="Q72" i="69"/>
  <c r="C27" i="69"/>
  <c r="F67" i="69"/>
  <c r="C6" i="69"/>
  <c r="F65" i="69"/>
  <c r="F64" i="69"/>
  <c r="J1" i="65"/>
  <c r="E20" i="46"/>
  <c r="I1" i="65"/>
  <c r="J6" i="69"/>
  <c r="J5" i="69" s="1"/>
  <c r="J26" i="69" s="1"/>
  <c r="J29" i="69" s="1"/>
  <c r="E58" i="40"/>
  <c r="E63" i="39"/>
  <c r="C33" i="21"/>
  <c r="E270" i="3"/>
  <c r="E464" i="3"/>
  <c r="E414" i="3"/>
  <c r="E44" i="3"/>
  <c r="E202" i="3"/>
  <c r="E190" i="3"/>
  <c r="E39" i="3"/>
  <c r="E172" i="3"/>
  <c r="E255" i="3"/>
  <c r="E417" i="3"/>
  <c r="E145" i="3"/>
  <c r="E279" i="3"/>
  <c r="E517" i="3"/>
  <c r="E453" i="3"/>
  <c r="AQ6" i="3"/>
  <c r="E235" i="3"/>
  <c r="E433" i="3"/>
  <c r="E529" i="3"/>
  <c r="E300" i="3"/>
  <c r="E499" i="3"/>
  <c r="E558" i="3"/>
  <c r="E173" i="3"/>
  <c r="E436" i="3"/>
  <c r="E432" i="3"/>
  <c r="E106" i="3"/>
  <c r="E169" i="3"/>
  <c r="E364" i="3"/>
  <c r="E342" i="3"/>
  <c r="E368" i="3"/>
  <c r="E572" i="3"/>
  <c r="E516" i="3"/>
  <c r="E244" i="3"/>
  <c r="E137" i="3"/>
  <c r="E301" i="3"/>
  <c r="E484" i="3"/>
  <c r="E481" i="3"/>
  <c r="E86" i="3"/>
  <c r="AO6" i="3"/>
  <c r="E411" i="3"/>
  <c r="E395" i="3"/>
  <c r="E443" i="3"/>
  <c r="E156" i="3"/>
  <c r="E381" i="3"/>
  <c r="E194" i="3"/>
  <c r="AM6" i="3"/>
  <c r="E427" i="3"/>
  <c r="E193" i="3"/>
  <c r="E337" i="3"/>
  <c r="E278" i="3"/>
  <c r="E390" i="3"/>
  <c r="E158" i="3"/>
  <c r="E94" i="3"/>
  <c r="E296" i="3"/>
  <c r="E534" i="3"/>
  <c r="AA6" i="3"/>
  <c r="AD6" i="3"/>
  <c r="E299" i="3"/>
  <c r="E215" i="3"/>
  <c r="E327" i="3"/>
  <c r="I6" i="3"/>
  <c r="E103" i="3"/>
  <c r="E548" i="3"/>
  <c r="E200" i="3"/>
  <c r="Z6" i="3"/>
  <c r="E62" i="3"/>
  <c r="E454" i="3"/>
  <c r="E389" i="3"/>
  <c r="E230" i="3"/>
  <c r="AK6" i="3"/>
  <c r="E223" i="3"/>
  <c r="E441" i="3"/>
  <c r="E399" i="3"/>
  <c r="E415" i="3"/>
  <c r="E478" i="3"/>
  <c r="E317" i="3"/>
  <c r="E28" i="3"/>
  <c r="E357" i="3"/>
  <c r="E141" i="3"/>
  <c r="E179" i="3"/>
  <c r="AS6" i="3"/>
  <c r="E34" i="3"/>
  <c r="E407" i="3"/>
  <c r="E550" i="3"/>
  <c r="E232" i="3"/>
  <c r="E533" i="3"/>
  <c r="E37" i="3"/>
  <c r="E507" i="3"/>
  <c r="E303" i="3"/>
  <c r="E275" i="3"/>
  <c r="AT6" i="3"/>
  <c r="L6" i="3"/>
  <c r="E67" i="3"/>
  <c r="E116" i="3"/>
  <c r="E214" i="3"/>
  <c r="E372" i="3"/>
  <c r="E486" i="3"/>
  <c r="E465" i="3"/>
  <c r="E154" i="3"/>
  <c r="E264" i="3"/>
  <c r="E243" i="3"/>
  <c r="E369" i="3"/>
  <c r="E309" i="3"/>
  <c r="V6" i="3"/>
  <c r="E105" i="3"/>
  <c r="E74" i="3"/>
  <c r="AG6" i="3"/>
  <c r="E121" i="3"/>
  <c r="E505" i="3"/>
  <c r="E224" i="3"/>
  <c r="E302" i="3"/>
  <c r="E66" i="3"/>
  <c r="E386" i="3"/>
  <c r="E76" i="3"/>
  <c r="E287" i="3"/>
  <c r="E24" i="3"/>
  <c r="E188" i="3"/>
  <c r="E271" i="3"/>
  <c r="E306" i="3"/>
  <c r="E508" i="3"/>
  <c r="E180" i="3"/>
  <c r="E493" i="3"/>
  <c r="E551" i="3"/>
  <c r="E108" i="3"/>
  <c r="E246" i="3"/>
  <c r="E81" i="3"/>
  <c r="E16"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17" i="3"/>
  <c r="E377" i="3"/>
  <c r="E18" i="3"/>
  <c r="E358" i="3"/>
  <c r="E509" i="3"/>
  <c r="E20" i="3"/>
  <c r="E476" i="3"/>
  <c r="E283" i="3"/>
  <c r="E23" i="3"/>
  <c r="AN6" i="3"/>
  <c r="E41" i="3"/>
  <c r="E59" i="3"/>
  <c r="E408" i="3"/>
  <c r="E92" i="3"/>
  <c r="E157" i="3"/>
  <c r="E161" i="3"/>
  <c r="E450" i="3"/>
  <c r="E492" i="3"/>
  <c r="E83" i="3"/>
  <c r="E186" i="3"/>
  <c r="E124" i="3"/>
  <c r="E263" i="3"/>
  <c r="E424" i="3"/>
  <c r="E430" i="3"/>
  <c r="E82" i="3"/>
  <c r="E164" i="3"/>
  <c r="E77" i="3"/>
  <c r="E99" i="3"/>
  <c r="E434" i="3"/>
  <c r="E552" i="3"/>
  <c r="E57" i="3"/>
  <c r="E274" i="3"/>
  <c r="E463" i="3"/>
  <c r="E547" i="3"/>
  <c r="E426" i="3"/>
  <c r="E447" i="3"/>
  <c r="E60" i="3"/>
  <c r="E75" i="3"/>
  <c r="Q6" i="3"/>
  <c r="E178" i="3"/>
  <c r="E119" i="3"/>
  <c r="J6" i="3"/>
  <c r="E97" i="3"/>
  <c r="E438" i="3"/>
  <c r="AE6" i="3"/>
  <c r="E455" i="3"/>
  <c r="W6" i="3"/>
  <c r="E560" i="3"/>
  <c r="E420" i="3"/>
  <c r="E233" i="3"/>
  <c r="E203" i="3"/>
  <c r="E402" i="3"/>
  <c r="E107" i="3"/>
  <c r="E288" i="3"/>
  <c r="E88" i="3"/>
  <c r="E480" i="3"/>
  <c r="E347" i="3"/>
  <c r="E400" i="3"/>
  <c r="E58" i="3"/>
  <c r="E285" i="3"/>
  <c r="E61" i="3"/>
  <c r="E229" i="3"/>
  <c r="E120" i="3"/>
  <c r="E191" i="3"/>
  <c r="E355" i="3"/>
  <c r="E530" i="3"/>
  <c r="E538" i="3"/>
  <c r="E403" i="3"/>
  <c r="E217" i="3"/>
  <c r="E177" i="3"/>
  <c r="E307" i="3"/>
  <c r="E90" i="3"/>
  <c r="E153" i="3"/>
  <c r="E339" i="3"/>
  <c r="E14" i="3"/>
  <c r="E118" i="3"/>
  <c r="E378" i="3"/>
  <c r="E163" i="3"/>
  <c r="E351" i="3"/>
  <c r="AL6" i="3"/>
  <c r="E522" i="3"/>
  <c r="E510" i="3"/>
  <c r="E504" i="3"/>
  <c r="E227" i="3"/>
  <c r="E488" i="3"/>
  <c r="E71" i="3"/>
  <c r="E240" i="3"/>
  <c r="E382" i="3"/>
  <c r="E326" i="3"/>
  <c r="E356" i="3"/>
  <c r="E413"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297" i="3"/>
  <c r="M6" i="3"/>
  <c r="E475" i="3"/>
  <c r="E241" i="3"/>
  <c r="E421" i="3"/>
  <c r="E69" i="3"/>
  <c r="E206" i="3"/>
  <c r="E446" i="3"/>
  <c r="E132" i="3"/>
  <c r="E152" i="3"/>
  <c r="E333" i="3"/>
  <c r="E437" i="3"/>
  <c r="E91" i="3"/>
  <c r="E46" i="3"/>
  <c r="E115" i="3"/>
  <c r="E221" i="3"/>
  <c r="E359" i="3"/>
  <c r="E457" i="3"/>
  <c r="E195" i="3"/>
  <c r="E31" i="3"/>
  <c r="E391" i="3"/>
  <c r="X6" i="3"/>
  <c r="E321" i="3"/>
  <c r="E376" i="3"/>
  <c r="E187" i="3"/>
  <c r="E253" i="3"/>
  <c r="E225" i="3"/>
  <c r="E537" i="3"/>
  <c r="E199" i="3"/>
  <c r="E54" i="3"/>
  <c r="E423" i="3"/>
  <c r="E452" i="3"/>
  <c r="E435" i="3"/>
  <c r="E343" i="3"/>
  <c r="E142" i="3"/>
  <c r="E410" i="3"/>
  <c r="E468" i="3"/>
  <c r="E109" i="3"/>
  <c r="E185" i="3"/>
  <c r="E148" i="3"/>
  <c r="E27" i="3"/>
  <c r="E412" i="3"/>
  <c r="E469" i="3"/>
  <c r="E363" i="3"/>
  <c r="E79" i="3"/>
  <c r="E401" i="3"/>
  <c r="E272" i="3"/>
  <c r="E102" i="3"/>
  <c r="E25" i="3"/>
  <c r="E258" i="3"/>
  <c r="E479" i="3"/>
  <c r="E43" i="3"/>
  <c r="E276" i="3"/>
  <c r="E370" i="3"/>
  <c r="E526" i="3"/>
  <c r="E477" i="3"/>
  <c r="E540" i="3"/>
  <c r="E134" i="3"/>
  <c r="AI6" i="3"/>
  <c r="E239" i="3"/>
  <c r="E234" i="3"/>
  <c r="E128"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87" i="3"/>
  <c r="E294" i="3"/>
  <c r="R6" i="3"/>
  <c r="E21" i="3"/>
  <c r="E125" i="3"/>
  <c r="E64" i="3"/>
  <c r="AH6" i="3"/>
  <c r="E140" i="3"/>
  <c r="P6" i="3"/>
  <c r="E84" i="3"/>
  <c r="AP6" i="3"/>
  <c r="E431" i="3"/>
  <c r="E70" i="3"/>
  <c r="E38" i="3"/>
  <c r="E151" i="3"/>
  <c r="E313" i="3"/>
  <c r="E53" i="3"/>
  <c r="E405" i="3"/>
  <c r="E289" i="3"/>
  <c r="E113" i="3"/>
  <c r="E425" i="3"/>
  <c r="E257" i="3"/>
  <c r="E166" i="3"/>
  <c r="O6" i="3"/>
  <c r="E204" i="3"/>
  <c r="E207" i="3"/>
  <c r="E449" i="3"/>
  <c r="E196" i="3"/>
  <c r="E259" i="3"/>
  <c r="E308" i="3"/>
  <c r="E416" i="3"/>
  <c r="E96" i="3"/>
  <c r="E160" i="3"/>
  <c r="E242" i="3"/>
  <c r="E133" i="3"/>
  <c r="E87" i="3"/>
  <c r="E458" i="3"/>
  <c r="E29" i="3"/>
  <c r="E176" i="3"/>
  <c r="E256" i="3"/>
  <c r="E554" i="3"/>
  <c r="E491" i="3"/>
  <c r="E525" i="3"/>
  <c r="E319" i="3"/>
  <c r="K6" i="3"/>
  <c r="H6" i="3" s="1"/>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29" i="3"/>
  <c r="E467" i="3"/>
  <c r="E367" i="3"/>
  <c r="E205" i="3"/>
  <c r="E220" i="3"/>
  <c r="E250" i="3"/>
  <c r="E262" i="3"/>
  <c r="E293" i="3"/>
  <c r="E168" i="3"/>
  <c r="E49" i="3"/>
  <c r="O48" i="59"/>
  <c r="D48" i="59"/>
  <c r="O47" i="59"/>
  <c r="E60" i="40"/>
  <c r="E65" i="39"/>
  <c r="E66" i="39"/>
  <c r="E61" i="40"/>
  <c r="E535" i="3"/>
  <c r="E500" i="3"/>
  <c r="E406" i="3"/>
  <c r="E444" i="3"/>
  <c r="E311" i="3"/>
  <c r="E388" i="3"/>
  <c r="E226" i="3"/>
  <c r="E261" i="3"/>
  <c r="E277" i="3"/>
  <c r="E292" i="3"/>
  <c r="E127" i="3"/>
  <c r="E162" i="3"/>
  <c r="E197" i="3"/>
  <c r="E48" i="3"/>
  <c r="E80" i="3"/>
  <c r="E104" i="3"/>
  <c r="P47" i="59"/>
  <c r="P48" i="59"/>
  <c r="E64" i="39"/>
  <c r="E59" i="40"/>
  <c r="E564" i="3"/>
  <c r="E511" i="3"/>
  <c r="E418" i="3"/>
  <c r="E448" i="3"/>
  <c r="E472" i="3"/>
  <c r="E379" i="3"/>
  <c r="E210" i="3"/>
  <c r="E222" i="3"/>
  <c r="E260" i="3"/>
  <c r="E265" i="3"/>
  <c r="E146" i="3"/>
  <c r="E33" i="3"/>
  <c r="Q48" i="59"/>
  <c r="Q47" i="59"/>
  <c r="E16" i="6"/>
  <c r="E555" i="3"/>
  <c r="E520" i="3"/>
  <c r="E393" i="3"/>
  <c r="E419" i="3"/>
  <c r="E471" i="3"/>
  <c r="E383" i="3"/>
  <c r="E209" i="3"/>
  <c r="E238" i="3"/>
  <c r="E266" i="3"/>
  <c r="E280" i="3"/>
  <c r="E123" i="3"/>
  <c r="E143" i="3"/>
  <c r="E189" i="3"/>
  <c r="E32" i="3"/>
  <c r="E78" i="3"/>
  <c r="E101" i="3"/>
  <c r="E111" i="3"/>
  <c r="D34" i="59"/>
  <c r="T34" i="59"/>
  <c r="J7" i="44"/>
  <c r="J26" i="44" s="1"/>
  <c r="O7" i="1"/>
  <c r="P7" i="1" s="1"/>
  <c r="F68" i="69"/>
  <c r="C10" i="69"/>
  <c r="C5" i="69" s="1"/>
  <c r="C52" i="69"/>
  <c r="F68" i="15"/>
  <c r="M20" i="6"/>
  <c r="I20" i="6" s="1"/>
  <c r="S20" i="6" s="1"/>
  <c r="S7" i="1"/>
  <c r="M21" i="6"/>
  <c r="I21" i="6" s="1"/>
  <c r="S21" i="6" s="1"/>
  <c r="S8" i="1"/>
  <c r="K27" i="6"/>
  <c r="M19" i="6"/>
  <c r="S6" i="46"/>
  <c r="S2" i="46"/>
  <c r="S7" i="46"/>
  <c r="S5" i="46"/>
  <c r="S3" i="46"/>
  <c r="S4" i="46"/>
  <c r="S7" i="21"/>
  <c r="AA7" i="21"/>
  <c r="E67" i="40"/>
  <c r="F65" i="40"/>
  <c r="I70" i="39"/>
  <c r="H72" i="39"/>
  <c r="W7" i="21"/>
  <c r="AC7" i="21"/>
  <c r="C34" i="44"/>
  <c r="C10" i="15"/>
  <c r="C5" i="15" s="1"/>
  <c r="C52" i="15"/>
  <c r="C47" i="15" s="1"/>
  <c r="I46" i="36"/>
  <c r="W7" i="37"/>
  <c r="AC7" i="37"/>
  <c r="V42" i="37" s="1"/>
  <c r="I42" i="37" s="1"/>
  <c r="G47" i="37" s="1"/>
  <c r="H47" i="37" s="1"/>
  <c r="G48" i="35"/>
  <c r="G46" i="37"/>
  <c r="H46" i="37" s="1"/>
  <c r="E3" i="6"/>
  <c r="AY6" i="3"/>
  <c r="O12" i="1"/>
  <c r="M16" i="1"/>
  <c r="H12" i="39"/>
  <c r="F12" i="39"/>
  <c r="J12" i="40"/>
  <c r="H12" i="40"/>
  <c r="F12" i="40"/>
  <c r="J12" i="39"/>
  <c r="J18" i="15"/>
  <c r="J24" i="15"/>
  <c r="J26" i="15"/>
  <c r="J29" i="15" s="1"/>
  <c r="C115" i="46"/>
  <c r="D113" i="46" s="1"/>
  <c r="H59" i="34"/>
  <c r="I59" i="34" s="1"/>
  <c r="J59" i="34" s="1"/>
  <c r="K59" i="34" s="1"/>
  <c r="L59" i="34" s="1"/>
  <c r="M59" i="34" s="1"/>
  <c r="N59" i="34" s="1"/>
  <c r="O59" i="34" s="1"/>
  <c r="H7" i="34"/>
  <c r="F33" i="12"/>
  <c r="C34" i="12" s="1"/>
  <c r="D33" i="12" s="1"/>
  <c r="F24" i="43"/>
  <c r="C26" i="43" s="1"/>
  <c r="D24" i="43" s="1"/>
  <c r="F18" i="11"/>
  <c r="C18" i="11" s="1"/>
  <c r="C18" i="59"/>
  <c r="D17" i="59"/>
  <c r="C8" i="59"/>
  <c r="D9" i="59"/>
  <c r="E42" i="37"/>
  <c r="R43" i="37"/>
  <c r="C17" i="69"/>
  <c r="E3" i="65"/>
  <c r="L52" i="44"/>
  <c r="C16" i="69"/>
  <c r="C19" i="44"/>
  <c r="E2" i="65"/>
  <c r="C47" i="69" l="1"/>
  <c r="C65" i="69" s="1"/>
  <c r="B40" i="1"/>
  <c r="F17" i="11"/>
  <c r="C17" i="11" s="1"/>
  <c r="C19" i="11" s="1"/>
  <c r="C20" i="11" s="1"/>
  <c r="C21" i="11" s="1"/>
  <c r="C22" i="11" s="1"/>
  <c r="C23" i="11" s="1"/>
  <c r="B2" i="11" s="1"/>
  <c r="AC6" i="3"/>
  <c r="E6" i="3" s="1"/>
  <c r="J33" i="21"/>
  <c r="F33" i="21"/>
  <c r="H33" i="21"/>
  <c r="Q74" i="69"/>
  <c r="Q61" i="69"/>
  <c r="F1" i="69"/>
  <c r="Q53" i="69"/>
  <c r="J7" i="34"/>
  <c r="O17" i="46"/>
  <c r="P17" i="46"/>
  <c r="M17" i="46"/>
  <c r="N17" i="46"/>
  <c r="Q75" i="69"/>
  <c r="Q62" i="69"/>
  <c r="Q67" i="69"/>
  <c r="Q58" i="69"/>
  <c r="J24" i="69"/>
  <c r="J18" i="69"/>
  <c r="J28" i="44"/>
  <c r="J20" i="44"/>
  <c r="O16" i="1"/>
  <c r="S16" i="1"/>
  <c r="T6" i="1" s="1"/>
  <c r="C38" i="69"/>
  <c r="C32" i="69"/>
  <c r="C59" i="69"/>
  <c r="M27" i="6"/>
  <c r="I19" i="6"/>
  <c r="F67" i="40"/>
  <c r="G65" i="40"/>
  <c r="I72" i="39"/>
  <c r="J70" i="39"/>
  <c r="Q69" i="44"/>
  <c r="L58" i="44"/>
  <c r="L61" i="44" s="1"/>
  <c r="L47" i="44" s="1"/>
  <c r="C43" i="37"/>
  <c r="B3" i="37" s="1"/>
  <c r="B2" i="37" s="1"/>
  <c r="C42" i="37"/>
  <c r="W7" i="34"/>
  <c r="AC7" i="34"/>
  <c r="V49" i="34" s="1"/>
  <c r="I49" i="34" s="1"/>
  <c r="AA12" i="40"/>
  <c r="S12" i="40"/>
  <c r="AC12" i="40"/>
  <c r="W12" i="40"/>
  <c r="AB12" i="39"/>
  <c r="U12" i="39"/>
  <c r="P12" i="1"/>
  <c r="P16" i="1" s="1"/>
  <c r="C13" i="12"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H48" i="35"/>
  <c r="E46" i="37"/>
  <c r="F46" i="37" s="1"/>
  <c r="E47" i="37"/>
  <c r="F47" i="37" s="1"/>
  <c r="D8" i="59"/>
  <c r="T18" i="59"/>
  <c r="D18" i="59"/>
  <c r="M20" i="46" s="1"/>
  <c r="C19" i="46" s="1"/>
  <c r="AB7" i="34"/>
  <c r="T49" i="34" s="1"/>
  <c r="G49" i="34" s="1"/>
  <c r="U7" i="34"/>
  <c r="AC12" i="39"/>
  <c r="W12" i="39"/>
  <c r="AB12" i="40"/>
  <c r="U12" i="40"/>
  <c r="AA12" i="39"/>
  <c r="S12" i="39"/>
  <c r="C13" i="43"/>
  <c r="N16" i="1"/>
  <c r="C29" i="43" s="1"/>
  <c r="L16" i="1"/>
  <c r="D16" i="43"/>
  <c r="C16" i="43" s="1"/>
  <c r="D16" i="12"/>
  <c r="E6" i="6"/>
  <c r="L38" i="9"/>
  <c r="B14" i="66" s="1"/>
  <c r="D45" i="9"/>
  <c r="D46" i="9"/>
  <c r="C21" i="4"/>
  <c r="O5" i="54" s="1"/>
  <c r="B45" i="63" s="1"/>
  <c r="D10" i="11"/>
  <c r="I46" i="37"/>
  <c r="J46" i="37" s="1"/>
  <c r="I47" i="37"/>
  <c r="J47" i="37" s="1"/>
  <c r="C59" i="15"/>
  <c r="C65" i="15"/>
  <c r="J46" i="36"/>
  <c r="C38" i="15"/>
  <c r="C32" i="15"/>
  <c r="F7" i="34"/>
  <c r="AE7" i="1"/>
  <c r="C14" i="15"/>
  <c r="AA33" i="21" l="1"/>
  <c r="R48" i="21" s="1"/>
  <c r="S33" i="21"/>
  <c r="U33" i="21"/>
  <c r="AB33" i="21"/>
  <c r="T48" i="21" s="1"/>
  <c r="G48" i="21" s="1"/>
  <c r="W33" i="21"/>
  <c r="AC33" i="21"/>
  <c r="V48" i="21" s="1"/>
  <c r="I48" i="21" s="1"/>
  <c r="I52" i="21" s="1"/>
  <c r="J52" i="21" s="1"/>
  <c r="F24" i="69"/>
  <c r="C24" i="69" s="1"/>
  <c r="F26" i="44"/>
  <c r="C26" i="44" s="1"/>
  <c r="F21" i="43"/>
  <c r="C23" i="43" s="1"/>
  <c r="D21" i="43" s="1"/>
  <c r="F24" i="15"/>
  <c r="C24" i="15" s="1"/>
  <c r="F26" i="12"/>
  <c r="C27" i="12" s="1"/>
  <c r="D26" i="12" s="1"/>
  <c r="C32" i="12" s="1"/>
  <c r="D30" i="12" s="1"/>
  <c r="T7" i="1"/>
  <c r="T12" i="1"/>
  <c r="T13" i="1"/>
  <c r="T10" i="1"/>
  <c r="T8" i="1"/>
  <c r="T9" i="1"/>
  <c r="T11" i="1"/>
  <c r="C18" i="15"/>
  <c r="C15" i="15"/>
  <c r="S19" i="6"/>
  <c r="S27" i="6" s="1"/>
  <c r="I27" i="6"/>
  <c r="K70" i="39"/>
  <c r="J72" i="39"/>
  <c r="H65" i="40"/>
  <c r="G67" i="40"/>
  <c r="C36" i="46"/>
  <c r="C34" i="46"/>
  <c r="C35" i="46"/>
  <c r="T8" i="46"/>
  <c r="V8" i="46" s="1"/>
  <c r="T12" i="46"/>
  <c r="V12" i="46" s="1"/>
  <c r="T16" i="46"/>
  <c r="V16" i="46" s="1"/>
  <c r="T9" i="46"/>
  <c r="V9" i="46" s="1"/>
  <c r="T13" i="46"/>
  <c r="V13" i="46" s="1"/>
  <c r="T3" i="46"/>
  <c r="V3" i="46" s="1"/>
  <c r="T4" i="46"/>
  <c r="V4" i="46" s="1"/>
  <c r="C33" i="46"/>
  <c r="T6" i="46"/>
  <c r="V6" i="46" s="1"/>
  <c r="T10" i="46"/>
  <c r="V10" i="46" s="1"/>
  <c r="T14" i="46"/>
  <c r="V14" i="46" s="1"/>
  <c r="T5" i="46"/>
  <c r="V5" i="46" s="1"/>
  <c r="T11" i="46"/>
  <c r="V11" i="46" s="1"/>
  <c r="T15" i="46"/>
  <c r="V15" i="46" s="1"/>
  <c r="C37" i="46"/>
  <c r="C29" i="46"/>
  <c r="C38" i="46"/>
  <c r="T2" i="46"/>
  <c r="V2" i="46" s="1"/>
  <c r="T7" i="46"/>
  <c r="V7" i="46" s="1"/>
  <c r="C39" i="46"/>
  <c r="E39" i="46" s="1"/>
  <c r="S7" i="34"/>
  <c r="AA7" i="34"/>
  <c r="R49" i="34" s="1"/>
  <c r="D22" i="12"/>
  <c r="C22" i="12" s="1"/>
  <c r="C20" i="12" s="1"/>
  <c r="D13" i="11"/>
  <c r="C13" i="11" s="1"/>
  <c r="G53" i="34"/>
  <c r="H53" i="34" s="1"/>
  <c r="G54" i="34"/>
  <c r="H54" i="34" s="1"/>
  <c r="E68" i="39"/>
  <c r="C22" i="4"/>
  <c r="D19" i="6"/>
  <c r="D21" i="6"/>
  <c r="D25" i="6"/>
  <c r="D10" i="6"/>
  <c r="D13" i="6"/>
  <c r="H21" i="6"/>
  <c r="H24" i="6"/>
  <c r="D6" i="6"/>
  <c r="D23" i="6"/>
  <c r="D14" i="6"/>
  <c r="D28" i="6"/>
  <c r="D20" i="6"/>
  <c r="D8" i="6"/>
  <c r="H23" i="6"/>
  <c r="F45" i="9"/>
  <c r="F46" i="9"/>
  <c r="E63" i="40"/>
  <c r="H19" i="6"/>
  <c r="K38" i="9"/>
  <c r="C14" i="66" s="1"/>
  <c r="D24" i="6"/>
  <c r="D26" i="6"/>
  <c r="D22" i="6"/>
  <c r="D11" i="6"/>
  <c r="D12" i="6"/>
  <c r="H20" i="6"/>
  <c r="H25" i="6"/>
  <c r="D9" i="6"/>
  <c r="D5" i="6"/>
  <c r="D29" i="6"/>
  <c r="H22" i="6"/>
  <c r="D15" i="6"/>
  <c r="H26" i="6"/>
  <c r="E45" i="9"/>
  <c r="E46" i="9"/>
  <c r="I53" i="34"/>
  <c r="J53" i="34" s="1"/>
  <c r="Q68" i="44"/>
  <c r="Q59" i="44"/>
  <c r="K46" i="36"/>
  <c r="L46" i="36" s="1"/>
  <c r="M46" i="36" s="1"/>
  <c r="N46" i="36" s="1"/>
  <c r="O46" i="36" s="1"/>
  <c r="J7" i="36" s="1"/>
  <c r="D19" i="12"/>
  <c r="C19" i="12" s="1"/>
  <c r="C16" i="12"/>
  <c r="C17" i="43"/>
  <c r="C14" i="43"/>
  <c r="I48" i="35"/>
  <c r="J48" i="35" s="1"/>
  <c r="K48" i="35" s="1"/>
  <c r="L48" i="35" s="1"/>
  <c r="M48" i="35" s="1"/>
  <c r="N48" i="35" s="1"/>
  <c r="O48" i="35" s="1"/>
  <c r="H7" i="35"/>
  <c r="C17" i="12"/>
  <c r="C14" i="12"/>
  <c r="B5" i="11"/>
  <c r="B3" i="11"/>
  <c r="B4" i="11"/>
  <c r="C14" i="69"/>
  <c r="F46" i="44"/>
  <c r="C16" i="44"/>
  <c r="J31" i="44" l="1"/>
  <c r="B30" i="9"/>
  <c r="D30" i="9"/>
  <c r="G52" i="21"/>
  <c r="H52" i="21" s="1"/>
  <c r="G53" i="21"/>
  <c r="H53" i="21" s="1"/>
  <c r="E48" i="21"/>
  <c r="R49" i="21"/>
  <c r="R24" i="6"/>
  <c r="C20" i="44"/>
  <c r="C17" i="44"/>
  <c r="T16" i="1"/>
  <c r="C15" i="69"/>
  <c r="C18" i="69"/>
  <c r="C19" i="15"/>
  <c r="C20" i="15" s="1"/>
  <c r="C26" i="15" s="1"/>
  <c r="H27" i="6"/>
  <c r="R26" i="6"/>
  <c r="D16" i="6"/>
  <c r="D30" i="6"/>
  <c r="J7" i="35"/>
  <c r="W7" i="35" s="1"/>
  <c r="C18" i="43"/>
  <c r="C19" i="43" s="1"/>
  <c r="C25" i="43" s="1"/>
  <c r="C24" i="43" s="1"/>
  <c r="H67" i="40"/>
  <c r="I65" i="40"/>
  <c r="L70" i="39"/>
  <c r="K72" i="39"/>
  <c r="C18" i="12"/>
  <c r="C23" i="12" s="1"/>
  <c r="W7" i="36"/>
  <c r="AC7" i="36"/>
  <c r="V36" i="36" s="1"/>
  <c r="I36" i="36" s="1"/>
  <c r="H7" i="36"/>
  <c r="R22" i="6"/>
  <c r="R23" i="6"/>
  <c r="R25" i="6"/>
  <c r="R19" i="6"/>
  <c r="D27" i="6"/>
  <c r="G38" i="46"/>
  <c r="I38" i="46" s="1"/>
  <c r="E38" i="46"/>
  <c r="G37" i="46"/>
  <c r="I37" i="46" s="1"/>
  <c r="E37" i="46"/>
  <c r="E34" i="46"/>
  <c r="G34" i="46"/>
  <c r="I34" i="46" s="1"/>
  <c r="U7" i="35"/>
  <c r="AB7" i="35"/>
  <c r="T38" i="35" s="1"/>
  <c r="G38" i="35" s="1"/>
  <c r="R20" i="6"/>
  <c r="R7" i="1" s="1"/>
  <c r="R21" i="6"/>
  <c r="A6" i="64"/>
  <c r="A6" i="51"/>
  <c r="B7" i="63" s="1"/>
  <c r="A20" i="64"/>
  <c r="A20" i="51"/>
  <c r="B15" i="63" s="1"/>
  <c r="N5" i="54"/>
  <c r="B43" i="63" s="1"/>
  <c r="F7" i="36"/>
  <c r="R50" i="34"/>
  <c r="E49" i="34"/>
  <c r="F7" i="35"/>
  <c r="E29" i="46"/>
  <c r="C30" i="46"/>
  <c r="E30" i="46" s="1"/>
  <c r="G33" i="46"/>
  <c r="I33" i="46" s="1"/>
  <c r="E33" i="46"/>
  <c r="E35" i="46"/>
  <c r="G35" i="46"/>
  <c r="I35" i="46" s="1"/>
  <c r="G36" i="46"/>
  <c r="I36" i="46" s="1"/>
  <c r="E36" i="46"/>
  <c r="M21" i="69"/>
  <c r="F35" i="69"/>
  <c r="F7" i="67"/>
  <c r="Q49" i="44" l="1"/>
  <c r="Q55" i="44" s="1"/>
  <c r="Q67" i="44"/>
  <c r="Q77" i="44" s="1"/>
  <c r="Q58" i="44"/>
  <c r="Q64" i="44" s="1"/>
  <c r="AC7" i="35"/>
  <c r="V38" i="35" s="1"/>
  <c r="I38" i="35" s="1"/>
  <c r="C48" i="21"/>
  <c r="C49" i="21"/>
  <c r="I53" i="21"/>
  <c r="J53" i="21" s="1"/>
  <c r="E53" i="21"/>
  <c r="F53" i="21" s="1"/>
  <c r="E52" i="21"/>
  <c r="F52" i="21" s="1"/>
  <c r="C24" i="9"/>
  <c r="C25" i="9"/>
  <c r="C19" i="69"/>
  <c r="C21" i="44"/>
  <c r="C22" i="44" s="1"/>
  <c r="C28" i="44" s="1"/>
  <c r="R8" i="1"/>
  <c r="J20" i="69"/>
  <c r="F62" i="69"/>
  <c r="C61" i="69" s="1"/>
  <c r="C34" i="69"/>
  <c r="C20" i="69"/>
  <c r="C26" i="69" s="1"/>
  <c r="C23" i="15"/>
  <c r="C29" i="15" s="1"/>
  <c r="R27" i="6"/>
  <c r="R6" i="1"/>
  <c r="D31" i="6"/>
  <c r="I6" i="6" s="1"/>
  <c r="C22" i="43"/>
  <c r="C21" i="43" s="1"/>
  <c r="C28" i="43" s="1"/>
  <c r="C30" i="43" s="1"/>
  <c r="C32" i="43" s="1"/>
  <c r="B2" i="43" s="1"/>
  <c r="B5" i="43" s="1"/>
  <c r="I67" i="40"/>
  <c r="J65" i="40"/>
  <c r="L72" i="39"/>
  <c r="M70" i="39"/>
  <c r="E4" i="67"/>
  <c r="C26" i="46"/>
  <c r="E54" i="34"/>
  <c r="F54" i="34" s="1"/>
  <c r="E53" i="34"/>
  <c r="F53" i="34" s="1"/>
  <c r="I54" i="34"/>
  <c r="J54" i="34" s="1"/>
  <c r="C27" i="46"/>
  <c r="AA7" i="35"/>
  <c r="R38" i="35" s="1"/>
  <c r="S7" i="35"/>
  <c r="C50" i="34"/>
  <c r="B3" i="34" s="1"/>
  <c r="B2" i="34" s="1"/>
  <c r="C49" i="34"/>
  <c r="I5" i="6"/>
  <c r="I42" i="35"/>
  <c r="J42" i="35" s="1"/>
  <c r="I40" i="36"/>
  <c r="J40" i="36" s="1"/>
  <c r="AA7" i="36"/>
  <c r="R36" i="36" s="1"/>
  <c r="S7" i="36"/>
  <c r="G42" i="35"/>
  <c r="H42" i="35" s="1"/>
  <c r="G43" i="35"/>
  <c r="H43" i="35" s="1"/>
  <c r="U7" i="36"/>
  <c r="AB7" i="36"/>
  <c r="T36" i="36" s="1"/>
  <c r="G36" i="36" s="1"/>
  <c r="F37" i="44"/>
  <c r="M23" i="44"/>
  <c r="E7" i="67"/>
  <c r="C25" i="44" l="1"/>
  <c r="C31" i="44" s="1"/>
  <c r="C38" i="44" s="1"/>
  <c r="C8" i="12"/>
  <c r="B3" i="21"/>
  <c r="B2" i="21" s="1"/>
  <c r="C10" i="12" s="1"/>
  <c r="R16" i="1"/>
  <c r="C36" i="44"/>
  <c r="J22" i="44"/>
  <c r="C23" i="69"/>
  <c r="C29" i="69" s="1"/>
  <c r="J19" i="69" s="1"/>
  <c r="J17" i="69" s="1"/>
  <c r="J19" i="15"/>
  <c r="J17" i="15" s="1"/>
  <c r="J59" i="15"/>
  <c r="J60" i="15" s="1"/>
  <c r="C36" i="15"/>
  <c r="C13" i="15"/>
  <c r="C56" i="15"/>
  <c r="Q50" i="15"/>
  <c r="J14" i="15"/>
  <c r="C33" i="15"/>
  <c r="C31" i="15" s="1"/>
  <c r="B3" i="43"/>
  <c r="N70" i="39"/>
  <c r="N72" i="39" s="1"/>
  <c r="J9" i="39" s="1"/>
  <c r="M72" i="39"/>
  <c r="K65" i="40"/>
  <c r="J67" i="40"/>
  <c r="B4" i="43"/>
  <c r="E3" i="67"/>
  <c r="G40" i="36"/>
  <c r="H40" i="36" s="1"/>
  <c r="G41" i="36"/>
  <c r="H41" i="36" s="1"/>
  <c r="R39" i="35"/>
  <c r="E38" i="35"/>
  <c r="E36" i="36"/>
  <c r="R37" i="36"/>
  <c r="B2" i="46"/>
  <c r="B7" i="67"/>
  <c r="J16" i="44" l="1"/>
  <c r="J24" i="44" s="1"/>
  <c r="C15" i="44"/>
  <c r="Q72" i="44" s="1"/>
  <c r="Q51" i="44"/>
  <c r="J21" i="44"/>
  <c r="J19" i="44" s="1"/>
  <c r="C35" i="44"/>
  <c r="C33" i="44" s="1"/>
  <c r="C13" i="69"/>
  <c r="C37" i="69" s="1"/>
  <c r="J14" i="69"/>
  <c r="J22" i="69" s="1"/>
  <c r="C36" i="69"/>
  <c r="J59" i="69"/>
  <c r="J60" i="69" s="1"/>
  <c r="Q49" i="69" s="1"/>
  <c r="C33" i="69"/>
  <c r="C31" i="69" s="1"/>
  <c r="Q50" i="69"/>
  <c r="C56" i="69"/>
  <c r="C60" i="69" s="1"/>
  <c r="C58" i="69" s="1"/>
  <c r="J35" i="15"/>
  <c r="C55" i="15"/>
  <c r="C64" i="15" s="1"/>
  <c r="Q71" i="15"/>
  <c r="C37" i="15"/>
  <c r="C30" i="15" s="1"/>
  <c r="C39" i="15" s="1"/>
  <c r="L46" i="15"/>
  <c r="Q49" i="15"/>
  <c r="J22" i="15"/>
  <c r="J13" i="15"/>
  <c r="J23" i="15" s="1"/>
  <c r="C63" i="15"/>
  <c r="C60" i="15"/>
  <c r="C58" i="15" s="1"/>
  <c r="L65" i="40"/>
  <c r="K67" i="40"/>
  <c r="H9" i="39"/>
  <c r="F9" i="39"/>
  <c r="W9" i="39"/>
  <c r="AC9" i="39"/>
  <c r="V49" i="39" s="1"/>
  <c r="I49" i="39" s="1"/>
  <c r="I53" i="39" s="1"/>
  <c r="J53" i="39" s="1"/>
  <c r="B2" i="67"/>
  <c r="C36" i="36"/>
  <c r="C37" i="36"/>
  <c r="B3" i="36" s="1"/>
  <c r="B2" i="36" s="1"/>
  <c r="E43" i="35"/>
  <c r="F43" i="35" s="1"/>
  <c r="E42" i="35"/>
  <c r="F42" i="35" s="1"/>
  <c r="I43" i="35"/>
  <c r="J43" i="35" s="1"/>
  <c r="D4" i="46"/>
  <c r="B4" i="46"/>
  <c r="B3" i="46"/>
  <c r="E41" i="36"/>
  <c r="F41" i="36" s="1"/>
  <c r="E40" i="36"/>
  <c r="F40" i="36" s="1"/>
  <c r="I41" i="36"/>
  <c r="J41" i="36" s="1"/>
  <c r="C39" i="35"/>
  <c r="B3" i="35" s="1"/>
  <c r="B2" i="35" s="1"/>
  <c r="C38" i="35"/>
  <c r="L51" i="15"/>
  <c r="C43" i="44" l="1"/>
  <c r="C39" i="44"/>
  <c r="C32" i="44" s="1"/>
  <c r="C42" i="44" s="1"/>
  <c r="Q71" i="44" s="1"/>
  <c r="Q70" i="44" s="1"/>
  <c r="J15" i="44"/>
  <c r="J25" i="44" s="1"/>
  <c r="J18" i="44" s="1"/>
  <c r="J27" i="44" s="1"/>
  <c r="L46" i="69"/>
  <c r="J35" i="69"/>
  <c r="J13" i="69"/>
  <c r="J23" i="69" s="1"/>
  <c r="J16" i="69" s="1"/>
  <c r="J25" i="69" s="1"/>
  <c r="Q71" i="69"/>
  <c r="C55" i="69"/>
  <c r="C64" i="69" s="1"/>
  <c r="C63" i="69"/>
  <c r="C30" i="69"/>
  <c r="C39" i="69" s="1"/>
  <c r="C40" i="69" s="1"/>
  <c r="J39" i="15"/>
  <c r="J40" i="15" s="1"/>
  <c r="L57" i="15"/>
  <c r="L60" i="15" s="1"/>
  <c r="Q68" i="15"/>
  <c r="C57" i="15"/>
  <c r="C66" i="15" s="1"/>
  <c r="C67" i="15" s="1"/>
  <c r="J16" i="15"/>
  <c r="J25" i="15" s="1"/>
  <c r="C40" i="15"/>
  <c r="Q70" i="15"/>
  <c r="Q69" i="15" s="1"/>
  <c r="AB9" i="39"/>
  <c r="T49" i="39" s="1"/>
  <c r="G49" i="39" s="1"/>
  <c r="U9" i="39"/>
  <c r="M65" i="40"/>
  <c r="L67" i="40"/>
  <c r="AA9" i="39"/>
  <c r="R49" i="39" s="1"/>
  <c r="S9" i="39"/>
  <c r="B4" i="67"/>
  <c r="B3" i="67"/>
  <c r="L51" i="69"/>
  <c r="J39" i="69" l="1"/>
  <c r="J40" i="69" s="1"/>
  <c r="C6" i="12"/>
  <c r="C29" i="12" s="1"/>
  <c r="C57" i="69"/>
  <c r="C66" i="69" s="1"/>
  <c r="C67" i="69" s="1"/>
  <c r="C46" i="69" s="1"/>
  <c r="Q70" i="69"/>
  <c r="Q69" i="69" s="1"/>
  <c r="C44" i="44"/>
  <c r="C45" i="44" s="1"/>
  <c r="B2" i="44" s="1"/>
  <c r="B4" i="44" s="1"/>
  <c r="Q68" i="69"/>
  <c r="C70" i="69"/>
  <c r="Q66" i="69"/>
  <c r="Q76" i="69" s="1"/>
  <c r="Q48" i="69"/>
  <c r="Q54" i="69" s="1"/>
  <c r="C43" i="69"/>
  <c r="B2" i="69"/>
  <c r="B3" i="69" s="1"/>
  <c r="J42" i="69"/>
  <c r="J43" i="69" s="1"/>
  <c r="Q57" i="69"/>
  <c r="Q63" i="69" s="1"/>
  <c r="C24" i="12"/>
  <c r="B2" i="15"/>
  <c r="B3" i="15" s="1"/>
  <c r="Q66" i="15"/>
  <c r="Q57" i="15"/>
  <c r="Q48" i="15"/>
  <c r="Q54" i="15" s="1"/>
  <c r="C43" i="15"/>
  <c r="J42" i="15"/>
  <c r="J43" i="15" s="1"/>
  <c r="C70" i="15"/>
  <c r="C46" i="15"/>
  <c r="Q67" i="15"/>
  <c r="Q58" i="15"/>
  <c r="E49" i="39"/>
  <c r="R50" i="39"/>
  <c r="M67" i="40"/>
  <c r="N65" i="40"/>
  <c r="N67" i="40" s="1"/>
  <c r="J9" i="40" s="1"/>
  <c r="G54" i="39"/>
  <c r="H54" i="39" s="1"/>
  <c r="G53" i="39"/>
  <c r="H53" i="39" s="1"/>
  <c r="B5" i="44" l="1"/>
  <c r="B3" i="44"/>
  <c r="C35" i="12"/>
  <c r="C33" i="12" s="1"/>
  <c r="C28" i="12"/>
  <c r="C26" i="12" s="1"/>
  <c r="C31" i="12" s="1"/>
  <c r="C30" i="12" s="1"/>
  <c r="Q76" i="15"/>
  <c r="Q63" i="15"/>
  <c r="W9" i="40"/>
  <c r="AC9" i="40"/>
  <c r="V44" i="40" s="1"/>
  <c r="I44" i="40" s="1"/>
  <c r="C49" i="39"/>
  <c r="C50" i="39"/>
  <c r="H9" i="40"/>
  <c r="F9" i="40"/>
  <c r="E53" i="39"/>
  <c r="F53" i="39" s="1"/>
  <c r="E54" i="39"/>
  <c r="F54" i="39" s="1"/>
  <c r="I54" i="39"/>
  <c r="J54" i="39" s="1"/>
  <c r="C36" i="12" l="1"/>
  <c r="B2" i="12" s="1"/>
  <c r="S9" i="40"/>
  <c r="AA9" i="40"/>
  <c r="R44" i="40" s="1"/>
  <c r="B66" i="39"/>
  <c r="F66" i="39" s="1"/>
  <c r="B61" i="39"/>
  <c r="F61" i="39" s="1"/>
  <c r="B59" i="39"/>
  <c r="F59" i="39" s="1"/>
  <c r="B63" i="39"/>
  <c r="F63" i="39" s="1"/>
  <c r="B60" i="39"/>
  <c r="F60" i="39" s="1"/>
  <c r="F68" i="39"/>
  <c r="B2" i="39" s="1"/>
  <c r="B64" i="39"/>
  <c r="F64" i="39" s="1"/>
  <c r="B65" i="39"/>
  <c r="F65" i="39" s="1"/>
  <c r="B58" i="39"/>
  <c r="F58" i="39" s="1"/>
  <c r="B62" i="39"/>
  <c r="F62" i="39" s="1"/>
  <c r="B67" i="39"/>
  <c r="F67" i="39" s="1"/>
  <c r="I48" i="40"/>
  <c r="J48" i="40" s="1"/>
  <c r="U9" i="40"/>
  <c r="AB9" i="40"/>
  <c r="T44" i="40" s="1"/>
  <c r="G44" i="40" s="1"/>
  <c r="C19" i="9"/>
  <c r="D19" i="9"/>
  <c r="L43" i="9" l="1"/>
  <c r="G19" i="9"/>
  <c r="D22" i="9"/>
  <c r="L44" i="9"/>
  <c r="B4" i="12"/>
  <c r="B3" i="12"/>
  <c r="B5" i="12"/>
  <c r="B4" i="39"/>
  <c r="B5" i="39"/>
  <c r="B3" i="39"/>
  <c r="E44" i="40"/>
  <c r="R45" i="40"/>
  <c r="G49" i="40"/>
  <c r="H49" i="40" s="1"/>
  <c r="G48" i="40"/>
  <c r="H48" i="40" s="1"/>
  <c r="C21" i="9"/>
  <c r="D20" i="9"/>
  <c r="D21" i="9"/>
  <c r="C20" i="9"/>
  <c r="G21" i="9" l="1"/>
  <c r="G20" i="9"/>
  <c r="C32" i="9"/>
  <c r="N43" i="9"/>
  <c r="G22" i="9"/>
  <c r="E48" i="40"/>
  <c r="F48" i="40" s="1"/>
  <c r="E49" i="40"/>
  <c r="F49" i="40" s="1"/>
  <c r="I49" i="40"/>
  <c r="J49" i="40" s="1"/>
  <c r="C44" i="40"/>
  <c r="C45" i="40"/>
  <c r="O43" i="9" l="1"/>
  <c r="O38" i="9"/>
  <c r="C42" i="9"/>
  <c r="C44" i="9" s="1"/>
  <c r="C33" i="9"/>
  <c r="C34" i="9"/>
  <c r="C35" i="9"/>
  <c r="F42" i="9"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G14" i="66" l="1"/>
  <c r="N69" i="9"/>
  <c r="O39" i="9"/>
  <c r="D44" i="9"/>
  <c r="E44" i="9"/>
  <c r="F44" i="9"/>
  <c r="M38" i="9"/>
  <c r="K27" i="9" s="1"/>
  <c r="E42" i="9"/>
  <c r="P5" i="54" s="1"/>
  <c r="B46" i="63" s="1"/>
  <c r="R5" i="54"/>
  <c r="B48" i="63" s="1"/>
  <c r="N68" i="9"/>
  <c r="D14" i="66"/>
  <c r="D63" i="9"/>
  <c r="D42" i="9"/>
  <c r="Q5" i="54" s="1"/>
  <c r="B47" i="63" s="1"/>
  <c r="N38" i="9"/>
  <c r="K28" i="9" s="1"/>
  <c r="K26" i="9"/>
  <c r="K25" i="9"/>
  <c r="B5" i="40"/>
  <c r="B3" i="40"/>
  <c r="B4" i="40"/>
  <c r="M84" i="9" l="1"/>
  <c r="N84" i="9" s="1"/>
  <c r="M87" i="9"/>
  <c r="N87" i="9" s="1"/>
  <c r="M83" i="9"/>
  <c r="N83" i="9" s="1"/>
  <c r="M86" i="9"/>
  <c r="N86" i="9" s="1"/>
  <c r="M88" i="9"/>
  <c r="N88" i="9" s="1"/>
  <c r="M85" i="9"/>
  <c r="N85" i="9" s="1"/>
  <c r="R6" i="54"/>
  <c r="B50" i="63" s="1"/>
  <c r="K29" i="9"/>
  <c r="K30" i="9" s="1"/>
  <c r="E14" i="66"/>
  <c r="F14" i="66"/>
  <c r="C96" i="9"/>
  <c r="C91" i="9" s="1"/>
  <c r="C90" i="9"/>
  <c r="D70" i="9"/>
  <c r="D71" i="9"/>
  <c r="D66" i="9" s="1"/>
  <c r="N72" i="9" s="1"/>
  <c r="C103" i="9"/>
  <c r="C111" i="9"/>
  <c r="C104" i="9" s="1"/>
  <c r="C82" i="9"/>
  <c r="C81" i="9" s="1"/>
  <c r="C85" i="9" s="1"/>
  <c r="C86" i="9" s="1"/>
  <c r="D72" i="9" s="1"/>
  <c r="D77" i="9"/>
  <c r="N75" i="9" s="1"/>
  <c r="N89" i="9" l="1"/>
  <c r="O89" i="9" s="1"/>
  <c r="C97" i="9"/>
  <c r="C113" i="9"/>
  <c r="C98" i="9" l="1"/>
  <c r="E98" i="9" s="1"/>
  <c r="E99" i="9" s="1"/>
  <c r="C114" i="9"/>
  <c r="E114" i="9" s="1"/>
  <c r="E115" i="9" s="1"/>
  <c r="C99" i="9" l="1"/>
  <c r="C115" i="9"/>
  <c r="D76" i="9" s="1"/>
  <c r="D74" i="9" s="1"/>
  <c r="N74" i="9" s="1"/>
  <c r="O77" i="9" s="1"/>
  <c r="Q77" i="9" s="1"/>
  <c r="O78" i="9" l="1"/>
  <c r="O79" i="9"/>
  <c r="O81" i="9" s="1"/>
  <c r="O80" i="9" l="1"/>
  <c r="B15" i="66" l="1"/>
  <c r="C15" i="66" l="1"/>
  <c r="G15" i="66" l="1"/>
  <c r="F15" i="66" l="1"/>
  <c r="E15" i="66"/>
  <c r="B16" i="66" l="1"/>
  <c r="B1" i="66" s="1"/>
  <c r="C16" i="66" l="1"/>
  <c r="B2" i="66" s="1"/>
  <c r="C7" i="66"/>
  <c r="C8" i="66"/>
  <c r="D8" i="66" l="1"/>
  <c r="D7" i="66"/>
  <c r="G16" i="66" l="1"/>
  <c r="B6" i="66" s="1"/>
  <c r="D6" i="66" l="1"/>
  <c r="C6" i="66"/>
  <c r="E16" i="66"/>
  <c r="F16"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<sst xmlns="http://schemas.openxmlformats.org/spreadsheetml/2006/main" count="7758" uniqueCount="3230">
  <si>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</si>
  <si>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</si>
  <si>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</si>
  <si>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</si>
  <si>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</si>
  <si>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</si>
  <si>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</si>
  <si>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</si>
  <si>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</si>
  <si>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</si>
  <si>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</si>
  <si>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</si>
  <si>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</si>
  <si>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</si>
  <si>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</si>
  <si>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</si>
  <si>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</si>
  <si>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</si>
  <si>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</si>
  <si>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</si>
  <si>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</si>
  <si>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</si>
  <si>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</si>
  <si>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</si>
  <si>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</si>
  <si>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</si>
  <si>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</si>
  <si>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</si>
  <si>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</si>
  <si>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</si>
  <si>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</si>
  <si>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</si>
  <si>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</si>
  <si>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</si>
  <si>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</si>
  <si>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</si>
  <si>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</si>
  <si>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</si>
  <si>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</si>
  <si>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</si>
  <si>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</si>
  <si>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</si>
  <si>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</si>
  <si>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</si>
  <si>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</si>
  <si>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</si>
  <si>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</si>
  <si>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</si>
  <si>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</si>
  <si>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</si>
  <si>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</si>
  <si>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</si>
  <si>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</si>
  <si>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</si>
  <si>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</si>
  <si>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</si>
  <si>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</si>
  <si>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</si>
  <si>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</si>
  <si>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</si>
  <si>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</si>
  <si>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</si>
  <si>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</si>
  <si>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</si>
  <si>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</si>
  <si>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</si>
  <si>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</si>
  <si>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</si>
  <si>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</si>
  <si>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</si>
  <si>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</si>
  <si>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</si>
  <si>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</si>
  <si>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</si>
  <si>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</si>
  <si>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</si>
  <si>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</si>
  <si>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</si>
  <si>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</si>
  <si>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</si>
  <si>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</si>
  <si>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</si>
  <si>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</si>
  <si>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</si>
  <si>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</si>
  <si>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</si>
  <si>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</si>
  <si>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</si>
  <si>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</si>
  <si>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</si>
  <si>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</si>
  <si>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</si>
  <si>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</si>
  <si>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</si>
  <si>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</si>
  <si>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</si>
  <si>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</si>
  <si>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</si>
  <si>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</si>
  <si>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</si>
  <si>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</si>
  <si>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</si>
  <si>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</si>
  <si>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</si>
  <si>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</si>
  <si>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</si>
  <si>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</si>
  <si>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</si>
  <si>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</si>
  <si>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</si>
  <si>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</si>
  <si>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</si>
  <si>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</si>
  <si>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</si>
  <si>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</si>
  <si>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</si>
  <si>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</si>
  <si>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</si>
  <si>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</si>
  <si>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</si>
  <si>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</si>
  <si>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</si>
  <si>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</si>
  <si>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</si>
  <si>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</si>
  <si>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</si>
  <si>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</si>
  <si>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</si>
  <si>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</si>
  <si>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</si>
  <si>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</si>
  <si>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</si>
  <si>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</si>
  <si>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</si>
  <si>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</si>
  <si>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</si>
  <si>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</si>
  <si>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</si>
  <si>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</si>
  <si>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</si>
  <si>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</si>
  <si>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</si>
  <si>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</si>
  <si>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</si>
  <si>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</si>
  <si>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</si>
  <si>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</si>
  <si>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</si>
  <si>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</si>
  <si>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</si>
  <si>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</si>
  <si>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</si>
  <si>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</si>
  <si>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</si>
  <si>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</si>
  <si>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</si>
  <si>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</si>
  <si>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</si>
  <si>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</si>
  <si>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</si>
  <si>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</si>
  <si>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</si>
  <si>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</si>
  <si>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</si>
  <si>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</si>
  <si>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</si>
  <si>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</si>
  <si>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</si>
  <si>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</si>
  <si>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</si>
  <si>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</si>
  <si>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</si>
  <si>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</si>
  <si>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</si>
  <si>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</si>
  <si>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</si>
  <si>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</si>
  <si>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</si>
  <si>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</si>
  <si>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</si>
  <si>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</si>
  <si>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</si>
  <si>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</si>
  <si>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</si>
  <si>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</si>
  <si>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</si>
  <si>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</si>
  <si>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</si>
  <si>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</si>
  <si>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</si>
  <si>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</si>
  <si>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</si>
  <si>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</si>
  <si>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</si>
  <si>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</si>
  <si>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</si>
  <si>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</si>
  <si>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</si>
  <si>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</si>
  <si>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</si>
  <si>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</si>
  <si>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</si>
  <si>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</si>
  <si>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</si>
  <si>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</si>
  <si>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</si>
  <si>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</si>
  <si>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</si>
  <si>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</si>
  <si>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</si>
  <si>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</si>
  <si>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</si>
  <si>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</si>
  <si>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</si>
  <si>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</si>
  <si>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</si>
  <si>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</si>
  <si>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</si>
  <si>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</si>
  <si>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</si>
  <si>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</si>
  <si>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</si>
  <si>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</si>
  <si>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</si>
  <si>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</si>
  <si>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</si>
  <si>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</si>
  <si>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</si>
  <si>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</si>
  <si>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</si>
  <si>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</si>
  <si>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</si>
  <si>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</si>
  <si>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</si>
  <si>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</si>
  <si>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</si>
  <si>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</si>
  <si>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</si>
  <si>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</si>
  <si>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</si>
  <si>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</si>
  <si>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</si>
  <si>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</si>
  <si>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</si>
  <si>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</si>
  <si>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</si>
  <si>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</si>
  <si>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</si>
  <si>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</si>
  <si>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</si>
  <si>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</si>
  <si>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</si>
  <si>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</si>
  <si>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</si>
  <si>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</si>
  <si>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</si>
  <si>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</si>
  <si>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</si>
  <si>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</si>
  <si>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</si>
  <si>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</si>
  <si>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</si>
  <si>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</si>
  <si>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</si>
  <si>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</si>
  <si>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</si>
  <si>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</si>
  <si>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</si>
  <si>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</si>
  <si>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</si>
  <si>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</si>
  <si>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</si>
  <si>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</si>
  <si>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</si>
  <si>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</si>
  <si>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</si>
  <si>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</si>
  <si>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</si>
  <si>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</si>
  <si>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</si>
  <si>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</si>
  <si>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</si>
  <si>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</si>
  <si>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</si>
  <si>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</si>
  <si>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</si>
  <si>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</si>
  <si>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</si>
  <si>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</si>
  <si>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</si>
  <si>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</si>
  <si>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</si>
  <si>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</si>
  <si>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</si>
  <si>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</si>
  <si>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</si>
  <si>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</si>
  <si>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</si>
  <si>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</si>
  <si>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</si>
  <si>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</si>
  <si>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</si>
  <si>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</si>
  <si>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</si>
  <si>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</si>
  <si>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</si>
  <si>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</si>
  <si>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</si>
  <si>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</si>
  <si>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</si>
  <si>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</si>
  <si>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</si>
  <si>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</si>
  <si>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</si>
  <si>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</si>
  <si>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</si>
  <si>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</si>
  <si>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</si>
  <si>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</si>
  <si>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</si>
  <si>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</si>
  <si>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</si>
  <si>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</si>
  <si>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</si>
  <si>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</si>
  <si>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</si>
  <si>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</si>
  <si>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</si>
  <si>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</si>
  <si>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</si>
  <si>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</si>
  <si>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</si>
  <si>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</si>
  <si>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</si>
  <si>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</si>
  <si>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</si>
  <si>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</si>
  <si>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</si>
  <si>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</si>
  <si>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</si>
  <si>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</si>
  <si>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</si>
  <si>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</si>
  <si>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</si>
  <si>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</si>
  <si>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</si>
  <si>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</si>
  <si>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</si>
  <si>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</si>
  <si>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</si>
  <si>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</si>
  <si>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</si>
  <si>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</si>
  <si>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</si>
  <si>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</si>
  <si>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</si>
  <si>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</si>
  <si>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</si>
  <si>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</si>
  <si>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</si>
  <si>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</si>
  <si>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</si>
  <si>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</si>
  <si>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</si>
  <si>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</si>
  <si>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</si>
  <si>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</si>
  <si>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</si>
  <si>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</si>
  <si>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</si>
  <si>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</si>
  <si>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</si>
  <si>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</si>
  <si>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</si>
  <si>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</si>
  <si>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</si>
  <si>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</si>
  <si>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</si>
  <si>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</si>
  <si>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</si>
  <si>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</si>
  <si>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</si>
  <si>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</si>
  <si>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</si>
  <si>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</si>
  <si>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</si>
  <si>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</si>
  <si>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</si>
  <si>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</si>
  <si>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</si>
  <si>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</si>
  <si>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</si>
  <si>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</si>
  <si>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</si>
  <si>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</si>
  <si>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</si>
  <si>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</si>
  <si>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</si>
  <si>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</si>
  <si>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</si>
  <si>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</si>
  <si>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</si>
  <si>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</si>
  <si>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</si>
  <si>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</si>
  <si>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</si>
  <si>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</si>
  <si>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</si>
  <si>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</si>
  <si>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</si>
  <si>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</si>
  <si>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</si>
  <si>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</si>
  <si>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</si>
  <si>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</si>
  <si>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</si>
  <si>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</si>
  <si>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</si>
  <si>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</si>
  <si>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</si>
  <si>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</si>
  <si>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</si>
  <si>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</si>
  <si>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</si>
  <si>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</si>
  <si>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</si>
  <si>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</si>
  <si>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</si>
  <si>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</si>
  <si>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</si>
  <si>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</si>
  <si>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</si>
  <si>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</si>
  <si>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</si>
  <si>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</si>
  <si>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</si>
  <si>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</si>
  <si>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</si>
  <si>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</si>
  <si>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</si>
  <si>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</si>
  <si>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</si>
  <si>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</si>
  <si>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</si>
  <si>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</si>
  <si>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</si>
  <si>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</si>
  <si>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</si>
  <si>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</si>
  <si>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</si>
  <si>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</si>
  <si>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</si>
  <si>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</si>
  <si>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</si>
  <si>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</si>
  <si>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</si>
  <si>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</si>
  <si>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</si>
  <si>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</si>
  <si>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</si>
  <si>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</si>
  <si>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</si>
  <si>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</si>
  <si>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</si>
  <si>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</si>
  <si>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</si>
  <si>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</si>
  <si>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</si>
  <si>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</si>
  <si>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</si>
  <si>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</si>
  <si>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</si>
  <si>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</si>
  <si>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</si>
  <si>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</si>
  <si>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</si>
  <si>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</si>
  <si>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</si>
  <si>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</si>
  <si>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</si>
  <si>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</si>
  <si>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</si>
  <si>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</si>
  <si>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</si>
  <si>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</si>
  <si>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</si>
  <si>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</si>
  <si>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</si>
  <si>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</si>
  <si>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</si>
  <si>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</si>
  <si>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</si>
  <si>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</si>
  <si>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</si>
  <si>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</si>
  <si>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</si>
  <si>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</si>
  <si>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</si>
  <si>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</si>
  <si>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</si>
  <si>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</si>
  <si>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</si>
  <si>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</si>
  <si>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</si>
  <si>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</si>
  <si>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</si>
  <si>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</si>
  <si>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</si>
  <si>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</si>
  <si>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</si>
  <si>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</si>
  <si>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</si>
  <si>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</si>
  <si>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</si>
  <si>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</si>
  <si>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</si>
  <si>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</si>
  <si>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</si>
  <si>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</si>
  <si>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</si>
  <si>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</si>
  <si>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</si>
  <si>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</si>
  <si>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</si>
  <si>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</si>
  <si>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</si>
  <si>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</si>
  <si>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</si>
  <si>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</si>
  <si>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</si>
  <si>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</si>
  <si>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</si>
  <si>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</si>
  <si>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</si>
  <si>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</si>
  <si>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</si>
  <si>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</si>
  <si>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</si>
  <si>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</si>
  <si>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</si>
  <si>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</si>
  <si>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</si>
  <si>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</si>
  <si>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</si>
  <si>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</si>
  <si>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</si>
  <si>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</si>
  <si>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</si>
  <si>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</si>
  <si>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</si>
  <si>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</si>
  <si>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</si>
  <si>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</si>
  <si>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</si>
  <si>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</si>
  <si>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</si>
  <si>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</si>
  <si>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</si>
  <si>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</si>
  <si>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</si>
  <si>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</si>
  <si>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</si>
  <si>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</si>
  <si>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</si>
  <si>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</si>
  <si>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</si>
  <si>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</si>
  <si>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</si>
  <si>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</si>
  <si>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</si>
  <si>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</si>
  <si>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</si>
  <si>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</si>
  <si>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</si>
  <si>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</si>
  <si>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</si>
  <si>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</si>
  <si>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</si>
  <si>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</si>
  <si>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</si>
  <si>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</si>
  <si>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</si>
  <si>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</si>
  <si>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</si>
  <si>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</si>
  <si>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</si>
  <si>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</si>
  <si>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</si>
  <si>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</si>
  <si>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</si>
  <si>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</si>
  <si>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</si>
  <si>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</si>
  <si>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</si>
  <si>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</si>
  <si>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</si>
  <si>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</si>
  <si>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</si>
  <si>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</si>
  <si>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</si>
  <si>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</si>
  <si>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</si>
  <si>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</si>
  <si>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</si>
  <si>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</si>
  <si>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</si>
  <si>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</si>
  <si>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</si>
  <si>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</si>
  <si>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</si>
  <si>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</si>
  <si>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</si>
  <si>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</si>
  <si>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</si>
  <si>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</si>
  <si>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</si>
  <si>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</si>
  <si>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</si>
  <si>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</si>
  <si>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</si>
  <si>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</si>
  <si>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</si>
  <si>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</si>
  <si>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</si>
  <si>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</si>
  <si>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</si>
  <si>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</si>
  <si>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</si>
  <si>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</si>
  <si>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</si>
  <si>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</si>
  <si>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</si>
  <si>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</si>
  <si>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</si>
  <si>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</si>
  <si>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</si>
  <si>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</si>
  <si>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</si>
  <si>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</si>
  <si>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</si>
  <si>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</si>
  <si>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</si>
  <si>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</si>
  <si>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</si>
  <si>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</si>
  <si>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</si>
  <si>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</si>
  <si>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</si>
  <si>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</si>
  <si>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</si>
  <si>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</si>
  <si>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</si>
  <si>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</si>
  <si>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</si>
  <si>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</si>
  <si>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</si>
  <si>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</si>
  <si>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</si>
  <si>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</si>
  <si>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</si>
  <si>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</si>
  <si>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</si>
  <si>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</si>
  <si>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</si>
  <si>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</si>
  <si>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</si>
  <si>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</si>
  <si>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</si>
  <si>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</si>
  <si>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</si>
  <si>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</si>
  <si>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</si>
  <si>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</si>
  <si>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</si>
  <si>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</si>
  <si>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</si>
  <si>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</si>
  <si>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</si>
  <si>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</si>
  <si>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</si>
  <si>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</si>
  <si>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</si>
  <si>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</si>
  <si>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</si>
  <si>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</si>
  <si>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</si>
  <si>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</si>
  <si>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</si>
  <si>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</si>
  <si>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</si>
  <si>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</si>
  <si>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</si>
  <si>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</si>
  <si>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</si>
  <si>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</si>
  <si>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</si>
  <si>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</si>
  <si>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</si>
  <si>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</si>
  <si>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</si>
  <si>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</si>
  <si>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</si>
  <si>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</si>
  <si>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</si>
  <si>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</si>
  <si>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</si>
  <si>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</si>
  <si>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</si>
  <si>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</si>
  <si>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</si>
  <si>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</si>
  <si>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</si>
  <si>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</si>
  <si>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</si>
  <si>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</si>
  <si>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</si>
  <si>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</si>
  <si>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</si>
  <si>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</si>
  <si>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</si>
  <si>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</si>
  <si>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</si>
  <si>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</si>
  <si>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</si>
  <si>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</si>
  <si>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</si>
  <si>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</si>
  <si>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</si>
  <si>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</si>
  <si>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</si>
  <si>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</si>
  <si>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</si>
  <si>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</si>
  <si>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</si>
  <si>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</si>
  <si>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</si>
  <si>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</si>
  <si>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</si>
  <si>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</si>
  <si>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</si>
  <si>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</si>
  <si>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</si>
  <si>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</si>
  <si>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</si>
  <si>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</si>
  <si>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</si>
  <si>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</si>
  <si>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</si>
  <si>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</si>
  <si>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</si>
  <si>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</si>
  <si>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</si>
  <si>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</si>
  <si>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</si>
  <si>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</si>
  <si>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</si>
  <si>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</si>
  <si>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</si>
  <si>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</si>
  <si>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</si>
  <si>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</si>
  <si>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</si>
  <si>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</si>
  <si>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</si>
  <si>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</si>
  <si>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</si>
  <si>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</si>
  <si>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</si>
  <si>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</si>
  <si>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</si>
  <si>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</si>
  <si>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</si>
  <si>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</si>
  <si>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</si>
  <si>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</si>
  <si>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</si>
  <si>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</si>
  <si>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</si>
  <si>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</si>
  <si>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</si>
  <si>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</si>
  <si>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</si>
  <si>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</si>
  <si>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</si>
  <si>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</si>
  <si>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</si>
  <si>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</si>
  <si>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</si>
  <si>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</si>
  <si>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</si>
  <si>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</si>
  <si>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</si>
  <si>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</si>
  <si>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</si>
  <si>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</si>
  <si>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</si>
  <si>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</si>
  <si>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</si>
  <si>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</si>
  <si>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</si>
  <si>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</si>
  <si>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</si>
  <si>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</si>
  <si>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</si>
  <si>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</si>
  <si>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</si>
  <si>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</si>
  <si>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</si>
  <si>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</si>
  <si>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</si>
  <si>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</si>
  <si>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</si>
  <si>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</si>
  <si>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</si>
  <si>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</si>
  <si>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</si>
  <si>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</si>
  <si>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</si>
  <si>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</si>
  <si>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</si>
  <si>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</si>
  <si>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</si>
  <si>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</si>
  <si>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</si>
  <si>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</si>
  <si>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</si>
  <si>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</si>
  <si>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</si>
  <si>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</si>
  <si>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</si>
  <si>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</si>
  <si>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</si>
  <si>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</si>
  <si>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</si>
  <si>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</si>
  <si>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</si>
  <si>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</si>
  <si>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</si>
  <si>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</si>
  <si>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</si>
  <si>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</si>
  <si>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</si>
  <si>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</si>
  <si>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</si>
  <si>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</si>
  <si>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</si>
  <si>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</si>
  <si>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</si>
  <si>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</si>
  <si>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</si>
  <si>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</si>
  <si>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</si>
  <si>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</si>
  <si>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</si>
  <si>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</si>
  <si>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</si>
  <si>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</si>
  <si>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</si>
  <si>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</si>
  <si>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</si>
  <si>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</si>
  <si>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</si>
  <si>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</si>
  <si>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</si>
  <si>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</si>
  <si>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</si>
  <si>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</si>
  <si>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</si>
  <si>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</si>
  <si>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</si>
  <si>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</si>
  <si>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</si>
  <si>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</si>
  <si>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</si>
  <si>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</si>
  <si>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</si>
  <si>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</si>
  <si>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</si>
  <si>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</si>
  <si>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</si>
  <si>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</si>
  <si>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</si>
  <si>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</si>
  <si>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</si>
  <si>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</si>
  <si>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</si>
  <si>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</si>
  <si>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</si>
  <si>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</si>
  <si>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</si>
  <si>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</si>
  <si>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</si>
  <si>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</si>
  <si>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</si>
  <si>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</si>
  <si>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</si>
  <si>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</si>
  <si>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</si>
  <si>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</si>
  <si>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</si>
  <si>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</si>
  <si>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</si>
  <si>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</si>
  <si>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</si>
  <si>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</si>
  <si>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</si>
  <si>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</si>
  <si>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</si>
  <si>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</si>
  <si>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</si>
  <si>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</si>
  <si>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</si>
  <si>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</si>
  <si>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</si>
  <si>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</si>
  <si>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</si>
  <si>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</si>
  <si>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</si>
  <si>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</si>
  <si>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</si>
  <si>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</si>
  <si>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</si>
  <si>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</si>
  <si>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</si>
  <si>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</si>
  <si>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</si>
  <si>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</si>
  <si>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</si>
  <si>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</si>
  <si>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</si>
  <si>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</si>
  <si>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</si>
  <si>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</si>
  <si>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</si>
  <si>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</si>
  <si>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</si>
  <si>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</si>
  <si>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</si>
  <si>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</si>
  <si>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</si>
  <si>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</si>
  <si>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</si>
  <si>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</si>
  <si>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</si>
  <si>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</si>
  <si>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</si>
  <si>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</si>
  <si>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</si>
  <si>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</si>
  <si>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</si>
  <si>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</si>
  <si>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</si>
  <si>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</si>
  <si>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</si>
  <si>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</si>
  <si>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</si>
  <si>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</si>
  <si>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</si>
  <si>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</si>
  <si>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</si>
  <si>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</si>
  <si>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</si>
  <si>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</si>
  <si>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</si>
  <si>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</si>
  <si>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</si>
  <si>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</si>
  <si>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</si>
  <si>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</si>
  <si>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</si>
  <si>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</si>
  <si>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</si>
  <si>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</si>
  <si>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</si>
  <si>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</si>
  <si>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</si>
  <si>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</si>
  <si>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</si>
  <si>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</si>
  <si>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</si>
  <si>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</si>
  <si>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</si>
  <si>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</si>
  <si>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</si>
  <si>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</si>
  <si>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</si>
  <si>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</si>
  <si>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</si>
  <si>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</si>
  <si>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</si>
  <si>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</si>
  <si>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</si>
  <si>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</si>
  <si>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</si>
  <si>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</si>
  <si>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</si>
  <si>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</si>
  <si>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</si>
  <si>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</si>
  <si>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</si>
  <si>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</si>
  <si>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</si>
  <si>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</si>
  <si>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</si>
  <si>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</si>
  <si>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</si>
  <si>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</si>
  <si>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</si>
  <si>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</si>
  <si>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</si>
  <si>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</si>
  <si>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</si>
  <si>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</si>
  <si>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</si>
  <si>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</si>
  <si>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</si>
  <si>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</si>
  <si>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</si>
  <si>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</si>
  <si>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</si>
  <si>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</si>
  <si>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</si>
  <si>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</si>
  <si>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</si>
  <si>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</si>
  <si>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</si>
  <si>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</si>
  <si>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</si>
  <si>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</si>
  <si>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</si>
  <si>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</si>
  <si>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</si>
  <si>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</si>
  <si>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</si>
  <si>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</si>
  <si>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</si>
  <si>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</si>
  <si>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</si>
  <si>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</si>
  <si>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</si>
  <si>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</si>
  <si>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</si>
  <si>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</si>
  <si>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</si>
  <si>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</si>
  <si>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</si>
  <si>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</si>
  <si>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</si>
  <si>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</si>
  <si>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</si>
  <si>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</si>
  <si>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</si>
  <si>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</si>
  <si>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</si>
  <si>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</si>
  <si>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</si>
  <si>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</si>
  <si>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</si>
  <si>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</si>
  <si>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</si>
  <si>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</si>
  <si>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</si>
  <si>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</si>
  <si>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</si>
  <si>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</si>
  <si>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</si>
  <si>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</si>
  <si>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</si>
  <si>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</si>
  <si>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</si>
  <si>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</si>
  <si>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</si>
  <si>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</si>
  <si>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</si>
  <si>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</si>
  <si>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</si>
  <si>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</si>
  <si>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</si>
  <si>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</si>
  <si>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</si>
  <si>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</si>
  <si>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</si>
  <si>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</si>
  <si>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</si>
  <si>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</si>
  <si>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</si>
  <si>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</si>
  <si>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</si>
  <si>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</si>
  <si>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</si>
  <si>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</si>
  <si>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</si>
  <si>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</si>
  <si>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</si>
  <si>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</si>
  <si>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</si>
  <si>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</si>
  <si>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</si>
  <si>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</si>
  <si>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</si>
  <si>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</si>
  <si>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</si>
  <si>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</si>
  <si>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</si>
  <si>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</si>
  <si>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</si>
  <si>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</si>
  <si>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</si>
  <si>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</si>
  <si>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</si>
  <si>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</si>
  <si>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</si>
  <si>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</si>
  <si>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</si>
  <si>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</si>
  <si>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</si>
  <si>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</si>
  <si>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</si>
  <si>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</si>
  <si>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</si>
  <si>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</si>
  <si>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</si>
  <si>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</si>
  <si>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</si>
  <si>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</si>
  <si>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</si>
  <si>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</si>
  <si>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</si>
  <si>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</si>
  <si>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</si>
  <si>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</si>
  <si>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</si>
  <si>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</si>
  <si>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</si>
  <si>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</si>
  <si>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</si>
  <si>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</si>
  <si>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</si>
  <si>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</si>
  <si>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</si>
  <si>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</si>
  <si>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</si>
  <si>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</si>
  <si>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</si>
  <si>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</si>
  <si>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</si>
  <si>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</si>
  <si>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</si>
  <si>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</si>
  <si>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</si>
  <si>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</si>
  <si>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</si>
  <si>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</si>
  <si>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</si>
  <si>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</si>
  <si>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</si>
  <si>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</si>
  <si>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</si>
  <si>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</si>
  <si>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</si>
  <si>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</si>
  <si>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</si>
  <si>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</si>
  <si>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</si>
  <si>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</si>
  <si>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</si>
  <si>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</si>
  <si>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</si>
  <si>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</si>
  <si>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</si>
  <si>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</si>
  <si>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</si>
  <si>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</si>
  <si>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</si>
  <si>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</si>
  <si>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</si>
  <si>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</si>
  <si>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</si>
  <si>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</si>
  <si>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</si>
  <si>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</si>
  <si>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</si>
  <si>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</si>
  <si>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</si>
  <si>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</si>
  <si>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</si>
  <si>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</si>
  <si>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</si>
  <si>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</si>
  <si>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</si>
  <si>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</si>
  <si>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</si>
  <si>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</si>
  <si>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</si>
  <si>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</si>
  <si>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</si>
  <si>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</si>
  <si>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</si>
  <si>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</si>
  <si>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</si>
  <si>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</si>
  <si>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</si>
  <si>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</si>
  <si>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</si>
  <si>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</si>
  <si>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</si>
  <si>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</si>
  <si>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</si>
  <si>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</si>
  <si>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</si>
  <si>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</si>
  <si>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</si>
  <si>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</si>
  <si>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</si>
  <si>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</si>
  <si>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</si>
  <si>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</si>
  <si>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</si>
  <si>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</si>
  <si>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</si>
  <si>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</si>
  <si>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</si>
  <si>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</si>
  <si>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</si>
  <si>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</si>
  <si>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</si>
  <si>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</si>
  <si>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</si>
  <si>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</si>
  <si>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</si>
  <si>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</si>
  <si>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</si>
  <si>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</si>
  <si>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</si>
  <si>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</si>
  <si>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</si>
  <si>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</si>
  <si>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</si>
  <si>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</si>
  <si>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</si>
  <si>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</si>
  <si>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</si>
  <si>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</si>
  <si>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</si>
  <si>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</si>
  <si>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</si>
  <si>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</si>
  <si>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</si>
  <si>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</si>
  <si>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</si>
  <si>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</si>
  <si>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</si>
  <si>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</si>
  <si>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</si>
  <si>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</si>
  <si>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</si>
  <si>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</si>
  <si>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</si>
  <si>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</si>
  <si>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</si>
  <si>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</si>
  <si>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</si>
  <si>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</si>
  <si>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</si>
  <si>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</si>
  <si>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</si>
  <si>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</si>
  <si>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</si>
  <si>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</si>
  <si>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</si>
  <si>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</si>
  <si>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</si>
  <si>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</si>
  <si>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</si>
  <si>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</si>
  <si>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</si>
  <si>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</si>
  <si>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</si>
  <si>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</si>
  <si>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</si>
  <si>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</si>
  <si>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</si>
  <si>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</si>
  <si>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</si>
  <si>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</si>
  <si>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</si>
  <si>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</si>
  <si>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</si>
  <si>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</si>
  <si>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</si>
  <si>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</si>
  <si>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</si>
  <si>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</si>
  <si>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</si>
  <si>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</si>
  <si>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</si>
  <si>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</si>
  <si>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</si>
  <si>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</si>
  <si>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</si>
  <si>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</si>
  <si>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</si>
  <si>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</si>
  <si>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</si>
  <si>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</si>
  <si>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</si>
  <si>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</si>
  <si>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</si>
  <si>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</si>
  <si>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</si>
  <si>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</si>
  <si>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</si>
  <si>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</si>
  <si>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</si>
  <si>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</si>
  <si>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</si>
  <si>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</si>
  <si>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</si>
  <si>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</si>
  <si>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</si>
  <si>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</si>
  <si>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</si>
  <si>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</si>
  <si>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</si>
  <si>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</si>
  <si>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</si>
  <si>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</si>
  <si>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</si>
  <si>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</si>
  <si>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</si>
  <si>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</si>
  <si>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</si>
  <si>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</si>
  <si>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</si>
  <si>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</si>
  <si>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</si>
  <si>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</si>
  <si>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</si>
  <si>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</si>
  <si>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</si>
  <si>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</si>
  <si>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</si>
  <si>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</si>
  <si>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</si>
  <si>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</si>
  <si>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</si>
  <si>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</si>
  <si>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</si>
  <si>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</si>
  <si>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</si>
  <si>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</si>
  <si>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</si>
  <si>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</si>
  <si>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</si>
  <si>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</si>
  <si>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</si>
  <si>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</si>
  <si>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</si>
  <si>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</si>
  <si>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</si>
  <si>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</si>
  <si>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</si>
  <si>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</si>
  <si>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</si>
  <si>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</si>
  <si>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</si>
  <si>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</si>
  <si>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</si>
  <si>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</si>
  <si>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</si>
  <si>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</si>
  <si>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</si>
  <si>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</si>
  <si>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</si>
  <si>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</si>
  <si>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</si>
  <si>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</si>
  <si>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</si>
  <si>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</si>
  <si>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</si>
  <si>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</si>
  <si>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</si>
  <si>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</si>
  <si>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</si>
  <si>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</si>
  <si>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</si>
  <si>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</si>
  <si>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</si>
  <si>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</si>
  <si>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</si>
  <si>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</si>
  <si>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</si>
  <si>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</si>
  <si>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</si>
  <si>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</si>
  <si>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</si>
  <si>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</si>
  <si>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</si>
  <si>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</si>
  <si>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</si>
  <si>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</si>
  <si>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</si>
  <si>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</si>
  <si>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</si>
  <si>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</si>
  <si>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</si>
  <si>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</si>
  <si>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</si>
  <si>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</si>
  <si>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</si>
  <si>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</si>
  <si>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</si>
  <si>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</si>
  <si>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</si>
  <si>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</si>
  <si>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</si>
  <si>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</si>
  <si>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</si>
  <si>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</si>
  <si>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</si>
  <si>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</si>
  <si>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</si>
  <si>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</si>
  <si>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</si>
  <si>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</si>
  <si>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</si>
  <si>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</si>
  <si>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</si>
  <si>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</si>
  <si>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</si>
  <si>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</si>
  <si>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</si>
  <si>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</si>
  <si>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</si>
  <si>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</si>
  <si>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</si>
  <si>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</si>
  <si>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</si>
  <si>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</si>
  <si>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</si>
  <si>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</si>
  <si>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</si>
  <si>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</si>
  <si>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</si>
  <si>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</si>
  <si>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</si>
  <si>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</si>
  <si>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</si>
  <si>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</si>
  <si>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</si>
  <si>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</si>
  <si>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</si>
  <si>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</si>
  <si>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</si>
  <si>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</si>
  <si>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</si>
  <si>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</si>
  <si>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</si>
  <si>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</si>
  <si>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</si>
  <si>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</si>
  <si>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</si>
  <si>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</si>
  <si>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</si>
  <si>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</si>
  <si>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</si>
  <si>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</si>
  <si>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</si>
  <si>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</si>
  <si>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</si>
  <si>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</si>
  <si>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</si>
  <si>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</si>
  <si>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</si>
  <si>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</si>
  <si>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</si>
  <si>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</si>
  <si>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</si>
  <si>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</si>
  <si>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</si>
  <si>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</si>
  <si>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</si>
  <si>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</si>
  <si>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</si>
  <si>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</si>
  <si>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</si>
  <si>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</si>
  <si>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</si>
  <si>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</si>
  <si>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</si>
  <si>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</si>
  <si>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</si>
  <si>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</si>
  <si>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</si>
  <si>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</si>
  <si>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</si>
  <si>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</si>
  <si>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</si>
  <si>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</si>
  <si>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</si>
  <si>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</si>
  <si>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</si>
  <si>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</si>
  <si>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</si>
  <si>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</si>
  <si>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</si>
  <si>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</si>
  <si>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</si>
  <si>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</si>
  <si>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</si>
  <si>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</si>
  <si>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</si>
  <si>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</si>
  <si>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</si>
  <si>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</si>
  <si>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</si>
  <si>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</si>
  <si>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</si>
  <si>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</si>
  <si>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</si>
  <si>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</si>
  <si>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</si>
  <si>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</si>
  <si>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</si>
  <si>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</si>
  <si>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</si>
  <si>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</si>
  <si>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</si>
  <si>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</si>
  <si>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</si>
  <si>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</si>
  <si>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</si>
  <si>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</si>
  <si>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</si>
  <si>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</si>
  <si>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</si>
  <si>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</si>
  <si>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</si>
  <si>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</si>
  <si>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</si>
  <si>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</si>
  <si>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</si>
  <si>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</si>
  <si>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</si>
  <si>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</si>
  <si>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</si>
  <si>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</si>
  <si>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</si>
  <si>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</si>
  <si>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</si>
  <si>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</si>
  <si>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</si>
  <si>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</si>
  <si>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</si>
  <si>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</si>
  <si>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</si>
  <si>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</si>
  <si>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</si>
  <si>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</si>
  <si>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</si>
  <si>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</si>
  <si>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</si>
  <si>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</si>
  <si>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</si>
  <si>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</si>
  <si>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</si>
  <si>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</si>
  <si>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</si>
  <si>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</si>
  <si>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</si>
  <si>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</si>
  <si>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</si>
  <si>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</si>
  <si>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</si>
  <si>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</si>
  <si>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</si>
  <si>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</si>
  <si>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</si>
  <si>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</si>
  <si>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</si>
  <si>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</si>
  <si>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</si>
  <si>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</si>
  <si>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</si>
  <si>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</si>
  <si>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</si>
  <si>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</si>
  <si>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</si>
  <si>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</si>
  <si>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</si>
  <si>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</si>
  <si>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</si>
  <si>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</si>
  <si>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</si>
  <si>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</si>
  <si>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</si>
  <si>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</si>
  <si>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</si>
  <si>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</si>
  <si>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</si>
  <si>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</si>
  <si>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</si>
  <si>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</si>
  <si>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</si>
  <si>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</si>
  <si>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</si>
  <si>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</si>
  <si>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</si>
  <si>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</si>
  <si>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</si>
  <si>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</si>
  <si>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</si>
  <si>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</si>
  <si>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</si>
  <si>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</si>
  <si>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</si>
  <si>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</si>
  <si>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</si>
  <si>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</si>
  <si>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</si>
  <si>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</si>
  <si>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</si>
  <si>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</si>
  <si>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</si>
  <si>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</si>
  <si>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</si>
  <si>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</si>
  <si>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</si>
  <si>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</si>
  <si>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</si>
  <si>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</si>
  <si>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</si>
  <si>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</si>
  <si>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</si>
  <si>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</si>
  <si>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</si>
  <si>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</si>
  <si>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</si>
  <si>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</si>
  <si>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</si>
  <si>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</si>
  <si>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</si>
  <si>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</si>
  <si>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</si>
  <si>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</si>
  <si>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</si>
  <si>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</si>
  <si>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</si>
  <si>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</si>
  <si>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</si>
  <si>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</si>
  <si>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</si>
  <si>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</si>
  <si>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</si>
  <si>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</si>
  <si>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</si>
  <si>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</si>
  <si>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</si>
  <si>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</si>
  <si>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</si>
  <si>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</si>
  <si>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</si>
  <si>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</si>
  <si>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</si>
  <si>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</si>
  <si>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</si>
  <si>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</si>
  <si>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</si>
  <si>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</si>
  <si>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</si>
  <si>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</si>
  <si>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</si>
  <si>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</si>
  <si>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</si>
  <si>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</si>
  <si>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</si>
  <si>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</si>
  <si>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</si>
  <si>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</si>
  <si>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</si>
  <si>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</si>
  <si>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</si>
  <si>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</si>
  <si>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</si>
  <si>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</si>
  <si>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</si>
  <si>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</si>
  <si>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</si>
  <si>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</si>
  <si>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</si>
  <si>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</si>
  <si>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</si>
  <si>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</si>
  <si>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</si>
  <si>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</si>
  <si>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</si>
  <si>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</si>
  <si>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</si>
  <si>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</si>
  <si>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</si>
  <si>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</si>
  <si>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</si>
  <si>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</si>
  <si>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</si>
  <si>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</si>
  <si>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</si>
  <si>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</si>
  <si>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</si>
  <si>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</si>
  <si>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</si>
  <si>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</si>
  <si>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</si>
  <si>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</si>
  <si>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</si>
  <si>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</si>
  <si>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</si>
  <si>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</si>
  <si>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</si>
  <si>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</si>
  <si>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</si>
  <si>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</si>
  <si>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</si>
  <si>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</si>
  <si>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</si>
  <si>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</si>
  <si>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</si>
  <si>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</si>
  <si>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</si>
  <si>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</si>
  <si>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</si>
  <si>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</si>
  <si>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</si>
  <si>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</si>
  <si>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</si>
  <si>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</si>
  <si>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</si>
  <si>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</si>
  <si>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</si>
  <si>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</si>
  <si>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</si>
  <si>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</si>
  <si>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</si>
  <si>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</si>
  <si>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</si>
  <si>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</si>
  <si>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</si>
  <si>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</si>
  <si>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</si>
  <si>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</si>
  <si>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</si>
  <si>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</si>
  <si>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</si>
  <si>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</si>
  <si>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</si>
  <si>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</si>
  <si>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</si>
  <si>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</si>
  <si>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</si>
  <si>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</si>
  <si>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</si>
  <si>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</si>
  <si>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</si>
  <si>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</si>
  <si>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</si>
  <si>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</si>
  <si>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</si>
  <si>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</si>
  <si>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</si>
  <si>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</si>
  <si>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</si>
  <si>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</si>
  <si>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</si>
  <si>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</si>
  <si>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</si>
  <si>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</si>
  <si>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</si>
  <si>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</si>
  <si>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</si>
  <si>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</si>
  <si>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</si>
  <si>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</si>
  <si>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</si>
  <si>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</si>
  <si>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</si>
  <si>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</si>
  <si>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</si>
  <si>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</si>
  <si>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</si>
  <si>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</si>
  <si>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</si>
  <si>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</si>
  <si>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</si>
  <si>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</si>
  <si>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</si>
  <si>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</si>
  <si>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</si>
  <si>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</si>
  <si>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</si>
  <si>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</si>
  <si>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</si>
  <si>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</si>
  <si>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</si>
  <si>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</si>
  <si>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</si>
  <si>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</si>
  <si>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</si>
  <si>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</si>
  <si>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</si>
  <si>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</si>
  <si>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</si>
  <si>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</si>
  <si>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</si>
  <si>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</si>
  <si>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</si>
  <si>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</si>
  <si>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</si>
  <si>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</si>
  <si>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</si>
  <si>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</si>
  <si>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</si>
  <si>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</si>
  <si>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</si>
  <si>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</si>
  <si>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</si>
  <si>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</si>
  <si>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</si>
  <si>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</si>
  <si>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</si>
  <si>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</si>
  <si>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</si>
  <si>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</si>
  <si>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</si>
  <si>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</si>
  <si>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</si>
  <si>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</si>
  <si>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</si>
  <si>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</si>
  <si>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</si>
  <si>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</si>
  <si>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</si>
  <si>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</si>
  <si>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</si>
  <si>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</si>
  <si>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</si>
  <si>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</si>
  <si>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</si>
  <si>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</si>
  <si>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</si>
  <si>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</si>
  <si>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</si>
  <si>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</si>
  <si>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</si>
  <si>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</si>
  <si>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</si>
  <si>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</si>
  <si>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</si>
  <si>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</si>
  <si>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</si>
  <si>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</si>
  <si>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</si>
  <si>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</si>
  <si>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</si>
  <si>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</si>
  <si>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</si>
  <si>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</si>
  <si>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</si>
  <si>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</si>
  <si>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</si>
  <si>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</si>
  <si>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</si>
  <si>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</si>
  <si>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</si>
  <si>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</si>
  <si>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</si>
  <si>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</si>
  <si>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</si>
  <si>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</si>
  <si>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</si>
  <si>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</si>
  <si>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</si>
  <si>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</si>
  <si>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</si>
  <si>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</si>
  <si>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</si>
  <si>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</si>
  <si>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</si>
  <si>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</si>
  <si>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</si>
  <si>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</si>
  <si>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</si>
  <si>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</si>
  <si>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</si>
  <si>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</si>
  <si>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</si>
  <si>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</si>
  <si>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</si>
  <si>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</si>
  <si>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</si>
  <si>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</si>
  <si>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</si>
  <si>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</si>
  <si>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</si>
  <si>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</si>
  <si>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</si>
  <si>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</si>
  <si>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</si>
  <si>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</si>
  <si>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</si>
  <si>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</si>
  <si>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</si>
  <si>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</si>
  <si>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</si>
  <si>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</si>
  <si>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</si>
  <si>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</si>
  <si>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</si>
  <si>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</si>
  <si>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</si>
  <si>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</si>
  <si>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</si>
  <si>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</si>
  <si>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</si>
  <si>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</si>
  <si>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</si>
  <si>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</si>
  <si>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</si>
  <si>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</si>
  <si>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</si>
  <si>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</si>
  <si>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</si>
  <si>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</si>
  <si>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</si>
  <si>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</si>
  <si>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</si>
  <si>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</si>
  <si>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</si>
  <si>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</si>
  <si>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</si>
  <si>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</si>
  <si>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</si>
  <si>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</si>
  <si>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</si>
  <si>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</si>
  <si>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</si>
  <si>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</si>
  <si>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</si>
  <si>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</si>
  <si>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</si>
  <si>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</si>
  <si>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</si>
  <si>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</si>
  <si>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</si>
  <si>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</si>
  <si>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</si>
  <si>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</si>
  <si>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</si>
  <si>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</si>
  <si>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</si>
  <si>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</si>
  <si>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</si>
  <si>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</si>
  <si>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</si>
  <si>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</si>
  <si>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</si>
  <si>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</si>
  <si>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</si>
  <si>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</si>
  <si>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</si>
  <si>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</si>
  <si>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</si>
  <si>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</si>
  <si>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</si>
  <si>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</si>
  <si>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</si>
  <si>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</si>
  <si>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</si>
  <si>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</si>
  <si>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</si>
  <si>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</si>
  <si>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</si>
  <si>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</si>
  <si>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</si>
  <si>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</si>
  <si>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</si>
  <si>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</si>
  <si>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</si>
  <si>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</si>
  <si>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</si>
  <si>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</si>
  <si>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</si>
  <si>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</si>
  <si>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</si>
  <si>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</si>
  <si>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</si>
  <si>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</si>
  <si>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</si>
  <si>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</si>
  <si>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</si>
  <si>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</si>
  <si>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</si>
  <si>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</si>
  <si>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</si>
  <si>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</si>
  <si>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</si>
  <si>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</si>
  <si>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</si>
  <si>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</si>
  <si>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</si>
  <si>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</si>
  <si>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</si>
  <si>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</si>
  <si>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</si>
  <si>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</si>
  <si>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</si>
  <si>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</si>
  <si>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</si>
  <si>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</si>
  <si>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</si>
  <si>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</si>
  <si>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</si>
  <si>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</si>
  <si>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</si>
  <si>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</si>
  <si>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</si>
  <si>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</si>
  <si>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</si>
  <si>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</si>
  <si>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</si>
  <si>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</si>
  <si>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</si>
  <si>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</si>
  <si>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</si>
  <si>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</si>
  <si>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</si>
  <si>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</si>
  <si>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</si>
  <si>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</si>
  <si>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</si>
  <si>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</si>
  <si>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</si>
  <si>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</si>
  <si>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</si>
  <si>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</si>
  <si>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</si>
  <si>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</si>
  <si>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</si>
  <si>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</si>
  <si>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</si>
  <si>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</si>
  <si>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</si>
  <si>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</si>
  <si>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</si>
  <si>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</si>
  <si>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</si>
  <si>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</si>
  <si>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</si>
  <si>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</si>
  <si>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</si>
  <si>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</si>
  <si>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</si>
  <si>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</si>
  <si>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</si>
  <si>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</si>
  <si>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</si>
  <si>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</si>
  <si>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</si>
  <si>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</si>
  <si>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</si>
  <si>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</si>
  <si>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</si>
  <si>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</si>
  <si>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</si>
  <si>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</si>
  <si>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</si>
  <si>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</si>
  <si>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</si>
  <si>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</si>
  <si>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</si>
  <si>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</si>
  <si>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</si>
  <si>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</si>
  <si>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</si>
  <si>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</si>
  <si>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</si>
  <si>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</si>
  <si>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</si>
  <si>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</si>
  <si>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</si>
  <si>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</si>
  <si>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</si>
  <si>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</si>
  <si>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</si>
  <si>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</si>
  <si>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</si>
  <si>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</si>
  <si>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</si>
  <si>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</si>
  <si>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</si>
  <si>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</si>
  <si>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</si>
  <si>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</si>
  <si>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</si>
  <si>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</si>
  <si>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</si>
  <si>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</si>
  <si>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</si>
  <si>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</si>
  <si>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</si>
  <si>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</si>
  <si>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</si>
  <si>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</si>
  <si>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</si>
  <si>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</si>
  <si>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</si>
  <si>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</si>
  <si>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</si>
  <si>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</si>
  <si>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</si>
  <si>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</si>
  <si>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</si>
  <si>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</si>
  <si>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</si>
  <si>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</si>
  <si>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</si>
  <si>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</si>
  <si>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</si>
  <si>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</si>
  <si>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</si>
  <si>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</si>
  <si>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</si>
  <si>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</si>
  <si>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</si>
  <si>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</si>
  <si>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</si>
  <si>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</si>
  <si>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</si>
  <si>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</si>
  <si>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</si>
  <si>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</si>
  <si>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</si>
  <si>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</si>
  <si>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</si>
  <si>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</si>
  <si>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</si>
  <si>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</si>
  <si>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</si>
  <si>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</si>
  <si>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</si>
  <si>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</si>
  <si>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</si>
  <si>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</si>
  <si>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</si>
  <si>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</si>
  <si>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</si>
  <si>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</si>
  <si>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</si>
  <si>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</si>
  <si>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</si>
  <si>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</si>
  <si>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</si>
  <si>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</si>
  <si>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</si>
  <si>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</si>
  <si>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</si>
  <si>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</si>
  <si>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</si>
  <si>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</si>
  <si>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</si>
  <si>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</si>
  <si>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</si>
  <si>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</si>
  <si>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</si>
  <si>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</si>
  <si>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</si>
  <si>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</si>
  <si>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</si>
  <si>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</si>
  <si>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</si>
  <si>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</si>
  <si>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</si>
  <si>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</si>
  <si>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</si>
  <si>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</si>
  <si>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</si>
  <si>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</si>
  <si>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</si>
  <si>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</si>
  <si>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</si>
  <si>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</si>
  <si>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</si>
  <si>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</si>
  <si>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</si>
  <si>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</si>
  <si>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</si>
  <si>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</si>
  <si>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</si>
  <si>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</si>
  <si>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</si>
  <si>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</si>
  <si>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</si>
  <si>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</si>
  <si>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</si>
  <si>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</si>
  <si>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</si>
  <si>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</si>
  <si>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</si>
  <si>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</si>
  <si>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</si>
  <si>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</si>
  <si>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</si>
  <si>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</si>
  <si>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</si>
  <si>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</si>
  <si>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</si>
  <si>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</si>
  <si>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</si>
  <si>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</si>
  <si>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</si>
  <si>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</si>
  <si>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</si>
  <si>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</si>
  <si>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</si>
  <si>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</si>
  <si>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</si>
  <si>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</si>
  <si>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</si>
  <si>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</si>
  <si>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</si>
  <si>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</si>
  <si>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</si>
  <si>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</si>
  <si>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</si>
  <si>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</si>
  <si>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</si>
  <si>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</si>
  <si>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</si>
  <si>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</si>
  <si>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</si>
  <si>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</si>
  <si>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</si>
  <si>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</si>
  <si>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</si>
  <si>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</si>
  <si>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</si>
  <si>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</si>
  <si>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</si>
  <si>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</si>
  <si>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</si>
  <si>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</si>
  <si>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</si>
  <si>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</si>
  <si>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</si>
  <si>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</si>
  <si>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</si>
  <si>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</si>
  <si>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</si>
  <si>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</si>
  <si>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</si>
  <si>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</si>
  <si>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</si>
  <si>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</si>
  <si>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</si>
  <si>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</si>
  <si>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</si>
  <si>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</si>
  <si>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</si>
  <si>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</si>
  <si>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</si>
  <si>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</si>
  <si>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</si>
  <si>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</si>
  <si>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</si>
  <si>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</si>
  <si>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</si>
  <si>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</si>
  <si>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</si>
  <si>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</si>
  <si>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</si>
  <si>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</si>
  <si>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</si>
  <si>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</si>
  <si>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</si>
  <si>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</si>
  <si>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</si>
  <si>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</si>
  <si>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</si>
  <si>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</si>
  <si>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</si>
  <si>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</si>
  <si>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</si>
  <si>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</si>
  <si>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</si>
  <si>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</si>
  <si>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</si>
  <si>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</si>
  <si>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</si>
  <si>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</si>
  <si>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</si>
  <si>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</si>
  <si>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</si>
  <si>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</si>
  <si>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</si>
  <si>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</si>
  <si>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</si>
  <si>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</si>
  <si>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</si>
  <si>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</si>
  <si>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</si>
  <si>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</si>
  <si>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</si>
  <si>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</si>
  <si>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</si>
  <si>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</si>
  <si>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</si>
  <si>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</si>
  <si>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</si>
  <si>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</si>
  <si>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</si>
  <si>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</si>
  <si>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</si>
  <si>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</si>
  <si>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</si>
  <si>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</si>
  <si>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</si>
  <si>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</si>
  <si>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</si>
  <si>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</si>
  <si>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</si>
  <si>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</si>
  <si>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</si>
  <si>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</si>
  <si>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</si>
  <si>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</si>
  <si>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</si>
  <si>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</si>
  <si>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</si>
  <si>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</si>
  <si>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</si>
  <si>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</si>
  <si>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</si>
  <si>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</si>
  <si>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</si>
  <si>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</si>
  <si>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</si>
  <si>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</si>
  <si>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</si>
  <si>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</si>
  <si>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</si>
  <si>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</si>
  <si>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</si>
  <si>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</si>
  <si>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</si>
  <si>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</si>
  <si>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</si>
  <si>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</si>
  <si>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</si>
  <si>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</si>
  <si>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</si>
  <si>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</si>
  <si>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</si>
  <si>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</si>
  <si>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</si>
  <si>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</si>
  <si>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</si>
  <si>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</si>
  <si>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</si>
  <si>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</si>
  <si>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</si>
  <si>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</si>
  <si>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</si>
  <si>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</si>
  <si>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</si>
  <si>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</si>
  <si>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</si>
  <si>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</si>
  <si>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</si>
  <si>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</si>
  <si>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</si>
  <si>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</si>
  <si>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</si>
  <si>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</si>
  <si>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</si>
  <si>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</si>
  <si>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</si>
  <si>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</si>
  <si>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</si>
  <si>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</si>
  <si>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</si>
  <si>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</si>
  <si>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</si>
  <si>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</si>
  <si>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</si>
  <si>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</si>
  <si>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</si>
  <si>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</si>
  <si>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</si>
  <si>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</si>
  <si>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</si>
  <si>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</si>
  <si>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</si>
  <si>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</si>
  <si>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</si>
  <si>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</si>
  <si>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</si>
  <si>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</si>
  <si>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</si>
  <si>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</si>
  <si>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</si>
  <si>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</si>
  <si>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</si>
  <si>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</si>
  <si>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</si>
  <si>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</si>
  <si>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</si>
  <si>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</si>
  <si>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</si>
  <si>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</si>
  <si>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</si>
  <si>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</si>
  <si>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</si>
  <si>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</si>
  <si>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</si>
  <si>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</si>
  <si>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</si>
  <si>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</si>
  <si>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</si>
  <si>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</si>
  <si>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</si>
  <si>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</si>
  <si>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</si>
  <si>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</si>
  <si>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</si>
  <si>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</si>
  <si>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</si>
  <si>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</si>
  <si>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</si>
  <si>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</si>
  <si>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</si>
  <si>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</si>
  <si>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</si>
  <si>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</si>
  <si>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</si>
  <si>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</si>
  <si>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</si>
  <si>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</si>
  <si>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</si>
  <si>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</si>
  <si>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</si>
  <si>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</si>
  <si>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</si>
  <si>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</si>
  <si>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</si>
  <si>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</si>
  <si>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</si>
  <si>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</si>
  <si>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</si>
  <si>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</si>
  <si>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</si>
  <si>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</si>
  <si>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</si>
  <si>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</si>
  <si>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</si>
  <si>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</si>
  <si>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</si>
  <si>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</si>
  <si>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</si>
  <si>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</si>
  <si>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</si>
  <si>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</si>
  <si>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</si>
  <si>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</si>
  <si>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</si>
  <si>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</si>
  <si>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</si>
  <si>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</si>
  <si>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</si>
  <si>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</si>
  <si>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</si>
  <si>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</si>
  <si>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</si>
  <si>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</si>
  <si>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</si>
  <si>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</si>
  <si>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</si>
  <si>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</si>
  <si>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</si>
  <si>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</si>
  <si>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</si>
  <si>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</si>
  <si>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</si>
  <si>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</si>
  <si>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</si>
  <si>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</si>
  <si>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</si>
  <si>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</si>
  <si>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</si>
  <si>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</si>
  <si>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</si>
  <si>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</si>
  <si>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</si>
  <si>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</si>
  <si>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</si>
  <si>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</si>
  <si>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</si>
  <si>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</si>
  <si>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</si>
  <si>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</si>
  <si>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</si>
  <si>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</si>
  <si>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</si>
  <si>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</si>
  <si>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</si>
  <si>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</si>
  <si>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</si>
  <si>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</si>
  <si>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</si>
  <si>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</si>
  <si>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</si>
  <si>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</si>
  <si>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</si>
  <si>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</si>
  <si>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</si>
  <si>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</si>
  <si>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</si>
  <si>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</si>
  <si>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</si>
  <si>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</si>
  <si>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</si>
  <si>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</si>
  <si>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</si>
  <si>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</si>
  <si>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</si>
  <si>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</si>
  <si>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</si>
  <si>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</si>
  <si>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</si>
  <si>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</si>
  <si>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</si>
  <si>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</si>
  <si>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</si>
  <si>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</si>
  <si>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</si>
  <si>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</si>
  <si>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</si>
  <si>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</si>
  <si>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</si>
  <si>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</si>
  <si>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</si>
  <si>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</si>
  <si>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</si>
  <si>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</si>
  <si>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</si>
  <si>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</si>
  <si>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</si>
  <si>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</si>
  <si>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</si>
  <si>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</si>
  <si>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</si>
  <si>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</si>
  <si>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</si>
  <si>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</si>
  <si>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</si>
  <si>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</si>
  <si>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</si>
  <si>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</si>
  <si>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</si>
  <si>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</si>
  <si>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</si>
  <si>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</si>
  <si>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</si>
  <si>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</si>
  <si>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</si>
  <si>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</si>
  <si>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</si>
  <si>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</si>
  <si>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</si>
  <si>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</si>
  <si>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</si>
  <si>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</si>
  <si>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</si>
  <si>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</si>
  <si>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</si>
  <si>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</si>
  <si>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</si>
  <si>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</si>
  <si>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</si>
  <si>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</si>
  <si>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</si>
  <si>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</si>
  <si>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</si>
  <si>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</si>
  <si>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</si>
  <si>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</si>
  <si>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</si>
  <si>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</si>
  <si>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</si>
  <si>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</si>
  <si>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</si>
  <si>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</si>
  <si>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</si>
  <si>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</si>
  <si>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</si>
  <si>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</si>
  <si>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</si>
  <si>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</si>
  <si>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</si>
  <si>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</si>
  <si>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</si>
  <si>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</si>
  <si>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</si>
  <si>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</si>
  <si>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</si>
  <si>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</si>
  <si>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</si>
  <si>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</si>
  <si>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</si>
  <si>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</si>
  <si>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</si>
  <si>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</si>
  <si>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</si>
  <si>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</si>
  <si>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</si>
  <si>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</si>
  <si>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</si>
  <si>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</si>
  <si>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</si>
  <si>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</si>
  <si>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</si>
  <si>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</si>
  <si>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</si>
  <si>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</si>
  <si>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</si>
  <si>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</si>
  <si>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</si>
  <si>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</si>
  <si>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</si>
  <si>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</si>
  <si>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</si>
  <si>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</si>
  <si>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</si>
  <si>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</si>
  <si>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</si>
  <si>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</si>
  <si>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</si>
  <si>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</si>
  <si>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</si>
  <si>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</si>
  <si>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</si>
  <si>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</si>
  <si>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</si>
  <si>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</si>
  <si>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</si>
  <si>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</si>
  <si>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</si>
  <si>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</si>
  <si>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</si>
  <si>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</si>
  <si>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</si>
  <si>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</si>
  <si>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</si>
  <si>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</si>
  <si>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</si>
  <si>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</si>
  <si>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</si>
  <si>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</si>
  <si>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</si>
  <si>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</si>
  <si>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</si>
  <si>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</si>
  <si>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</si>
  <si>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</si>
  <si>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</si>
  <si>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</si>
  <si>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</si>
  <si>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</si>
  <si>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</si>
  <si>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</si>
  <si>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</si>
  <si>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</si>
  <si>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</si>
  <si>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</si>
  <si>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</si>
  <si>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</si>
  <si>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</si>
  <si>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</si>
  <si>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</si>
  <si>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</si>
  <si>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</si>
  <si>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</si>
  <si>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</si>
  <si>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</si>
  <si>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</si>
  <si>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</si>
  <si>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</si>
  <si>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</si>
  <si>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</si>
  <si>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</si>
  <si>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</si>
  <si>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</si>
  <si>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</si>
  <si>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</si>
  <si>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</si>
  <si>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</si>
  <si>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</si>
  <si>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</si>
  <si>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</si>
  <si>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</si>
  <si>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</si>
  <si>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</si>
  <si>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</si>
  <si>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</si>
  <si>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</si>
  <si>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</si>
  <si>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</si>
  <si>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</si>
  <si>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</si>
  <si>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</si>
  <si>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</si>
  <si>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</si>
  <si>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</si>
  <si>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</si>
  <si>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</si>
  <si>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</si>
  <si>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</si>
  <si>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</si>
  <si>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</si>
  <si>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</si>
  <si>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</si>
  <si>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</si>
  <si>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</si>
  <si>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</si>
  <si>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</si>
  <si>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</si>
  <si>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</si>
  <si>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</si>
  <si>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</si>
  <si>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</si>
  <si>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</si>
  <si>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</si>
  <si>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</si>
  <si>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</si>
  <si>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</si>
  <si>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</si>
  <si>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</si>
  <si>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</si>
  <si>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</si>
  <si>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</si>
  <si>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</si>
  <si>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</si>
  <si>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</si>
  <si>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</si>
  <si>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</si>
  <si>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</si>
  <si>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</si>
  <si>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</si>
  <si>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</si>
  <si>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</si>
  <si>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</si>
  <si>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</si>
  <si>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</si>
  <si>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</si>
  <si>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</si>
  <si>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</si>
  <si>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</si>
  <si>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</si>
  <si>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</si>
  <si>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</si>
  <si>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</si>
  <si>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</si>
  <si>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</si>
  <si>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</si>
  <si>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</si>
  <si>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</si>
  <si>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</si>
  <si>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</si>
  <si>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</si>
  <si>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</si>
  <si>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</si>
  <si>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</si>
  <si>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</si>
  <si>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</si>
  <si>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</si>
  <si>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</si>
  <si>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</si>
  <si>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</si>
  <si>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</si>
  <si>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</si>
  <si>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</si>
  <si>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</si>
  <si>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</si>
  <si>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</si>
  <si>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</si>
  <si>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</si>
  <si>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</si>
  <si>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</si>
  <si>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</si>
  <si>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</si>
  <si>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</si>
  <si>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</si>
  <si>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</si>
  <si>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</si>
  <si>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</si>
  <si>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</si>
  <si>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</si>
  <si>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</si>
  <si>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</si>
  <si>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</si>
  <si>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</si>
  <si>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</si>
  <si>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</si>
  <si>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</si>
  <si>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</si>
  <si>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</si>
  <si>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</si>
  <si>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</si>
  <si>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</si>
  <si>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</si>
  <si>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</si>
  <si>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</si>
  <si>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</si>
  <si>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</si>
  <si>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</si>
  <si>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</si>
  <si>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</si>
  <si>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</si>
  <si>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</si>
  <si>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</si>
  <si>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</si>
  <si>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</si>
  <si>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</si>
  <si>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</si>
  <si>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</si>
  <si>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</si>
  <si>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</si>
  <si>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</si>
  <si>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</si>
  <si>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</si>
  <si>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</si>
  <si>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</si>
  <si>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</si>
  <si>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</si>
  <si>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</si>
  <si>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</si>
  <si>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</si>
  <si>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</si>
  <si>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</si>
  <si>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</si>
  <si>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</si>
  <si>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</si>
  <si>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</si>
  <si>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</si>
  <si>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</si>
  <si>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</si>
  <si>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</si>
  <si>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</si>
  <si>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</si>
  <si>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</si>
  <si>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</si>
  <si>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</si>
  <si>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</si>
  <si>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</si>
  <si>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</si>
  <si>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</si>
  <si>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</si>
  <si>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</si>
  <si>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</si>
  <si>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</si>
  <si>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</si>
  <si>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</si>
  <si>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</si>
  <si>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</si>
  <si>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</si>
  <si>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</si>
  <si>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</si>
  <si>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</si>
  <si>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</si>
  <si>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</si>
  <si>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</si>
  <si>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</si>
  <si>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</si>
  <si>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</si>
  <si>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</si>
  <si>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</si>
  <si>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</si>
  <si>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</si>
  <si>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</si>
  <si>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</si>
  <si>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</si>
  <si>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</si>
  <si>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</si>
  <si>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</si>
  <si>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</si>
  <si>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</si>
  <si>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</si>
  <si>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</si>
  <si>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</si>
  <si>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</si>
  <si>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</si>
  <si>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</si>
  <si>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</si>
  <si>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</si>
  <si>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</si>
  <si>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</si>
  <si>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</si>
  <si>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</si>
  <si>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</si>
  <si>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</si>
  <si>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</si>
  <si>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</si>
  <si>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</si>
  <si>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</si>
  <si>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</si>
  <si>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</si>
  <si>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</si>
  <si>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</si>
  <si>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</si>
  <si>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</si>
  <si>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</si>
  <si>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</si>
  <si>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</si>
  <si>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</si>
  <si>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</si>
  <si>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</si>
  <si>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</si>
  <si>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</si>
  <si>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</si>
  <si>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</si>
  <si>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</si>
  <si>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</si>
  <si>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</si>
  <si>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</si>
  <si>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</si>
  <si>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</si>
  <si>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</si>
  <si>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</si>
  <si>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</si>
  <si>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</si>
  <si>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</si>
  <si>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</si>
  <si>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</si>
  <si>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</si>
  <si>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</si>
  <si>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</si>
  <si>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</si>
  <si>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</si>
  <si>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</si>
  <si>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</si>
  <si>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</si>
  <si>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</si>
  <si>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</si>
  <si>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</si>
  <si>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</si>
  <si>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</si>
  <si>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</si>
  <si>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</si>
  <si>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</si>
  <si>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</si>
  <si>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</si>
  <si>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</si>
  <si>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</si>
  <si>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</si>
  <si>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</si>
  <si>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</si>
  <si>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</si>
  <si>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</si>
  <si>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</si>
  <si>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</si>
  <si>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</si>
  <si>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</si>
  <si>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</si>
  <si>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</si>
  <si>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</si>
  <si>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</si>
  <si>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</si>
  <si>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</si>
  <si>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</si>
  <si>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</si>
  <si>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</si>
  <si>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</si>
  <si>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</si>
  <si>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</si>
  <si>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</si>
  <si>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</si>
  <si>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</si>
  <si>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刘梅</t>
  </si>
  <si>
    <t>吴薇</t>
  </si>
  <si>
    <t>融创</t>
    <phoneticPr fontId="6" type="noConversion"/>
  </si>
  <si>
    <t>浙金信托</t>
    <phoneticPr fontId="6" type="noConversion"/>
  </si>
  <si>
    <t>抵押</t>
  </si>
  <si>
    <t>其他：</t>
  </si>
  <si>
    <t>企业</t>
  </si>
  <si>
    <t>一致</t>
  </si>
  <si>
    <t>出让</t>
  </si>
  <si>
    <t>居住项目</t>
  </si>
  <si>
    <t>无</t>
  </si>
  <si>
    <t>场地平整</t>
  </si>
  <si>
    <t>5#</t>
    <phoneticPr fontId="3" type="noConversion"/>
  </si>
  <si>
    <t>地上</t>
  </si>
  <si>
    <t>叠拼</t>
  </si>
  <si>
    <t>地下</t>
  </si>
  <si>
    <t>车库</t>
  </si>
  <si>
    <t>仓储</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</si>
  <si>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</si>
  <si>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</si>
  <si>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</si>
  <si>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</si>
  <si>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</si>
  <si>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</si>
  <si>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</si>
  <si>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</si>
  <si>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</si>
  <si>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</si>
  <si>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</si>
  <si>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</si>
  <si>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溢价率</t>
  </si>
  <si>
    <t>受让单位</t>
  </si>
  <si>
    <t>临潼区悦椿东路以南、芷阳三路以东、骊山大道以北</t>
  </si>
  <si>
    <t>西安市</t>
  </si>
  <si>
    <t>住宅用地</t>
  </si>
  <si>
    <t>＞1且≤1.5</t>
  </si>
  <si>
    <t>拍卖</t>
  </si>
  <si>
    <t>2017-12-28</t>
  </si>
  <si>
    <t>西安悦诚置业有限公司</t>
  </si>
  <si>
    <t>临潼区陕鼓路以南、代王街办山任村以北</t>
  </si>
  <si>
    <t>＞1且≤1.4</t>
  </si>
  <si>
    <t>挂牌</t>
  </si>
  <si>
    <t>2017-12-01</t>
  </si>
  <si>
    <t>西安荣盛健康旅游发展有限公司</t>
  </si>
  <si>
    <t>临潼区行者街道办事处辖区,东临六号路、西临四号路、南临五号路、北临规划路</t>
  </si>
  <si>
    <t>＞1且≤2.5</t>
  </si>
  <si>
    <t>2017-10-23</t>
  </si>
  <si>
    <t>陕西基煜实业有限公司</t>
  </si>
  <si>
    <t>骊山大道以北、凤凰池东路以南、芷阳五路以东、芷阳四路以西</t>
  </si>
  <si>
    <t>≥1且≤1.5</t>
  </si>
  <si>
    <t>2017-07-12</t>
  </si>
  <si>
    <t>西安新城万嘉房地产开发有限公司</t>
  </si>
  <si>
    <t>耀启发展有限公司</t>
  </si>
  <si>
    <t>中海地产集团有限公司</t>
  </si>
  <si>
    <t>临潼区凤凰大道以南、凤凰池东路以北、芷阳五路以东</t>
  </si>
  <si>
    <t>2016-08-31</t>
  </si>
  <si>
    <t>绿地集团西安璟潼置业有限公司</t>
  </si>
  <si>
    <t>临潼区骊山大道以北、芷阳三路以东、悦椿东路以南</t>
  </si>
  <si>
    <t>2016-08-10</t>
  </si>
  <si>
    <t>临潼区骊山街道办姜寨村辖区,东邻化肥研究所、西临经二路、南临姜寨北路、北临东站路</t>
  </si>
  <si>
    <t>＞1且≤3.4</t>
  </si>
  <si>
    <t>2016-02-02</t>
  </si>
  <si>
    <t>陕西德杰房地产开发有限公司</t>
  </si>
  <si>
    <t>＞1且≤4.08</t>
  </si>
  <si>
    <t>＞1且≤4.63</t>
  </si>
  <si>
    <t>＞1且≤4.38</t>
  </si>
  <si>
    <t>临潼区斜口街道秦汉大道南侧、新区三号路东侧</t>
  </si>
  <si>
    <t>综合用地(含住宅)</t>
  </si>
  <si>
    <t>≤4.57</t>
  </si>
  <si>
    <t>2015-08-28</t>
  </si>
  <si>
    <t>西安万鹏房地产开发有限公司</t>
  </si>
  <si>
    <t>西安市临潼区凤凰大道以南、芷阳四路以西、芷阳五路以东</t>
  </si>
  <si>
    <t>≥1.2,≤1.6</t>
  </si>
  <si>
    <t>2015-08-13</t>
  </si>
  <si>
    <t>西安曲江大明宫置业有限公司</t>
  </si>
  <si>
    <t>西安曲江临潼国家旅游休闲度假区凤凰大道以南</t>
  </si>
  <si>
    <t>≥1、≤1.6</t>
  </si>
  <si>
    <t>2014-07-14</t>
  </si>
  <si>
    <t>西安曲江临潼国家旅游休闲度假区凤凰大道以南、西安工程大学以西</t>
  </si>
  <si>
    <t>≥1、≤1.71</t>
  </si>
  <si>
    <t>2014-05-20</t>
  </si>
  <si>
    <t>西安乐郡投资置业有限公司</t>
  </si>
  <si>
    <t>临潼区行者街道办事处,文化西路南支线西侧、三里河以东</t>
  </si>
  <si>
    <t>＞1、≤3.5</t>
  </si>
  <si>
    <t>2014-05-06</t>
  </si>
  <si>
    <t>陕西诚林置业有限责任公司</t>
  </si>
  <si>
    <t>临潼区骊山街道办事处秦陵北路南侧</t>
  </si>
  <si>
    <t>2014-04-09</t>
  </si>
  <si>
    <t>陕西生力置业集团有限公司</t>
  </si>
  <si>
    <t>＞1、≤3.46</t>
  </si>
  <si>
    <t>临潼区骊山街道办事处,东关正街以北</t>
  </si>
  <si>
    <t>＞1、≤4.88</t>
  </si>
  <si>
    <t>陕西云飞房地产开发有限公司</t>
  </si>
  <si>
    <t>临潼区姜寨路西侧、健康北路东侧、文化西路以南</t>
  </si>
  <si>
    <t>2014-02-21</t>
  </si>
  <si>
    <t>陕西瑞麟置业有限公司</t>
  </si>
  <si>
    <t>临潼区秦汉大道以北、新区四号路以西、新区二号路以东</t>
  </si>
  <si>
    <t>＞1、≤2.63</t>
  </si>
  <si>
    <t>2014-01-27</t>
  </si>
  <si>
    <t>西安福尚实业有限公司</t>
  </si>
  <si>
    <t>临潼区凤凰大道以南、芷阳四路以西</t>
  </si>
  <si>
    <t>≥1、≤1.96</t>
  </si>
  <si>
    <t>2014-01-10</t>
  </si>
  <si>
    <t>临潼区姜白路以东、规划路以北、白庙村以西</t>
  </si>
  <si>
    <t>lt1-(99)-369-1:不大于2.79;lt1-(99)-369-2:不大于1.52;lt1-(99)-369-3:不大于0.48</t>
  </si>
  <si>
    <t>中金(西安)投资开发有限公司</t>
  </si>
  <si>
    <t>临潼区西关正街以北、文化路西延伸段</t>
  </si>
  <si>
    <t>＞1、≤4.3</t>
  </si>
  <si>
    <t>2013-12-19</t>
  </si>
  <si>
    <t>＞1、≤3.6</t>
  </si>
  <si>
    <t>临潼区行者街办辖区,行者街办小寨村园地以西、自来水工程加压站以东、人民路北支线以北</t>
  </si>
  <si>
    <t>＞1、≤3.49</t>
  </si>
  <si>
    <t>2013-08-02</t>
  </si>
  <si>
    <t>西安潼鑫房地产开发有限公司</t>
  </si>
  <si>
    <t>临潼区凤凰大道路以南、规划路以东、芷阳三路以西</t>
  </si>
  <si>
    <t>不大于1.7不小于1.0</t>
  </si>
  <si>
    <t>2012-12-28</t>
  </si>
  <si>
    <t>西安普祥房地产开发有限公司</t>
  </si>
  <si>
    <t>临潼区凤凰大道路以南、规划路以西、芷阳三路以东</t>
  </si>
  <si>
    <t>不大于1.8不小于1.0</t>
  </si>
  <si>
    <t>临潼区新区二号路以东、秦汉大道以北、新区四号路以西</t>
  </si>
  <si>
    <t>lt1-(99)-372-1不大于3.1,lt1-(99)-372-2不大于2.63</t>
  </si>
  <si>
    <t>2012-12-14</t>
  </si>
  <si>
    <t>临潼区行者街办辖区,东邻行者街办庙王村、南临铁路用地、西临道路</t>
  </si>
  <si>
    <t>≤2.38</t>
  </si>
  <si>
    <t>2012-04-24</t>
  </si>
  <si>
    <t>西安临潼区房地产开发公司</t>
  </si>
  <si>
    <t>临潼区车站路以北地块</t>
  </si>
  <si>
    <t>不大于2.15</t>
  </si>
  <si>
    <t>2011-09-29</t>
  </si>
  <si>
    <t>北京宏源京辉投资有限公司</t>
  </si>
  <si>
    <t>人民路东路南侧,东至道路,西、南分别至中国航空工业第一集团公司西安飞机设计究所用地,北至人民东路地块</t>
  </si>
  <si>
    <t>不大于2.82</t>
  </si>
  <si>
    <t>2011-08-03</t>
  </si>
  <si>
    <t>西安嘉华新渠湾置业有限公司</t>
  </si>
  <si>
    <t>临潼区秦陵街办党校路9号</t>
  </si>
  <si>
    <t>2011-06-24</t>
  </si>
  <si>
    <t>西安市广航置业有限公司</t>
  </si>
  <si>
    <t>临潼区骊山街道办事处辖区地块</t>
  </si>
  <si>
    <t>不大于2.1</t>
  </si>
  <si>
    <t>2010-06-30</t>
  </si>
  <si>
    <t>陕西大元置业投资有限公司</t>
  </si>
  <si>
    <t>临潼区骊山街道办事处境内,东临108国道、西邻LT1-(4)-17号宗地、北临党校路、南邻五里河</t>
  </si>
  <si>
    <t>≤3.22</t>
  </si>
  <si>
    <t>2010-04-29</t>
  </si>
  <si>
    <t>西安市富洋置业有限责任公司</t>
  </si>
  <si>
    <t>临潼区骊山街道办事处境内</t>
  </si>
  <si>
    <t>不大于3.1</t>
  </si>
  <si>
    <t>2010-03-10</t>
  </si>
  <si>
    <t>西安市临潼区经济技术开发公司</t>
  </si>
  <si>
    <t>临潼区骊山街道办事处境内,南邻临潼区骊山街办陈沟村北程组,东邻临潼区骊山街办陈沟村北程组,西临规划路</t>
  </si>
  <si>
    <t>西安汇豪置业有限公司</t>
  </si>
  <si>
    <t>临潼区骊山街道办事处境内,东邻陈沟村上朱组和村道,南临西二环路,西临村道</t>
  </si>
  <si>
    <t>不大于2.7</t>
  </si>
  <si>
    <t>西安美居置地房地产开发有限公司</t>
  </si>
  <si>
    <t>临潼区骊山街道办事处境内,东临道路、西邻桃园小区、北邻骊山街办陈沟村郭庄组、南邻临潼区社会福利厂</t>
  </si>
  <si>
    <t>不大于4.11</t>
  </si>
  <si>
    <t>东邻陕西奥悦房地产开发有限公司,南邻临潼区行者街办小寨村建设用地,西邻临潼区燃气有限责任公司,北临文化西路</t>
  </si>
  <si>
    <t>≤6.0</t>
  </si>
  <si>
    <t>2009-10-29</t>
  </si>
  <si>
    <t>西安久远置业有限公司</t>
  </si>
  <si>
    <t>正常</t>
  </si>
  <si>
    <t>住宅</t>
    <phoneticPr fontId="26" type="noConversion"/>
  </si>
  <si>
    <t>单位面积地价</t>
  </si>
  <si>
    <t>钢混</t>
  </si>
  <si>
    <t>否</t>
  </si>
  <si>
    <t>西安市人民政府办公厅转发市财政局</t>
  </si>
  <si>
    <t>市物价局市建委关于征收城市基础设施</t>
  </si>
  <si>
    <t>配套费有关问题的意见的通知</t>
  </si>
  <si>
    <t>市政办发〔2013〕31号</t>
  </si>
  <si>
    <t>地下仓储</t>
  </si>
  <si>
    <t>不动产收益法仓储</t>
    <phoneticPr fontId="14" type="noConversion"/>
  </si>
  <si>
    <t>不动产收益法车库</t>
  </si>
  <si>
    <t>不动产收益法车库</t>
    <phoneticPr fontId="14" type="noConversion"/>
  </si>
  <si>
    <t>住宅</t>
    <phoneticPr fontId="21" type="noConversion"/>
  </si>
  <si>
    <t>60-70（含）</t>
  </si>
  <si>
    <t>售价</t>
  </si>
  <si>
    <t>已部分缴纳</t>
  </si>
  <si>
    <t>项目局部</t>
  </si>
  <si>
    <t>土地</t>
  </si>
  <si>
    <t>比较法-住宅、综合</t>
  </si>
  <si>
    <t>剩余法-待开发</t>
  </si>
  <si>
    <t>一、西安市土地使用税最新标准
1、城区土地等级税额标准
一等地区：(27元/平方米、年)东、西、南、北大街、解放路、和平路临街两侧区域。
二等地区：(24元/平方米、年)一环路以内一等地区以外其他地区(含一环路临街两侧区域)。
三等地区：(20元/平方米、年)高新技术产业开发区(不含长安科技园区)、经济技术产业开发区
(不含草滩生态园区、泾渭工业园区)、曲江新区、莲湖科技产业园所辖区域及与区内区外临街两侧区域，长安路临街两侧区域(南门至电视塔以北，不含电视塔);小寨东西路临街两侧区域(大雁塔十字以西至吉祥村十字以东);二环路以内一、二等地区以外其他区域(含二环路两侧临街区域)。
四等地区：(16元/平方米、年)三环路以内一、二、三等地区以外其他区域(含三环路临街两侧
区域)、草滩生态园区、长安科技园及拓展区、浐灞生态园区集中治理区。
五等地区：(10元/平方米、年)本市城六区(新城区、碑林区、莲湖区、雁塔区、灞桥区、未央
区)所辖一、二、三、四等地区以外其他区域。
2、环山公路沿线土地等级税额标准
一等地区：(16元/平方米、年)环山公路以南区域。
二等地区：(12元/平方米、年)环山公路以北两公里范围内区域。
西安市区范围城镇土地使用税调整：城区一等地区(27元/平方米·年);二等地区(24
元/平方米·年)维持不变;城区三等地区(20元/平方米·年)暂按14元/平方米·年;四等地区(16元/平方米·年)暂按9元/平方米·年;五等地区及长安区一等地区(10元/平方米·年)暂按6元/平方米·年执行;环山路以南及以北两公里以内16元/平方米·年和12元/平方米·年，分别暂按9元/平方米·年和6元/平方米·年执行。
3、阎良区土地等级税额标准
一等地区：(6元/平方米、年)区政府所在地(凤凰路街道办、新华路街道办辖区关中环线以南
地区)、阎良区经济开发区、西安阎良国家航空高技术产业基地
二等地区：(4元/平方米、年)凤凰路街道办、新华路街道办辖区关中环线以北地区;北屯、振
兴、新兴街道办政府所在地;关山、武屯镇政府所在地
三等地区：(2元/平方米、年)一、二等地区以外的其他地区
4、长安区土地等级税额标准
一等地区：(10元/平方米、年)韦曲镇、郭杜镇辖区、西安国家民用航天产业基地
二等地区：(4元/平方米、年) 王寺镇、引镇、滦镇、东大镇、太乙镇、杜曲镇、斗门镇、子午镇、
细柳镇、王曲镇、鸣犊镇、马王镇、黄良乡、五台乡、五星乡、兴隆乡辖区
三等地区: (2元/平方米、年)灵沼乡、大兆乡、王莽乡、高桥乡、杨庄乡、魏寨乡、炮里乡辖区
及其他地区
5、临潼区土地等级税额标准
一等地区: (6元/平方米、年)区政府所在地(骊山街办)和秦陵街办辖区 二等地区: (4元/平方米、年)新丰、代王、斜口、西泉、行者街办辖区三等地区: (2元/平方米、年)其他街办和乡镇辖区，非城镇工矿区
6、户县土地等级税额标准
一等地区：(5元/平方米、年)县政府所在地 二等地区：(3元/平方米、年) 余下镇政府所在地
三等地区：(2元/平方米、年) 机场工矿区、石井镇、庞光镇、草堂镇、秦渡镇、大王镇、涝店镇、
祖庵镇、蒋村镇、甘河镇镇政府所在地，涝峪旅游区管委会、太平旅游区管委会所在地及沣京工业园区(以工业园区域划分为准)及其他镇政府所在地
7、高陵县土地等级税额标准
一等地区：(5元/平方米、年)县政府所在地
二等地区：(4元/平方米、年) 西安泾河工业园区、西安泾渭工业园区 三等地区：(2元/平方米、年) 耿镇镇、通远镇及其他镇政府所在地
根据相关政策，西安市土地使用税最新标准规定如上，按照土地类型的不同，所要缴纳的土地使用税的多少也是不一样的。在缴纳土地使用税的时候首先确认需要缴纳的土地类型，然后按照相关规定缴纳即可，如果不清楚土地类型的话可以到当地的土地管理部门咨询应该缴纳的类型以及缴纳的金额。</t>
    <phoneticPr fontId="233" type="noConversion"/>
  </si>
  <si>
    <t>《关于调整城市基础设施配套费征收标准有关问题的意见》主城区范围(新城区、碑林区、莲湖区、雁塔区、灞桥区、未央区、长安区、高新区、经开区、曲江新区、浐灞生态区、航天基地、国际港务区以及西咸新区西安行政辖区)内的项目，按每平方米240元计征，其中每平方米90元为地铁专项配套费。阎良区、临潼区、户县、航空基地城市规划区范围内的项目，按每平方米150元计征，其中每平方米50元用于小城镇建设。</t>
    <phoneticPr fontId="233" type="noConversion"/>
  </si>
  <si>
    <t>A</t>
    <phoneticPr fontId="233" type="noConversion"/>
  </si>
  <si>
    <t>B</t>
    <phoneticPr fontId="233" type="noConversion"/>
  </si>
  <si>
    <t>C</t>
    <phoneticPr fontId="233" type="noConversion"/>
  </si>
  <si>
    <t>一般</t>
  </si>
  <si>
    <t>骊山新家园、骊山下的院子，一般</t>
    <phoneticPr fontId="26" type="noConversion"/>
  </si>
  <si>
    <t>多为社区配套商业，一般</t>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</si>
  <si>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</si>
  <si>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</si>
  <si>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t>较一致</t>
    <phoneticPr fontId="26" type="noConversion"/>
  </si>
  <si>
    <t>贾平凹文化艺术馆、鹦鹉寺公园、西安工程大学、北京大学光华管理学院西安分院，较好</t>
    <phoneticPr fontId="26" type="noConversion"/>
  </si>
  <si>
    <t>贾平凹文化艺术馆、鹦鹉寺公园、西安工程大学、北京大学光华管理学院西安分院，较好</t>
    <phoneticPr fontId="26" type="noConversion"/>
  </si>
  <si>
    <t>七通</t>
  </si>
  <si>
    <t>较规则</t>
    <phoneticPr fontId="26" type="noConversion"/>
  </si>
  <si>
    <t>较适宜</t>
    <phoneticPr fontId="26" type="noConversion"/>
  </si>
  <si>
    <t>三通</t>
    <phoneticPr fontId="26" type="noConversion"/>
  </si>
  <si>
    <t>较好</t>
    <phoneticPr fontId="26" type="noConversion"/>
  </si>
  <si>
    <r>
      <rPr>
        <sz val="11"/>
        <color indexed="8"/>
        <rFont val="宋体"/>
        <family val="3"/>
        <charset val="134"/>
      </rPr>
      <t>住宅</t>
    </r>
    <r>
      <rPr>
        <sz val="11"/>
        <color indexed="8"/>
        <rFont val="Arial"/>
        <family val="2"/>
      </rPr>
      <t>68.2</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</si>
  <si>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</si>
  <si>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</si>
  <si>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较差</t>
    <phoneticPr fontId="26" type="noConversion"/>
  </si>
  <si>
    <t>贾平凹文化艺术馆、鹦鹉寺公园、西安工程大学、北京大学光华管理学院西安分院，较好</t>
    <phoneticPr fontId="3" type="noConversion"/>
  </si>
  <si>
    <t>骊山新家园、骊山下的院子，一般</t>
    <phoneticPr fontId="26" type="noConversion"/>
  </si>
  <si>
    <t>骊山新家园、骊山下的院子，一般</t>
    <phoneticPr fontId="3" type="noConversion"/>
  </si>
  <si>
    <t>临支路，1公里内无公共交通，较差</t>
    <phoneticPr fontId="3" type="noConversion"/>
  </si>
  <si>
    <t>估价对象所在区域基础设施水平七通</t>
    <phoneticPr fontId="3" type="noConversion"/>
  </si>
  <si>
    <t>估价对象所在区域公共配套设施齐备情况一般</t>
    <phoneticPr fontId="3" type="noConversion"/>
  </si>
  <si>
    <t>支路——芷阳二路</t>
    <phoneticPr fontId="21" type="noConversion"/>
  </si>
  <si>
    <t>较一致</t>
    <phoneticPr fontId="21" type="noConversion"/>
  </si>
  <si>
    <t>抵押价格</t>
  </si>
  <si>
    <t>中海阅骊山</t>
    <phoneticPr fontId="3" type="noConversion"/>
  </si>
  <si>
    <t>银河湾御泉72坊</t>
    <phoneticPr fontId="3" type="noConversion"/>
  </si>
  <si>
    <t>高陵区泾河工业园陕汽大道1号</t>
    <phoneticPr fontId="3" type="noConversion"/>
  </si>
  <si>
    <t>临潼区凤凰池东路和芷阳五路东南角</t>
    <phoneticPr fontId="3" type="noConversion"/>
  </si>
  <si>
    <t>新城玺樾骊府</t>
    <phoneticPr fontId="3" type="noConversion"/>
  </si>
  <si>
    <t>临潼区凤凰池东路与芷阳四路十字交汇处西南角</t>
    <phoneticPr fontId="3" type="noConversion"/>
  </si>
  <si>
    <t>较差</t>
  </si>
  <si>
    <t>较好</t>
  </si>
  <si>
    <t>独栋</t>
    <phoneticPr fontId="21" type="noConversion"/>
  </si>
  <si>
    <t>联排</t>
  </si>
  <si>
    <t>联排</t>
    <phoneticPr fontId="21" type="noConversion"/>
  </si>
  <si>
    <t>叠拼</t>
    <phoneticPr fontId="21" type="noConversion"/>
  </si>
  <si>
    <t>钢混</t>
    <phoneticPr fontId="21" type="noConversion"/>
  </si>
  <si>
    <t>砖混</t>
    <phoneticPr fontId="21" type="noConversion"/>
  </si>
  <si>
    <t>高档</t>
  </si>
  <si>
    <t>高档</t>
    <phoneticPr fontId="21" type="noConversion"/>
  </si>
  <si>
    <t>普通</t>
  </si>
  <si>
    <t>普通</t>
    <phoneticPr fontId="21" type="noConversion"/>
  </si>
  <si>
    <t>专业</t>
  </si>
  <si>
    <t>专业</t>
    <phoneticPr fontId="21" type="noConversion"/>
  </si>
  <si>
    <t>七通</t>
    <phoneticPr fontId="21" type="noConversion"/>
  </si>
  <si>
    <t>毛坯</t>
  </si>
  <si>
    <t>毛坯</t>
    <phoneticPr fontId="21" type="noConversion"/>
  </si>
  <si>
    <t>好</t>
  </si>
  <si>
    <t>6#地块</t>
    <phoneticPr fontId="233" type="noConversion"/>
  </si>
  <si>
    <t>9#地块</t>
    <phoneticPr fontId="233" type="noConversion"/>
  </si>
  <si>
    <t>土地平整费用</t>
    <phoneticPr fontId="3" type="noConversion"/>
  </si>
  <si>
    <t>主干道</t>
    <phoneticPr fontId="3" type="noConversion"/>
  </si>
  <si>
    <t>次干道</t>
    <phoneticPr fontId="3" type="noConversion"/>
  </si>
  <si>
    <t>支路</t>
    <phoneticPr fontId="3" type="noConversion"/>
  </si>
  <si>
    <t>芷阳二路</t>
    <phoneticPr fontId="3" type="noConversion"/>
  </si>
  <si>
    <t>支路</t>
  </si>
  <si>
    <t>芷阳五路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</si>
</sst>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5"/>
    <xf numFmtId="0" fontId="86" fillId="14" borderId="0" xfId="15" applyFont="1" applyFill="1"/>
    <xf numFmtId="0" fontId="86" fillId="6" borderId="0" xfId="15" applyFill="1"/>
    <xf numFmtId="0" fontId="86" fillId="0" borderId="0" xfId="15" applyFill="1"/>
    <xf numFmtId="0" fontId="144" fillId="0" borderId="6" xfId="0" applyNumberFormat="1" applyFont="1" applyFill="1" applyBorder="1" applyAlignment="1" applyProtection="1">
      <alignment horizontal="center" vertical="center" wrapText="1"/>
      <protection locked="0"/>
    </xf>
    <xf numFmtId="179" fontId="71" fillId="5" borderId="0" xfId="0" applyNumberFormat="1" applyFont="1" applyFill="1" applyAlignment="1" applyProtection="1">
      <alignment horizontal="center" vertical="center" wrapText="1"/>
      <protection locked="0"/>
    </xf>
    <xf numFmtId="0" fontId="262" fillId="0" borderId="0" xfId="0" applyFont="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0" borderId="12" xfId="0" applyFont="1" applyFill="1" applyBorder="1" applyAlignment="1" applyProtection="1">
      <alignment horizontal="center" vertical="center"/>
      <protection locked="0"/>
    </xf>
    <xf numFmtId="176" fontId="11" fillId="17" borderId="2" xfId="0" applyNumberFormat="1" applyFont="1" applyFill="1" applyBorder="1" applyAlignment="1" applyProtection="1">
      <alignment vertical="center" wrapText="1"/>
      <protection locked="0"/>
    </xf>
    <xf numFmtId="9" fontId="76" fillId="17" borderId="5" xfId="0"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83" fillId="6" borderId="7" xfId="0" applyNumberFormat="1" applyFont="1" applyFill="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21</xdr:col>
      <xdr:colOff>465250</xdr:colOff>
      <xdr:row>96</xdr:row>
      <xdr:rowOff>65676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14287500" y="7610475"/>
          <a:ext cx="11809525" cy="8000001"/>
        </a:xfrm>
        <a:prstGeom prst="rect">
          <a:avLst/>
        </a:prstGeom>
      </xdr:spPr>
    </xdr:pic>
    <xdr:clientData/>
  </xdr:twoCellAnchor>
  <xdr:twoCellAnchor editAs="oneCell">
    <xdr:from>
      <xdr:col>0</xdr:col>
      <xdr:colOff>0</xdr:colOff>
      <xdr:row>48</xdr:row>
      <xdr:rowOff>0</xdr:rowOff>
    </xdr:from>
    <xdr:to>
      <xdr:col>5</xdr:col>
      <xdr:colOff>481498</xdr:colOff>
      <xdr:row>79</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772400"/>
          <a:ext cx="6158398" cy="5057775"/>
        </a:xfrm>
        <a:prstGeom prst="rect">
          <a:avLst/>
        </a:prstGeom>
      </xdr:spPr>
    </xdr:pic>
    <xdr:clientData/>
  </xdr:twoCellAnchor>
  <xdr:twoCellAnchor editAs="oneCell">
    <xdr:from>
      <xdr:col>0</xdr:col>
      <xdr:colOff>0</xdr:colOff>
      <xdr:row>79</xdr:row>
      <xdr:rowOff>85726</xdr:rowOff>
    </xdr:from>
    <xdr:to>
      <xdr:col>5</xdr:col>
      <xdr:colOff>419100</xdr:colOff>
      <xdr:row>99</xdr:row>
      <xdr:rowOff>130280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77801"/>
          <a:ext cx="6096000" cy="3283054"/>
        </a:xfrm>
        <a:prstGeom prst="rect">
          <a:avLst/>
        </a:prstGeom>
      </xdr:spPr>
    </xdr:pic>
    <xdr:clientData/>
  </xdr:twoCellAnchor>
  <xdr:twoCellAnchor editAs="oneCell">
    <xdr:from>
      <xdr:col>0</xdr:col>
      <xdr:colOff>0</xdr:colOff>
      <xdr:row>102</xdr:row>
      <xdr:rowOff>1</xdr:rowOff>
    </xdr:from>
    <xdr:to>
      <xdr:col>5</xdr:col>
      <xdr:colOff>419576</xdr:colOff>
      <xdr:row>135</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516351"/>
          <a:ext cx="6096476" cy="5381624"/>
        </a:xfrm>
        <a:prstGeom prst="rect">
          <a:avLst/>
        </a:prstGeom>
      </xdr:spPr>
    </xdr:pic>
    <xdr:clientData/>
  </xdr:twoCellAnchor>
  <xdr:twoCellAnchor editAs="oneCell">
    <xdr:from>
      <xdr:col>0</xdr:col>
      <xdr:colOff>0</xdr:colOff>
      <xdr:row>136</xdr:row>
      <xdr:rowOff>1</xdr:rowOff>
    </xdr:from>
    <xdr:to>
      <xdr:col>5</xdr:col>
      <xdr:colOff>342900</xdr:colOff>
      <xdr:row>152</xdr:row>
      <xdr:rowOff>57335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021801"/>
          <a:ext cx="6019800" cy="2648134"/>
        </a:xfrm>
        <a:prstGeom prst="rect">
          <a:avLst/>
        </a:prstGeom>
      </xdr:spPr>
    </xdr:pic>
    <xdr:clientData/>
  </xdr:twoCellAnchor>
  <xdr:twoCellAnchor editAs="oneCell">
    <xdr:from>
      <xdr:col>5</xdr:col>
      <xdr:colOff>568409</xdr:colOff>
      <xdr:row>102</xdr:row>
      <xdr:rowOff>142874</xdr:rowOff>
    </xdr:from>
    <xdr:to>
      <xdr:col>13</xdr:col>
      <xdr:colOff>1151443</xdr:colOff>
      <xdr:row>134</xdr:row>
      <xdr:rowOff>76199</xdr:rowOff>
    </xdr:to>
    <xdr:pic>
      <xdr:nvPicPr>
        <xdr:cNvPr id="7" name="图片 6"/>
        <xdr:cNvPicPr>
          <a:picLocks noChangeAspect="1"/>
        </xdr:cNvPicPr>
      </xdr:nvPicPr>
      <xdr:blipFill>
        <a:blip xmlns:r="http://schemas.openxmlformats.org/officeDocument/2006/relationships" r:embed="rId6"/>
        <a:stretch>
          <a:fillRect/>
        </a:stretch>
      </xdr:blipFill>
      <xdr:spPr>
        <a:xfrm>
          <a:off x="6245309" y="16659224"/>
          <a:ext cx="5945609" cy="5114925"/>
        </a:xfrm>
        <a:prstGeom prst="rect">
          <a:avLst/>
        </a:prstGeom>
      </xdr:spPr>
    </xdr:pic>
    <xdr:clientData/>
  </xdr:twoCellAnchor>
  <xdr:twoCellAnchor editAs="oneCell">
    <xdr:from>
      <xdr:col>5</xdr:col>
      <xdr:colOff>627067</xdr:colOff>
      <xdr:row>135</xdr:row>
      <xdr:rowOff>1</xdr:rowOff>
    </xdr:from>
    <xdr:to>
      <xdr:col>13</xdr:col>
      <xdr:colOff>570649</xdr:colOff>
      <xdr:row>151</xdr:row>
      <xdr:rowOff>114301</xdr:rowOff>
    </xdr:to>
    <xdr:pic>
      <xdr:nvPicPr>
        <xdr:cNvPr id="8" name="图片 7"/>
        <xdr:cNvPicPr>
          <a:picLocks noChangeAspect="1"/>
        </xdr:cNvPicPr>
      </xdr:nvPicPr>
      <xdr:blipFill>
        <a:blip xmlns:r="http://schemas.openxmlformats.org/officeDocument/2006/relationships" r:embed="rId7"/>
        <a:stretch>
          <a:fillRect/>
        </a:stretch>
      </xdr:blipFill>
      <xdr:spPr>
        <a:xfrm>
          <a:off x="6303967" y="21859876"/>
          <a:ext cx="5306157" cy="270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0</xdr:col>
      <xdr:colOff>6057901</xdr:colOff>
      <xdr:row>23</xdr:row>
      <xdr:rowOff>50290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6057900"/>
          <a:ext cx="6057900" cy="2964940"/>
        </a:xfrm>
        <a:prstGeom prst="rect">
          <a:avLst/>
        </a:prstGeom>
      </xdr:spPr>
    </xdr:pic>
    <xdr:clientData/>
  </xdr:twoCellAnchor>
  <xdr:twoCellAnchor editAs="oneCell">
    <xdr:from>
      <xdr:col>0</xdr:col>
      <xdr:colOff>0</xdr:colOff>
      <xdr:row>24</xdr:row>
      <xdr:rowOff>1</xdr:rowOff>
    </xdr:from>
    <xdr:to>
      <xdr:col>0</xdr:col>
      <xdr:colOff>6096000</xdr:colOff>
      <xdr:row>41</xdr:row>
      <xdr:rowOff>50833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144001"/>
          <a:ext cx="6096000" cy="2965482"/>
        </a:xfrm>
        <a:prstGeom prst="rect">
          <a:avLst/>
        </a:prstGeom>
      </xdr:spPr>
    </xdr:pic>
    <xdr:clientData/>
  </xdr:twoCellAnchor>
  <xdr:twoCellAnchor editAs="oneCell">
    <xdr:from>
      <xdr:col>0</xdr:col>
      <xdr:colOff>1</xdr:colOff>
      <xdr:row>42</xdr:row>
      <xdr:rowOff>1</xdr:rowOff>
    </xdr:from>
    <xdr:to>
      <xdr:col>0</xdr:col>
      <xdr:colOff>6076951</xdr:colOff>
      <xdr:row>58</xdr:row>
      <xdr:rowOff>83527</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2230101"/>
          <a:ext cx="6076950" cy="2826726"/>
        </a:xfrm>
        <a:prstGeom prst="rect">
          <a:avLst/>
        </a:prstGeom>
      </xdr:spPr>
    </xdr:pic>
    <xdr:clientData/>
  </xdr:twoCellAnchor>
  <xdr:twoCellAnchor editAs="oneCell">
    <xdr:from>
      <xdr:col>0</xdr:col>
      <xdr:colOff>0</xdr:colOff>
      <xdr:row>59</xdr:row>
      <xdr:rowOff>0</xdr:rowOff>
    </xdr:from>
    <xdr:to>
      <xdr:col>0</xdr:col>
      <xdr:colOff>6001294</xdr:colOff>
      <xdr:row>75</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144750"/>
          <a:ext cx="6001294" cy="2819400"/>
        </a:xfrm>
        <a:prstGeom prst="rect">
          <a:avLst/>
        </a:prstGeom>
      </xdr:spPr>
    </xdr:pic>
    <xdr:clientData/>
  </xdr:twoCellAnchor>
  <xdr:twoCellAnchor editAs="oneCell">
    <xdr:from>
      <xdr:col>0</xdr:col>
      <xdr:colOff>6067424</xdr:colOff>
      <xdr:row>6</xdr:row>
      <xdr:rowOff>32051</xdr:rowOff>
    </xdr:from>
    <xdr:to>
      <xdr:col>2</xdr:col>
      <xdr:colOff>161924</xdr:colOff>
      <xdr:row>24</xdr:row>
      <xdr:rowOff>27622</xdr:rowOff>
    </xdr:to>
    <xdr:pic>
      <xdr:nvPicPr>
        <xdr:cNvPr id="6" name="图片 5"/>
        <xdr:cNvPicPr>
          <a:picLocks noChangeAspect="1"/>
        </xdr:cNvPicPr>
      </xdr:nvPicPr>
      <xdr:blipFill>
        <a:blip xmlns:r="http://schemas.openxmlformats.org/officeDocument/2006/relationships" r:embed="rId5"/>
        <a:stretch>
          <a:fillRect/>
        </a:stretch>
      </xdr:blipFill>
      <xdr:spPr>
        <a:xfrm>
          <a:off x="6067424" y="6089951"/>
          <a:ext cx="5076825" cy="3081671"/>
        </a:xfrm>
        <a:prstGeom prst="rect">
          <a:avLst/>
        </a:prstGeom>
      </xdr:spPr>
    </xdr:pic>
    <xdr:clientData/>
  </xdr:twoCellAnchor>
  <xdr:twoCellAnchor editAs="oneCell">
    <xdr:from>
      <xdr:col>0</xdr:col>
      <xdr:colOff>6162675</xdr:colOff>
      <xdr:row>23</xdr:row>
      <xdr:rowOff>134902</xdr:rowOff>
    </xdr:from>
    <xdr:to>
      <xdr:col>1</xdr:col>
      <xdr:colOff>2647950</xdr:colOff>
      <xdr:row>45</xdr:row>
      <xdr:rowOff>75556</xdr:rowOff>
    </xdr:to>
    <xdr:pic>
      <xdr:nvPicPr>
        <xdr:cNvPr id="7" name="图片 6"/>
        <xdr:cNvPicPr>
          <a:picLocks noChangeAspect="1"/>
        </xdr:cNvPicPr>
      </xdr:nvPicPr>
      <xdr:blipFill>
        <a:blip xmlns:r="http://schemas.openxmlformats.org/officeDocument/2006/relationships" r:embed="rId6"/>
        <a:stretch>
          <a:fillRect/>
        </a:stretch>
      </xdr:blipFill>
      <xdr:spPr>
        <a:xfrm>
          <a:off x="6162675" y="9107452"/>
          <a:ext cx="4762500" cy="3712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199;&#23433;&#34701;&#21019;&#39033;&#30446;/&#35810;&#20215;/&#35199;&#23433;&#35810;&#20215;%20(5%2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3433;&#22303;&#22320;6%2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199;&#23433;&#22303;&#22320;9%23&#20303;&#23429;&#32852;&#25490;&#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土地案例"/>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叠拼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商业"/>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7829</v>
          </cell>
        </row>
        <row r="38">
          <cell r="K38">
            <v>21871.53</v>
          </cell>
          <cell r="L38">
            <v>32807.300000000003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汇总表"/>
      <sheetName val="数据-基础表"/>
      <sheetName val="抵押物清单（分楼）"/>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33243.32</v>
          </cell>
          <cell r="L38">
            <v>49864.98</v>
          </cell>
        </row>
        <row r="43">
          <cell r="O43">
            <v>20847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出让国有建设用地使用权抵押价格预评估</v>
      </c>
      <c r="AX2" s="2898"/>
      <c r="AZ2" s="2898"/>
      <c r="BA2" s="2899"/>
      <c r="BC2" s="2899"/>
    </row>
    <row r="3" spans="1:55" s="2900" customFormat="1">
      <c r="A3" s="2879" t="s">
        <v>2663</v>
      </c>
      <c r="B3" s="2882" t="str">
        <f>'预评函-封皮'!B40</f>
        <v>融创</v>
      </c>
    </row>
    <row r="4" spans="1:55" s="2881" customFormat="1">
      <c r="A4" s="2879" t="s">
        <v>2664</v>
      </c>
      <c r="B4" s="2880" t="str">
        <f>'预评函-封皮'!B46</f>
        <v>刘梅、吴薇</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受贵公司委托，我公司对出让国有建设用地使用权抵押价格进行了预评估。</v>
      </c>
      <c r="AM6" s="2904"/>
    </row>
    <row r="7" spans="1:55" s="2878" customFormat="1">
      <c r="A7" s="2879" t="s">
        <v>2659</v>
      </c>
      <c r="B7" s="2880" t="str">
        <f>'预评函-1'!A6</f>
        <v>估价对象为使用的、位于出让国有建设用地使用权。根据《国有土地使用证》[]，估价对象（分摊）出让国有建设用地使用权面积为5821.99平方米。根据《建设工程规划许可证》[]、《出让合同》[]，估价对象规划建筑面积为8732.99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2661</v>
      </c>
      <c r="B10" s="2880" t="str">
        <f>'预评函-1'!A11</f>
        <v>2018年6月25日（评估专业人员勘察现场之日）</v>
      </c>
    </row>
    <row r="11" spans="1:55" s="2878" customFormat="1">
      <c r="A11" s="2879" t="s">
        <v>2667</v>
      </c>
      <c r="B11" s="2880" t="str">
        <f>'预评函-1'!A14</f>
        <v>根据《国有土地使用证》[]，本次评估估价对象证载（地类）用途为。</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根据《国有土地使用证》[]，估价对象（分摊）出让国有建设用地使用权面积为5821.99平方米。根据《建设工程规划许可证》[]、《出让合同》[]，估价对象规划建筑面积为8732.99平方米。</v>
      </c>
    </row>
    <row r="16" spans="1:55" s="2878" customFormat="1">
      <c r="A16" s="2879" t="s">
        <v>2671</v>
      </c>
      <c r="B16" s="2880" t="str">
        <f>'预评函-1'!A22</f>
        <v>本次估价对象为出让国有建设用地使用权，《国有土地使用证》[]证载土地终止日期为住宅2086年8月18日地下车库2066年8月18日、地下仓储2066年8月18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估价期日：2018年6月25日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f>'预评函-2'!E5</f>
        <v>0</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红线外七通、宗地红线内场地平整</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5821.99</v>
      </c>
    </row>
    <row r="44" spans="1:2">
      <c r="A44" s="2879" t="s">
        <v>2742</v>
      </c>
      <c r="B44" s="2880" t="str">
        <f>'预评函-2'!O3</f>
        <v>规划建筑面积/㎡</v>
      </c>
    </row>
    <row r="45" spans="1:2">
      <c r="A45" s="2879" t="s">
        <v>2724</v>
      </c>
      <c r="B45" s="2880">
        <f>'预评函-2'!O5</f>
        <v>8732.99</v>
      </c>
    </row>
    <row r="46" spans="1:2">
      <c r="A46" s="2879" t="s">
        <v>2725</v>
      </c>
      <c r="B46" s="2880">
        <f ca="1">'预评函-2'!P5</f>
        <v>5764</v>
      </c>
    </row>
    <row r="47" spans="1:2">
      <c r="A47" s="2879" t="s">
        <v>2726</v>
      </c>
      <c r="B47" s="2880">
        <f ca="1">'预评函-2'!Q5</f>
        <v>3843</v>
      </c>
    </row>
    <row r="48" spans="1:2">
      <c r="A48" s="2879" t="s">
        <v>2727</v>
      </c>
      <c r="B48" s="2880">
        <f ca="1">'预评函-2'!R5</f>
        <v>3356</v>
      </c>
    </row>
    <row r="49" spans="1:2">
      <c r="A49" s="2879" t="s">
        <v>2743</v>
      </c>
      <c r="B49" s="2880" t="str">
        <f>'预评函-2'!A6</f>
        <v>抵押价格</v>
      </c>
    </row>
    <row r="50" spans="1:2">
      <c r="A50" s="2879" t="s">
        <v>2728</v>
      </c>
      <c r="B50" s="2880">
        <f ca="1">'预评函-2'!R6</f>
        <v>3356</v>
      </c>
    </row>
    <row r="51" spans="1:2">
      <c r="A51" s="2879" t="s">
        <v>2744</v>
      </c>
      <c r="B51" s="2880" t="str">
        <f>'预评函-2'!A7</f>
        <v>——</v>
      </c>
    </row>
    <row r="52" spans="1:2">
      <c r="A52" s="2879" t="s">
        <v>2729</v>
      </c>
      <c r="B52" s="2880" t="str">
        <f>'预评函-2'!R7</f>
        <v>——</v>
      </c>
    </row>
    <row r="53" spans="1:2">
      <c r="A53" s="2879" t="s">
        <v>2745</v>
      </c>
      <c r="B53" s="2880">
        <f>'预评函-2'!A8</f>
        <v>0</v>
      </c>
    </row>
    <row r="54" spans="1:2" s="2894" customFormat="1" ht="15" thickBot="1">
      <c r="A54" s="2901" t="s">
        <v>2730</v>
      </c>
      <c r="B54" s="2902" t="str">
        <f>'预评函-2'!R8</f>
        <v>——</v>
      </c>
    </row>
    <row r="55" spans="1:2" ht="15" thickTop="1">
      <c r="A55" s="2890" t="s">
        <v>2680</v>
      </c>
      <c r="B55" s="2891" t="str">
        <f>'预评函-3'!A2</f>
        <v>1.权利限制：根据估价对象《不动产权证书》原件、《国有土地使用权》复印件，截至估价期日，估价对象抵押权未见登记。未设定租赁等其他他项权利。</v>
      </c>
    </row>
    <row r="56" spans="1:2">
      <c r="A56" s="2879" t="s">
        <v>2681</v>
      </c>
      <c r="B56" s="2880" t="str">
        <f>'预评函-3'!A3</f>
        <v>2.基础设施条件：估价对象实际开发程度为红线外七通、宗地红线内场地平整；本次评估设定开发程度为红线外七通、宗地红线内场地。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刘梅</v>
      </c>
    </row>
    <row r="70" spans="1:2">
      <c r="A70" s="2879" t="s">
        <v>2692</v>
      </c>
      <c r="B70" s="2886">
        <f ca="1">'预评函-3'!B20</f>
        <v>2008110059</v>
      </c>
    </row>
    <row r="71" spans="1:2">
      <c r="A71" s="2879" t="s">
        <v>2693</v>
      </c>
      <c r="B71" s="2880" t="str">
        <f>'预评函-3'!A21</f>
        <v>吴薇</v>
      </c>
    </row>
    <row r="72" spans="1:2" s="2894" customFormat="1" ht="15" thickBot="1">
      <c r="A72" s="2901" t="s">
        <v>2693</v>
      </c>
      <c r="B72" s="2907">
        <f ca="1">'预评函-3'!B21</f>
        <v>2002110125</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8" sqref="G2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59" t="str">
        <f>IF(B10="北京市","北京市",C10)&amp;F10&amp;B16&amp;"国有建设用地使用权"&amp;B9&amp;"预评估"</f>
        <v>出让国有建设用地使用权抵押价格预评估</v>
      </c>
      <c r="C1" s="3260"/>
      <c r="D1" s="3260"/>
      <c r="E1" s="3260"/>
      <c r="F1" s="3260"/>
      <c r="G1" s="3260"/>
      <c r="H1" s="3260"/>
      <c r="I1" s="3261"/>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1941</v>
      </c>
      <c r="B3" s="1662">
        <v>43276</v>
      </c>
      <c r="C3" s="1663" t="s">
        <v>1997</v>
      </c>
      <c r="D3" s="1662">
        <v>43276</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2984</v>
      </c>
      <c r="C4" s="1846">
        <f ca="1">SUMIF(土地估价师,B4,估价师及机构信息!E3:E24)</f>
        <v>2008110059</v>
      </c>
      <c r="D4" s="1843" t="s">
        <v>2985</v>
      </c>
      <c r="E4" s="1846">
        <f ca="1">SUMIF(土地估价师,D4,估价师及机构信息!E3:E24)</f>
        <v>2002110125</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刘梅、吴薇</v>
      </c>
      <c r="L4" s="1723"/>
      <c r="M4" s="1723"/>
      <c r="N4" s="1694"/>
      <c r="O4" s="1695"/>
      <c r="P4" s="1694"/>
      <c r="Q4" s="1694"/>
      <c r="R4" s="1694"/>
      <c r="S4" s="1694"/>
      <c r="T4" s="1694"/>
      <c r="U4" s="1694"/>
    </row>
    <row r="5" spans="1:21" ht="15" thickTop="1">
      <c r="A5" s="1665" t="s">
        <v>1943</v>
      </c>
      <c r="B5" s="1789" t="s">
        <v>2986</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2987</v>
      </c>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2709</v>
      </c>
      <c r="B7" s="1789" t="str">
        <f>B5</f>
        <v>融创</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2988</v>
      </c>
      <c r="C8" s="1671"/>
      <c r="D8" s="3265" t="s">
        <v>1946</v>
      </c>
      <c r="E8" s="1844" t="s">
        <v>3196</v>
      </c>
      <c r="F8" s="1672"/>
      <c r="G8" s="1660"/>
      <c r="H8" s="1660"/>
      <c r="I8" s="1707"/>
      <c r="J8" s="1694"/>
      <c r="K8" s="1774"/>
      <c r="L8" s="1723"/>
      <c r="M8" s="1723"/>
      <c r="N8" s="1694"/>
      <c r="O8" s="1695"/>
      <c r="P8" s="1694"/>
      <c r="Q8" s="1694"/>
      <c r="R8" s="1694"/>
      <c r="S8" s="1694"/>
      <c r="T8" s="1694"/>
      <c r="U8" s="1694"/>
    </row>
    <row r="9" spans="1:21" ht="15" thickBot="1">
      <c r="A9" s="1673" t="s">
        <v>1945</v>
      </c>
      <c r="B9" s="1674" t="s">
        <v>3196</v>
      </c>
      <c r="C9" s="1675"/>
      <c r="D9" s="3266"/>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2989</v>
      </c>
      <c r="C10" s="1676"/>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62"/>
      <c r="C12" s="3263"/>
      <c r="D12" s="3264"/>
      <c r="E12" s="1699" t="s">
        <v>2063</v>
      </c>
      <c r="F12" s="3280" t="s">
        <v>2891</v>
      </c>
      <c r="G12" s="3281"/>
      <c r="H12" s="3281"/>
      <c r="I12" s="3282"/>
      <c r="J12" s="1694"/>
      <c r="K12" s="1774"/>
      <c r="L12" s="1723"/>
      <c r="M12" s="1723"/>
      <c r="N12" s="1694"/>
      <c r="O12" s="1695"/>
      <c r="P12" s="1694"/>
      <c r="Q12" s="1694"/>
      <c r="R12" s="1694"/>
      <c r="S12" s="1694"/>
      <c r="T12" s="1694"/>
      <c r="U12" s="1694"/>
    </row>
    <row r="13" spans="1:21">
      <c r="A13" s="1687" t="s">
        <v>2061</v>
      </c>
      <c r="B13" s="3262"/>
      <c r="C13" s="3263"/>
      <c r="D13" s="3264"/>
      <c r="E13" s="1699" t="s">
        <v>2063</v>
      </c>
      <c r="F13" s="3280" t="s">
        <v>2892</v>
      </c>
      <c r="G13" s="3281"/>
      <c r="H13" s="3281"/>
      <c r="I13" s="3282"/>
      <c r="J13" s="1694"/>
      <c r="K13" s="1774"/>
      <c r="L13" s="1723"/>
      <c r="M13" s="1723"/>
      <c r="N13" s="1694"/>
      <c r="O13" s="1695"/>
      <c r="P13" s="1694"/>
      <c r="Q13" s="1694"/>
      <c r="R13" s="1694"/>
      <c r="S13" s="1694"/>
      <c r="T13" s="1694"/>
      <c r="U13" s="1694"/>
    </row>
    <row r="14" spans="1:21">
      <c r="A14" s="1661" t="s">
        <v>2064</v>
      </c>
      <c r="B14" s="1699"/>
      <c r="C14" s="1845" t="s">
        <v>2991</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2992</v>
      </c>
      <c r="C16" s="1699" t="s">
        <v>1950</v>
      </c>
      <c r="D16" s="2647" t="s">
        <v>1951</v>
      </c>
      <c r="E16" s="1722"/>
      <c r="F16" s="1722"/>
      <c r="G16" s="1722" t="s">
        <v>35</v>
      </c>
      <c r="H16" s="1722" t="s">
        <v>3154</v>
      </c>
      <c r="I16" s="1686" t="s">
        <v>1956</v>
      </c>
      <c r="J16" s="1694"/>
      <c r="K16" s="2457" t="str">
        <f>IF(D17="","",D16&amp;TEXT(D17,"yyyy年m月d日;;"))</f>
        <v>住宅2086年8月18日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地下车库2066年8月18日</v>
      </c>
      <c r="R16" s="1699" t="str">
        <f>IF(OR(Q16="",S16=""),"","、")</f>
        <v>、</v>
      </c>
      <c r="S16" s="2457" t="str">
        <f>IF(H17="","",H16&amp;TEXT(H17,"yyyy年m月d日;;"))</f>
        <v>地下仓储2066年8月18日</v>
      </c>
      <c r="T16" s="1699" t="str">
        <f>IF(OR(S16="",U16=""),"","、")</f>
        <v/>
      </c>
      <c r="U16" s="2457" t="str">
        <f>IF(I17="","",I16&amp;TEXT(I17,"yyyy年m月d日;;"))</f>
        <v/>
      </c>
    </row>
    <row r="17" spans="1:21">
      <c r="A17" s="1763"/>
      <c r="B17" s="1682"/>
      <c r="C17" s="1683" t="s">
        <v>1957</v>
      </c>
      <c r="D17" s="1700">
        <v>68167</v>
      </c>
      <c r="E17" s="1700"/>
      <c r="F17" s="1700"/>
      <c r="G17" s="1700">
        <v>60862</v>
      </c>
      <c r="H17" s="1700">
        <v>60862</v>
      </c>
      <c r="I17" s="1700"/>
      <c r="J17" s="1694"/>
      <c r="K17" s="2456" t="str">
        <f>CONCATENATE(K16,L16,M16,N16,O16,P16,Q16,R16,S16,T16,,U16)</f>
        <v>住宅2086年8月18日地下车库2066年8月18日、地下仓储2066年8月18日</v>
      </c>
      <c r="L17" s="1723"/>
      <c r="M17" s="1723"/>
      <c r="N17" s="1694"/>
      <c r="O17" s="1695"/>
      <c r="P17" s="1694"/>
      <c r="Q17" s="1694"/>
      <c r="R17" s="1694"/>
      <c r="S17" s="1694"/>
      <c r="T17" s="1694"/>
      <c r="U17" s="1694"/>
    </row>
    <row r="18" spans="1:21">
      <c r="A18" s="1763"/>
      <c r="B18" s="1682"/>
      <c r="C18" s="1683" t="s">
        <v>1958</v>
      </c>
      <c r="D18" s="1684">
        <v>70</v>
      </c>
      <c r="E18" s="1684"/>
      <c r="F18" s="1684"/>
      <c r="G18" s="1684">
        <v>50</v>
      </c>
      <c r="H18" s="1684">
        <v>50</v>
      </c>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68.19</v>
      </c>
      <c r="E19" s="1685" t="str">
        <f>IF(B16="出让",IF(E17="","",ROUNDDOWN(MIN((E17-$D$3)/365,E18),2)),E18)</f>
        <v/>
      </c>
      <c r="F19" s="1685" t="str">
        <f>IF(B16="出让",IF(F17="","",ROUNDDOWN(MIN((F17-$D$3)/365,F18),2)),F18)</f>
        <v/>
      </c>
      <c r="G19" s="1685">
        <f>IF(B16="出让",IF(G17="","",ROUNDDOWN(MIN((G17-$D$3)/365,G18),2)),G18)</f>
        <v>48.18</v>
      </c>
      <c r="H19" s="1685">
        <f>IF(B16="出让",IF(H17="","",ROUNDDOWN(MIN((H17-$D$3)/365,H18),2)),H18)</f>
        <v>48.18</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77"/>
      <c r="E20" s="3278"/>
      <c r="F20" s="3278"/>
      <c r="G20" s="3278"/>
      <c r="H20" s="3278"/>
      <c r="I20" s="3279"/>
      <c r="J20" s="1694"/>
      <c r="K20" s="1774"/>
      <c r="L20" s="1723"/>
      <c r="M20" s="1723"/>
      <c r="N20" s="1694"/>
      <c r="O20" s="1695"/>
      <c r="P20" s="1694"/>
      <c r="Q20" s="1694"/>
      <c r="R20" s="1694"/>
      <c r="S20" s="1694"/>
      <c r="T20" s="1694"/>
      <c r="U20" s="1694"/>
    </row>
    <row r="21" spans="1:21">
      <c r="A21" s="1763" t="s">
        <v>1960</v>
      </c>
      <c r="B21" s="1764" t="s">
        <v>1961</v>
      </c>
      <c r="C21" s="1759">
        <f>'数据-汇总表'!E3</f>
        <v>8732.99</v>
      </c>
      <c r="D21" s="1760" t="s">
        <v>1962</v>
      </c>
      <c r="E21" s="3267" t="s">
        <v>2000</v>
      </c>
      <c r="F21" s="3268"/>
      <c r="G21" s="3268"/>
      <c r="H21" s="3268"/>
      <c r="I21" s="3269"/>
      <c r="J21" s="1694"/>
      <c r="K21" s="1774"/>
      <c r="L21" s="1723"/>
      <c r="M21" s="1723"/>
      <c r="N21" s="1694"/>
      <c r="O21" s="1695"/>
      <c r="P21" s="1694"/>
      <c r="Q21" s="1694"/>
      <c r="R21" s="1694"/>
      <c r="S21" s="1694"/>
      <c r="T21" s="1694"/>
      <c r="U21" s="1694"/>
    </row>
    <row r="22" spans="1:21">
      <c r="A22" s="3148" t="s">
        <v>951</v>
      </c>
      <c r="B22" s="1661" t="s">
        <v>1963</v>
      </c>
      <c r="C22" s="1686">
        <f>'数据-汇总表'!D3</f>
        <v>5821.99</v>
      </c>
      <c r="D22" s="1687" t="s">
        <v>1962</v>
      </c>
      <c r="E22" s="3267" t="s">
        <v>2893</v>
      </c>
      <c r="F22" s="3268"/>
      <c r="G22" s="3268"/>
      <c r="H22" s="3268"/>
      <c r="I22" s="3269"/>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70" t="s">
        <v>1968</v>
      </c>
      <c r="C24" s="3271"/>
      <c r="D24" s="3272" t="s">
        <v>1969</v>
      </c>
      <c r="E24" s="3273"/>
      <c r="F24" s="1708" t="s">
        <v>1970</v>
      </c>
      <c r="G24" s="1694"/>
      <c r="H24" s="1694"/>
      <c r="I24" s="1707"/>
      <c r="J24" s="1694"/>
      <c r="K24" s="3258" t="s">
        <v>1971</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58"/>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58"/>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44" t="s">
        <v>2003</v>
      </c>
      <c r="B31" s="1764" t="s">
        <v>2004</v>
      </c>
      <c r="C31" s="3283" t="s">
        <v>2993</v>
      </c>
      <c r="D31" s="3284"/>
      <c r="E31" s="1694"/>
      <c r="F31" s="1694"/>
      <c r="G31" s="1694"/>
      <c r="H31" s="1694"/>
      <c r="I31" s="1707"/>
      <c r="J31" s="1694"/>
      <c r="K31" s="2459"/>
      <c r="L31" s="1694"/>
      <c r="M31" s="1694"/>
      <c r="N31" s="1694"/>
      <c r="O31" s="1694"/>
      <c r="P31" s="1694"/>
      <c r="Q31" s="1694"/>
      <c r="R31" s="1694"/>
      <c r="S31" s="1694"/>
      <c r="T31" s="1694"/>
      <c r="U31" s="1694"/>
    </row>
    <row r="32" spans="1:21">
      <c r="A32" s="3244"/>
      <c r="B32" s="1661" t="s">
        <v>2005</v>
      </c>
      <c r="C32" s="1719" t="s">
        <v>2994</v>
      </c>
      <c r="D32" s="1720"/>
      <c r="E32" s="1694"/>
      <c r="F32" s="1694"/>
      <c r="G32" s="1694"/>
      <c r="H32" s="1694"/>
      <c r="I32" s="1707"/>
      <c r="J32" s="1694"/>
      <c r="K32" s="2459"/>
      <c r="L32" s="1694"/>
      <c r="M32" s="1694"/>
      <c r="N32" s="1694"/>
      <c r="O32" s="1694"/>
      <c r="P32" s="1694"/>
      <c r="Q32" s="1694"/>
      <c r="R32" s="1694"/>
      <c r="S32" s="1694"/>
      <c r="T32" s="1694"/>
      <c r="U32" s="1694"/>
    </row>
    <row r="33" spans="1:21">
      <c r="A33" s="3244"/>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45"/>
      <c r="B34" s="1661" t="s">
        <v>2007</v>
      </c>
      <c r="C34" s="3246"/>
      <c r="D34" s="3247"/>
      <c r="E34" s="1694"/>
      <c r="F34" s="1694"/>
      <c r="G34" s="1694"/>
      <c r="H34" s="1694"/>
      <c r="I34" s="1707"/>
      <c r="J34" s="1694"/>
      <c r="K34" s="2459"/>
      <c r="L34" s="1694"/>
      <c r="M34" s="1694"/>
      <c r="N34" s="1694"/>
      <c r="O34" s="1694"/>
      <c r="P34" s="1694"/>
      <c r="Q34" s="1694"/>
      <c r="R34" s="1694"/>
      <c r="S34" s="1694"/>
      <c r="T34" s="1694"/>
      <c r="U34" s="1694"/>
    </row>
    <row r="35" spans="1:21">
      <c r="A35" s="3248" t="s">
        <v>846</v>
      </c>
      <c r="B35" s="1722" t="s">
        <v>2995</v>
      </c>
      <c r="C35" s="1776" t="str">
        <f>IF(B35="场地平整","——","具体情况：")</f>
        <v>——</v>
      </c>
      <c r="D35" s="3250"/>
      <c r="E35" s="3251"/>
      <c r="F35" s="3251"/>
      <c r="G35" s="3251"/>
      <c r="H35" s="3251"/>
      <c r="I35" s="3252"/>
      <c r="J35" s="1694"/>
      <c r="K35" s="1775"/>
      <c r="L35" s="1723"/>
      <c r="M35" s="1723"/>
      <c r="N35" s="1694"/>
      <c r="O35" s="1695"/>
      <c r="P35" s="1694"/>
      <c r="Q35" s="1694"/>
      <c r="R35" s="1694"/>
      <c r="S35" s="1694"/>
      <c r="T35" s="1694"/>
      <c r="U35" s="1694"/>
    </row>
    <row r="36" spans="1:21">
      <c r="A36" s="3244"/>
      <c r="B36" s="3253" t="s">
        <v>2056</v>
      </c>
      <c r="C36" s="3254"/>
      <c r="D36" s="1792"/>
      <c r="E36" s="3255"/>
      <c r="F36" s="3255"/>
      <c r="G36" s="1687" t="str">
        <f>IF(B35="场地未平整","估价结果处理","")</f>
        <v/>
      </c>
      <c r="H36" s="3256"/>
      <c r="I36" s="3256"/>
      <c r="J36" s="1694"/>
      <c r="K36" s="1775"/>
      <c r="L36" s="1723"/>
      <c r="M36" s="1723"/>
      <c r="N36" s="1694"/>
      <c r="O36" s="1695"/>
      <c r="P36" s="1694"/>
      <c r="Q36" s="1694"/>
      <c r="R36" s="1694"/>
      <c r="S36" s="1694"/>
      <c r="T36" s="1694"/>
      <c r="U36" s="1694"/>
    </row>
    <row r="37" spans="1:21" ht="28.5">
      <c r="A37" s="3244"/>
      <c r="B37" s="3274"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44"/>
      <c r="B38" s="3275"/>
      <c r="C38" s="1669" t="s">
        <v>849</v>
      </c>
      <c r="D38" s="1791">
        <f>ROUNDDOWN(MIN(('数据-取费表'!$B$2-D37)/365,D34),1)</f>
        <v>118.5</v>
      </c>
      <c r="E38" s="1727" t="s">
        <v>850</v>
      </c>
      <c r="F38" s="1694"/>
      <c r="G38" s="1694"/>
      <c r="H38" s="1694"/>
      <c r="I38" s="1707"/>
      <c r="J38" s="1694"/>
      <c r="K38" s="1775"/>
      <c r="L38" s="1694"/>
      <c r="M38" s="1694"/>
      <c r="N38" s="1694"/>
      <c r="O38" s="1694"/>
      <c r="P38" s="1694"/>
      <c r="Q38" s="1694"/>
      <c r="R38" s="1694"/>
      <c r="S38" s="1694"/>
      <c r="T38" s="1694"/>
      <c r="U38" s="1694"/>
    </row>
    <row r="39" spans="1:21">
      <c r="A39" s="3245"/>
      <c r="B39" s="327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57" t="s">
        <v>1987</v>
      </c>
      <c r="T40" s="1731" t="str">
        <f>NUMBERSTRING(7-K40,1)&amp;"通"</f>
        <v>七通</v>
      </c>
      <c r="U40" s="1694"/>
    </row>
    <row r="41" spans="1:21">
      <c r="A41" s="1663"/>
      <c r="B41" s="3249" t="s">
        <v>1721</v>
      </c>
      <c r="C41" s="3249"/>
      <c r="D41" s="3249"/>
      <c r="E41" s="3249"/>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57"/>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8" sqref="J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5821.99</v>
      </c>
      <c r="B3" s="22">
        <f>IF(C3="否",G5-AT5,G5)</f>
        <v>8732.99</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8732.99</v>
      </c>
      <c r="H5" s="27">
        <f t="shared" ref="H5:AT5" si="0">SUM(H13:H641)</f>
        <v>8732.99</v>
      </c>
      <c r="I5" s="27">
        <f t="shared" si="0"/>
        <v>8732.99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8732.99</v>
      </c>
      <c r="BA5" s="29">
        <f t="shared" si="1"/>
        <v>8732.99</v>
      </c>
      <c r="BB5" s="29">
        <f t="shared" si="1"/>
        <v>8732.99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5821.99</v>
      </c>
      <c r="F6" s="27" t="s">
        <v>1</v>
      </c>
      <c r="G6" s="27" t="s">
        <v>2</v>
      </c>
      <c r="H6" s="33">
        <f>SUMIF(I$12:AB$12,"总值",I6:AB6)</f>
        <v>5821.99</v>
      </c>
      <c r="I6" s="27">
        <f t="shared" ref="I6:AB6" si="2">ROUND($A$3*I5/$B$3,2)</f>
        <v>5821.99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5821.99</v>
      </c>
      <c r="AZ6" s="27" t="s">
        <v>3</v>
      </c>
      <c r="BA6" s="27">
        <f>ROUND($AY$6*BA5/$AZ$5,2)</f>
        <v>5821.99</v>
      </c>
      <c r="BB6" s="27">
        <f>ROUND($AY$6*BB5/$AZ$5,2)</f>
        <v>5821.99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8"/>
      <c r="AT8" s="2329"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20" t="s">
        <v>2997</v>
      </c>
      <c r="J9" s="51"/>
      <c r="K9" s="3020" t="s">
        <v>2999</v>
      </c>
      <c r="L9" s="51"/>
      <c r="M9" s="3020" t="s">
        <v>2999</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30"/>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20" t="s">
        <v>922</v>
      </c>
      <c r="J10" s="51"/>
      <c r="K10" s="3022" t="s">
        <v>3000</v>
      </c>
      <c r="L10" s="51"/>
      <c r="M10" s="3022" t="s">
        <v>922</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2998</v>
      </c>
      <c r="J11" s="71"/>
      <c r="K11" s="3021"/>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t="s">
        <v>2996</v>
      </c>
      <c r="D13" s="3016" t="s">
        <v>1678</v>
      </c>
      <c r="E13" s="27">
        <f t="shared" ref="E13:E20" si="6">IF($C$3="是",ROUND($A$3*G13/$B$3,2),ROUND($A$3*(G13-AT13)/$B$3,2))</f>
        <v>5821.99</v>
      </c>
      <c r="F13" s="81"/>
      <c r="G13" s="82">
        <f t="shared" ref="G13:G20" si="7">H13+AC13+AT13</f>
        <v>8732.99</v>
      </c>
      <c r="H13" s="33">
        <f t="shared" ref="H13:H20" si="8">SUMIF(I$12:AB$12,"总值",I13:AB13)</f>
        <v>8732.99</v>
      </c>
      <c r="I13" s="3213">
        <f>ROUND(A3*1.5,2)</f>
        <v>8732.99</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t="str">
        <f t="shared" si="10"/>
        <v>5#</v>
      </c>
      <c r="AY13" s="996">
        <f t="shared" ref="AY13:AY20" si="11">ROUND($AY$6*AZ13/$AZ$5,2)</f>
        <v>5821.99</v>
      </c>
      <c r="AZ13" s="27">
        <f t="shared" ref="AZ13:AZ20" si="12">BA13+BL13</f>
        <v>8732.99</v>
      </c>
      <c r="BA13" s="27">
        <f t="shared" ref="BA13:BA20" si="13">SUM(BB13:BK13)</f>
        <v>8732.99</v>
      </c>
      <c r="BB13" s="27">
        <f t="shared" ref="BB13:BB20" si="14">IF($D13="是",I13-J13,0)</f>
        <v>8732.99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28.5">
      <c r="A3" s="3285"/>
      <c r="B3" s="3285"/>
      <c r="C3" s="3285"/>
      <c r="D3" s="3286"/>
      <c r="E3" s="32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201</v>
      </c>
      <c r="B1" s="1985"/>
      <c r="C1" s="1985"/>
      <c r="D1" s="1985"/>
      <c r="E1" s="1985"/>
      <c r="F1" s="1985"/>
      <c r="G1" s="1985"/>
      <c r="H1" s="1985"/>
      <c r="I1" s="1985"/>
      <c r="J1" s="1985"/>
      <c r="K1" s="1985"/>
      <c r="L1" s="1985"/>
    </row>
    <row r="2" spans="1:16" ht="15">
      <c r="A2" s="3296" t="s">
        <v>202</v>
      </c>
      <c r="B2" s="3296"/>
      <c r="C2" s="3296"/>
      <c r="D2" s="1976" t="s">
        <v>203</v>
      </c>
      <c r="E2" s="106" t="s">
        <v>204</v>
      </c>
      <c r="F2" s="1985"/>
      <c r="G2" s="1198"/>
      <c r="H2" s="1199"/>
      <c r="I2" s="1200" t="s">
        <v>856</v>
      </c>
      <c r="J2" s="1985"/>
      <c r="K2" s="1985"/>
      <c r="L2" s="1985"/>
    </row>
    <row r="3" spans="1:16" ht="15.75" thickBot="1">
      <c r="A3" s="3297" t="s">
        <v>205</v>
      </c>
      <c r="B3" s="3297"/>
      <c r="C3" s="3297"/>
      <c r="D3" s="107">
        <f>'数据-基础表'!AY6</f>
        <v>5821.99</v>
      </c>
      <c r="E3" s="107">
        <f>'数据-基础表'!AZ5</f>
        <v>8732.99</v>
      </c>
      <c r="F3" s="1985"/>
      <c r="G3" s="280" t="s">
        <v>857</v>
      </c>
      <c r="H3" s="275" t="s">
        <v>858</v>
      </c>
      <c r="I3" s="1977">
        <f>ROUND('数据-基础表'!B3/'数据-基础表'!A3,2)</f>
        <v>1.5</v>
      </c>
      <c r="J3" s="1985"/>
      <c r="K3" s="1985"/>
      <c r="L3" s="1985"/>
    </row>
    <row r="4" spans="1:16" ht="15">
      <c r="A4" s="3298"/>
      <c r="B4" s="3299"/>
      <c r="C4" s="3300"/>
      <c r="D4" s="108" t="s">
        <v>203</v>
      </c>
      <c r="E4" s="109" t="s">
        <v>204</v>
      </c>
      <c r="F4" s="1985"/>
      <c r="G4" s="1201"/>
      <c r="H4" s="275" t="s">
        <v>859</v>
      </c>
      <c r="I4" s="1977">
        <f>ROUND(SUMIF('数据-基础表'!I9:AS9,"地上",'数据-基础表'!I5:AS5)/'数据-基础表'!A3,2)</f>
        <v>1.5</v>
      </c>
      <c r="J4" s="1985"/>
      <c r="K4" s="1985"/>
      <c r="L4" s="1985"/>
    </row>
    <row r="5" spans="1:16">
      <c r="A5" s="110" t="s">
        <v>206</v>
      </c>
      <c r="B5" s="3301" t="s">
        <v>229</v>
      </c>
      <c r="C5" s="3301"/>
      <c r="D5" s="111">
        <f>ROUND($D$3*E5/$E$3,2)</f>
        <v>5821.99</v>
      </c>
      <c r="E5" s="112">
        <f>SUMIF('数据-基础表'!$11:$11,"住宅",'数据-基础表'!$5:$5)</f>
        <v>8732.99</v>
      </c>
      <c r="F5" s="1985"/>
      <c r="G5" s="280" t="s">
        <v>860</v>
      </c>
      <c r="H5" s="275" t="s">
        <v>858</v>
      </c>
      <c r="I5" s="1977">
        <f>ROUND(E31/D31,2)</f>
        <v>1.5</v>
      </c>
      <c r="J5" s="1985"/>
      <c r="K5" s="1985"/>
      <c r="L5" s="1985"/>
    </row>
    <row r="6" spans="1:16" ht="15" thickBot="1">
      <c r="A6" s="113"/>
      <c r="B6" s="3301" t="s">
        <v>207</v>
      </c>
      <c r="C6" s="3301"/>
      <c r="D6" s="111">
        <f>ROUND($D$3*E6/$E$3,2)</f>
        <v>0</v>
      </c>
      <c r="E6" s="112">
        <f>E3-E5</f>
        <v>0</v>
      </c>
      <c r="F6" s="1985"/>
      <c r="G6" s="1201"/>
      <c r="H6" s="275" t="s">
        <v>859</v>
      </c>
      <c r="I6" s="1977">
        <f>ROUND(F31/D31,2)</f>
        <v>1.5</v>
      </c>
      <c r="J6" s="1985"/>
      <c r="K6" s="1985"/>
      <c r="L6" s="1985"/>
    </row>
    <row r="7" spans="1:16" ht="15">
      <c r="A7" s="3293"/>
      <c r="B7" s="3294"/>
      <c r="C7" s="3295"/>
      <c r="D7" s="108" t="s">
        <v>203</v>
      </c>
      <c r="E7" s="114" t="s">
        <v>230</v>
      </c>
      <c r="F7" s="1985"/>
      <c r="G7" s="1156" t="s">
        <v>1645</v>
      </c>
      <c r="H7" s="1157"/>
      <c r="I7" s="1847">
        <v>4</v>
      </c>
      <c r="J7" s="1985"/>
      <c r="K7" s="1985"/>
      <c r="L7" s="1985"/>
    </row>
    <row r="8" spans="1:16">
      <c r="A8" s="110" t="s">
        <v>208</v>
      </c>
      <c r="B8" s="115" t="s">
        <v>209</v>
      </c>
      <c r="C8" s="111" t="s">
        <v>210</v>
      </c>
      <c r="D8" s="111">
        <f t="shared" ref="D8:D15" si="0">ROUND($D$3*E8/$E$3,2)</f>
        <v>5821.99</v>
      </c>
      <c r="E8" s="116">
        <f>SUMIF('数据-基础表'!BB10:BK10,"地上",'数据-基础表'!BB5:BK5)</f>
        <v>8732.99</v>
      </c>
      <c r="F8" s="1985"/>
      <c r="G8" s="1987"/>
      <c r="H8" s="1987"/>
      <c r="I8" s="1985"/>
      <c r="J8" s="1985"/>
      <c r="K8" s="1985"/>
      <c r="L8" s="1985"/>
    </row>
    <row r="9" spans="1:16">
      <c r="A9" s="117"/>
      <c r="B9" s="118"/>
      <c r="C9" s="111" t="s">
        <v>211</v>
      </c>
      <c r="D9" s="111">
        <f t="shared" si="0"/>
        <v>0</v>
      </c>
      <c r="E9" s="119">
        <v>0</v>
      </c>
      <c r="F9" s="1985"/>
      <c r="G9" s="1987"/>
      <c r="H9" s="1987"/>
      <c r="I9" s="1985"/>
      <c r="J9" s="1985"/>
      <c r="K9" s="1985"/>
      <c r="L9" s="1985"/>
    </row>
    <row r="10" spans="1:16">
      <c r="A10" s="117"/>
      <c r="B10" s="118"/>
      <c r="C10" s="111" t="s">
        <v>212</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213</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231</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232</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214</v>
      </c>
      <c r="D16" s="115">
        <f>SUM(D8:D15)</f>
        <v>5821.99</v>
      </c>
      <c r="E16" s="120">
        <f>SUM(E8:E15)</f>
        <v>8732.99</v>
      </c>
      <c r="F16" s="1985"/>
      <c r="G16" s="1987"/>
      <c r="H16" s="968" t="s">
        <v>218</v>
      </c>
      <c r="I16" s="969"/>
      <c r="J16" s="1985"/>
      <c r="K16" s="3287" t="s">
        <v>2568</v>
      </c>
      <c r="L16" s="3288"/>
      <c r="M16" s="3288"/>
      <c r="N16" s="3288"/>
      <c r="O16" s="3288"/>
      <c r="P16" s="3289"/>
    </row>
    <row r="17" spans="1:19" ht="15">
      <c r="A17" s="121" t="s">
        <v>215</v>
      </c>
      <c r="B17" s="122" t="s">
        <v>216</v>
      </c>
      <c r="C17" s="2299" t="s">
        <v>2315</v>
      </c>
      <c r="D17" s="108" t="s">
        <v>203</v>
      </c>
      <c r="E17" s="124" t="s">
        <v>204</v>
      </c>
      <c r="F17" s="125"/>
      <c r="G17" s="1366"/>
      <c r="H17" s="970" t="s">
        <v>217</v>
      </c>
      <c r="I17" s="971" t="s">
        <v>2314</v>
      </c>
      <c r="J17" s="1985"/>
      <c r="K17" s="3290" t="s">
        <v>2569</v>
      </c>
      <c r="L17" s="3291"/>
      <c r="M17" s="3292"/>
      <c r="N17" s="3290" t="s">
        <v>2570</v>
      </c>
      <c r="O17" s="3291"/>
      <c r="P17" s="3292"/>
      <c r="R17" s="2300" t="s">
        <v>2313</v>
      </c>
      <c r="S17" s="144"/>
    </row>
    <row r="18" spans="1:19" ht="15">
      <c r="A18" s="117"/>
      <c r="B18" s="128"/>
      <c r="C18" s="129"/>
      <c r="D18" s="2643"/>
      <c r="E18" s="130" t="s">
        <v>219</v>
      </c>
      <c r="F18" s="131" t="s">
        <v>220</v>
      </c>
      <c r="G18" s="1367" t="s">
        <v>221</v>
      </c>
      <c r="H18" s="972" t="s">
        <v>222</v>
      </c>
      <c r="I18" s="973" t="s">
        <v>223</v>
      </c>
      <c r="J18" s="1985"/>
      <c r="K18" s="2606" t="s">
        <v>2571</v>
      </c>
      <c r="L18" s="2607" t="s">
        <v>2572</v>
      </c>
      <c r="M18" s="2608" t="s">
        <v>2573</v>
      </c>
      <c r="N18" s="2606" t="s">
        <v>2571</v>
      </c>
      <c r="O18" s="2607" t="s">
        <v>2572</v>
      </c>
      <c r="P18" s="2608" t="s">
        <v>2573</v>
      </c>
      <c r="R18" s="2301" t="s">
        <v>2311</v>
      </c>
      <c r="S18" s="2301" t="s">
        <v>2312</v>
      </c>
    </row>
    <row r="19" spans="1:19">
      <c r="A19" s="133"/>
      <c r="B19" s="115" t="s">
        <v>224</v>
      </c>
      <c r="C19" s="3026" t="s">
        <v>3002</v>
      </c>
      <c r="D19" s="111">
        <f t="shared" ref="D19:D26" si="1">ROUND($D$3*E19/$E$3,2)</f>
        <v>5821.99</v>
      </c>
      <c r="E19" s="134">
        <f t="shared" ref="E19:E26" si="2">SUM(F19:G19)</f>
        <v>8732.99</v>
      </c>
      <c r="F19" s="135">
        <f>'数据-基础表'!I5</f>
        <v>8732.99</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5821.99</v>
      </c>
      <c r="S19" s="2302">
        <f t="shared" si="5"/>
        <v>8732.99</v>
      </c>
    </row>
    <row r="20" spans="1:19">
      <c r="A20" s="138"/>
      <c r="B20" s="115" t="s">
        <v>225</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225</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225</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225</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225</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225</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225</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214</v>
      </c>
      <c r="D27" s="134">
        <f>SUM(D19:D26)</f>
        <v>5821.99</v>
      </c>
      <c r="E27" s="143">
        <f>IF(SUM(E19:E26)='数据-基础表'!BA5,SUM(E19:E26),IF(F27="地上面积有误","面积有误","地下面积有误"))</f>
        <v>8732.99</v>
      </c>
      <c r="F27" s="134">
        <f>IF(SUM(F19:F26)=E8,SUM(F19:F26),"地上面积有误")</f>
        <v>8732.99</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5821.99</v>
      </c>
      <c r="S27" s="275">
        <f>IF(SUM(S19:S26)=$E$3,SUM(S19:S26),SUM(S19:S26)&amp;"误差"&amp;ROUND(SUM(S19:S26)-E3,2))</f>
        <v>8732.99</v>
      </c>
    </row>
    <row r="28" spans="1:19">
      <c r="A28" s="138"/>
      <c r="B28" s="115" t="s">
        <v>226</v>
      </c>
      <c r="C28" s="136" t="s">
        <v>227</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226</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214</v>
      </c>
      <c r="D30" s="134">
        <f>SUM(D28:D29)</f>
        <v>0</v>
      </c>
      <c r="E30" s="134">
        <f>SUM(E28:E29)</f>
        <v>0</v>
      </c>
      <c r="F30" s="134">
        <f>SUM(F28:F29)</f>
        <v>0</v>
      </c>
      <c r="G30" s="112">
        <f>SUM(G28:G29)</f>
        <v>0</v>
      </c>
      <c r="H30" s="1985"/>
      <c r="I30" s="1985"/>
      <c r="J30" s="1985"/>
      <c r="K30" s="1985"/>
      <c r="L30" s="1985"/>
    </row>
    <row r="31" spans="1:19" ht="32.25" customHeight="1" thickBot="1">
      <c r="A31" s="1370"/>
      <c r="B31" s="1371" t="s">
        <v>228</v>
      </c>
      <c r="C31" s="2331" t="s">
        <v>2324</v>
      </c>
      <c r="D31" s="1372">
        <f>D27+D30</f>
        <v>5821.99</v>
      </c>
      <c r="E31" s="1372">
        <f>E27+E30</f>
        <v>8732.99</v>
      </c>
      <c r="F31" s="1373">
        <f>F27+F30</f>
        <v>8732.99</v>
      </c>
      <c r="G31" s="1374">
        <f>G27+G30</f>
        <v>0</v>
      </c>
      <c r="H31" s="1985"/>
      <c r="I31" s="1985"/>
      <c r="J31" s="1985"/>
      <c r="K31" s="1985"/>
      <c r="L31" s="1985"/>
    </row>
    <row r="32" spans="1:19">
      <c r="A32" s="1985"/>
      <c r="B32" s="2364" t="s">
        <v>2323</v>
      </c>
      <c r="C32" s="2648"/>
      <c r="D32" s="1201"/>
      <c r="E32" s="1201">
        <f>SUMIF(C19:C26,"*住宅*",E19:E26)</f>
        <v>8732.99</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233</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234</v>
      </c>
      <c r="B2" s="2339">
        <f>项目基本情况!D3</f>
        <v>43276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2830</v>
      </c>
      <c r="O5" s="163" t="s">
        <v>245</v>
      </c>
      <c r="P5" s="165" t="s">
        <v>246</v>
      </c>
      <c r="Q5" s="166" t="s">
        <v>247</v>
      </c>
      <c r="R5" s="167" t="s">
        <v>248</v>
      </c>
      <c r="S5" s="2622" t="s">
        <v>2574</v>
      </c>
      <c r="T5" s="168" t="s">
        <v>249</v>
      </c>
      <c r="U5" s="169" t="s">
        <v>250</v>
      </c>
      <c r="V5" s="159" t="s">
        <v>251</v>
      </c>
      <c r="W5" s="159" t="s">
        <v>252</v>
      </c>
      <c r="X5" s="1819"/>
      <c r="Y5" s="170" t="s">
        <v>253</v>
      </c>
      <c r="Z5" s="171" t="s">
        <v>254</v>
      </c>
      <c r="AA5" s="159" t="s">
        <v>251</v>
      </c>
      <c r="AB5" s="159" t="s">
        <v>252</v>
      </c>
      <c r="AC5" s="1820"/>
      <c r="AD5" s="172" t="s">
        <v>253</v>
      </c>
      <c r="AE5" s="1" t="s">
        <v>869</v>
      </c>
      <c r="AF5" s="159" t="s">
        <v>255</v>
      </c>
      <c r="AG5" s="170" t="s">
        <v>256</v>
      </c>
      <c r="AH5" s="1820" t="s">
        <v>2325</v>
      </c>
      <c r="AI5" s="171" t="s">
        <v>2294</v>
      </c>
      <c r="AJ5" s="171" t="s">
        <v>257</v>
      </c>
      <c r="AK5" s="159" t="s">
        <v>258</v>
      </c>
      <c r="AL5" s="159" t="s">
        <v>259</v>
      </c>
      <c r="AM5" s="172" t="s">
        <v>260</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68167</v>
      </c>
      <c r="F6" s="174">
        <f>SUMIF(项目基本情况!D$15:I$15,C6,项目基本情况!D$19:I$19)</f>
        <v>68.19</v>
      </c>
      <c r="G6" s="175">
        <f>IF(ISERROR(ROUND(POWER(1+H6,D6-F6)*(POWER(1+H6,F6)-1)/(POWER(1+H6,D6)-1),3)),0,ROUND(POWER(1+H6,D6-F6)*(POWER(1+H6,F6)-1)/(POWER(1+H6,D6)-1),3))</f>
        <v>0.997</v>
      </c>
      <c r="H6" s="3027">
        <v>0.05</v>
      </c>
      <c r="I6" s="3027">
        <v>5.5E-2</v>
      </c>
      <c r="J6" s="176">
        <v>0.08</v>
      </c>
      <c r="K6" s="179">
        <f>SUMIF('数据-汇总表'!C$19:C$33,'数据-取费表'!A6,'数据-汇总表'!E$19:E$33)</f>
        <v>8732.99</v>
      </c>
      <c r="L6" s="3028">
        <v>2800</v>
      </c>
      <c r="M6" s="177">
        <f t="shared" ref="M6:M14" si="0">ROUND(K6*L6/10000,0)</f>
        <v>2445</v>
      </c>
      <c r="N6" s="3029">
        <v>0</v>
      </c>
      <c r="O6" s="177">
        <f>IF($N$5="成新度","——",ROUND(M6*N6,0))</f>
        <v>0</v>
      </c>
      <c r="P6" s="178">
        <f>IF($N$5="成新度","——",M6-O6)</f>
        <v>2445</v>
      </c>
      <c r="Q6" s="3214">
        <v>0.2</v>
      </c>
      <c r="R6" s="179">
        <f>SUMIF('数据-汇总表'!C$19:C$33,A6,'数据-汇总表'!R$19:R$33)</f>
        <v>5821.99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1.4999999999999999E-2</v>
      </c>
      <c r="AL6" s="190">
        <v>2E-3</v>
      </c>
      <c r="AM6" s="3041">
        <v>0.02</v>
      </c>
      <c r="AN6" s="2393"/>
      <c r="AO6" s="2001"/>
      <c r="AP6" s="1204">
        <f>ROUND(1-1/(1+H6)^F6,3)</f>
        <v>0.96399999999999997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v>0.05</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1</v>
      </c>
      <c r="V7" s="181">
        <v>1.4999999999999999E-2</v>
      </c>
      <c r="W7" s="181">
        <v>0.1</v>
      </c>
      <c r="X7" s="2322"/>
      <c r="Y7" s="182">
        <v>1</v>
      </c>
      <c r="Z7" s="183"/>
      <c r="AA7" s="176"/>
      <c r="AB7" s="176"/>
      <c r="AC7" s="2325"/>
      <c r="AD7" s="184"/>
      <c r="AE7" s="972" t="e">
        <f t="shared" ref="AE7:AE13" ca="1" si="6">IF(AN7="",0,SUMIF(INDIRECT("'"&amp;AN7&amp;"'"&amp;"!E:E"),$AE$5,INDIRECT("'"&amp;AN7&amp;"'"&amp;"!F:F")))</f>
        <v>#N/A</v>
      </c>
      <c r="AF7" s="141"/>
      <c r="AG7" s="1213">
        <f t="shared" ref="AG7:AG13" si="7">IF(AF7="",0,AE7-AF7)</f>
        <v>0</v>
      </c>
      <c r="AH7" s="141"/>
      <c r="AI7" s="187">
        <v>365</v>
      </c>
      <c r="AJ7" s="188"/>
      <c r="AK7" s="189">
        <v>1.4999999999999999E-2</v>
      </c>
      <c r="AL7" s="190">
        <v>2E-3</v>
      </c>
      <c r="AM7" s="3041">
        <v>0.02</v>
      </c>
      <c r="AN7" s="2393" t="s">
        <v>3156</v>
      </c>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v>365</v>
      </c>
      <c r="AJ8" s="188"/>
      <c r="AK8" s="189"/>
      <c r="AL8" s="190"/>
      <c r="AM8" s="304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261</v>
      </c>
      <c r="B16" s="199"/>
      <c r="C16" s="200"/>
      <c r="D16" s="201"/>
      <c r="E16" s="199"/>
      <c r="F16" s="199"/>
      <c r="G16" s="202">
        <f>ROUND(SUMPRODUCT(G6:G13,K6:K13)/SUMPRODUCT((G6:G13&gt;0)*(K6:K13)),3)</f>
        <v>0.997</v>
      </c>
      <c r="H16" s="203">
        <f>ROUND(SUMPRODUCT(H6:H13,K6:K13)/SUMPRODUCT((H6:H13&gt;0)*(K6:K13)),3)</f>
        <v>0.05</v>
      </c>
      <c r="I16" s="204"/>
      <c r="J16" s="204"/>
      <c r="K16" s="205">
        <f>SUM(K6:K15)</f>
        <v>8732.99</v>
      </c>
      <c r="L16" s="206">
        <f>ROUND(M16*10000/SUM(K6:K14),0)</f>
        <v>2800</v>
      </c>
      <c r="M16" s="206">
        <f>SUM(M6:M14)</f>
        <v>2445</v>
      </c>
      <c r="N16" s="207">
        <f>ROUND(SUMPRODUCT(M6:M14,N6:N14)/M16,3)</f>
        <v>0</v>
      </c>
      <c r="O16" s="206">
        <f>SUM(O6:O14)</f>
        <v>0</v>
      </c>
      <c r="P16" s="206">
        <f>SUM(P6:P14)</f>
        <v>2445</v>
      </c>
      <c r="Q16" s="208">
        <f>ROUND(SUMPRODUCT(Q6:Q13,K6:K13)/SUMPRODUCT((Q6:Q13&gt;0)*(K6:K13)),2)</f>
        <v>0.2</v>
      </c>
      <c r="R16" s="2312">
        <f>SUM(R6:R13)</f>
        <v>5821.99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0.96399999999999997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262</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263</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264</v>
      </c>
      <c r="B20" s="3215">
        <v>1</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265</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266</v>
      </c>
      <c r="B22" s="222">
        <f>B19+B20</f>
        <v>1</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267</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268</v>
      </c>
      <c r="B24" s="224">
        <f>B20-B21</f>
        <v>1</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269</v>
      </c>
      <c r="B26" s="225" t="s">
        <v>270</v>
      </c>
      <c r="C26" s="1996" t="s">
        <v>271</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 customHeight="1">
      <c r="A27" s="226" t="s">
        <v>2340</v>
      </c>
      <c r="B27" s="227">
        <v>136.5</v>
      </c>
      <c r="C27" s="2368" t="s">
        <v>2344</v>
      </c>
      <c r="D27" s="3190"/>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136.5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272</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273</v>
      </c>
      <c r="B31" s="230">
        <f>B30-B32</f>
        <v>60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274</v>
      </c>
      <c r="B32" s="1378">
        <v>140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277</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278</v>
      </c>
      <c r="B34" s="233">
        <v>0.05</v>
      </c>
      <c r="C34" s="2366" t="s">
        <v>2896</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275</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276</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279</v>
      </c>
      <c r="B37" s="236">
        <v>0.03</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280</v>
      </c>
      <c r="B38" s="233">
        <v>0.03</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4.3499999999999997E-2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281</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282</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283</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284</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285</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286</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287</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288</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289</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290</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291</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292</v>
      </c>
      <c r="B52" s="250">
        <f>SUMIF(A54:A63,B53,B54:B63)</f>
        <v>0.01</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293</v>
      </c>
      <c r="B53" s="251" t="s">
        <v>1155</v>
      </c>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3212">
        <v>0.01</v>
      </c>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ht="49.5">
      <c r="A64" s="253"/>
      <c r="D64" s="2000"/>
      <c r="E64" s="3191" t="s">
        <v>3150</v>
      </c>
      <c r="K64" s="57"/>
      <c r="L64" s="57"/>
    </row>
    <row r="65" spans="1:12" s="1999" customFormat="1" ht="49.5">
      <c r="A65" s="253"/>
      <c r="D65" s="2000"/>
      <c r="E65" s="3191" t="s">
        <v>3151</v>
      </c>
      <c r="K65" s="57"/>
      <c r="L65" s="57"/>
    </row>
    <row r="66" spans="1:12" s="1999" customFormat="1" ht="33">
      <c r="A66" s="253"/>
      <c r="D66" s="2000"/>
      <c r="E66" s="3191" t="s">
        <v>3152</v>
      </c>
      <c r="K66" s="57"/>
      <c r="L66" s="57"/>
    </row>
    <row r="67" spans="1:12" s="1999" customFormat="1" ht="33">
      <c r="A67" s="253"/>
      <c r="D67" s="2000"/>
      <c r="E67" s="3191" t="s">
        <v>3153</v>
      </c>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2" t="s">
        <v>1663</v>
      </c>
      <c r="B1" s="3303"/>
      <c r="C1" s="3303"/>
      <c r="D1" s="3303"/>
      <c r="E1" s="3303"/>
      <c r="F1" s="3303"/>
      <c r="G1" s="3303"/>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42.75">
      <c r="A3" s="1227" t="s">
        <v>1666</v>
      </c>
      <c r="B3" s="1228" t="s">
        <v>1653</v>
      </c>
      <c r="C3" s="3205" t="s">
        <v>3190</v>
      </c>
      <c r="D3" s="2010"/>
      <c r="E3" s="1229" t="s">
        <v>1666</v>
      </c>
      <c r="F3" s="1230" t="s">
        <v>1654</v>
      </c>
      <c r="G3" s="3085" t="s">
        <v>2922</v>
      </c>
      <c r="H3" s="2009"/>
      <c r="I3" s="2009"/>
      <c r="J3" s="2009"/>
      <c r="K3" s="2009"/>
      <c r="L3" s="2009"/>
      <c r="M3" s="2009"/>
      <c r="N3" s="2009"/>
      <c r="O3" s="2009"/>
      <c r="P3" s="2009"/>
      <c r="Q3" s="2009"/>
      <c r="R3" s="2009"/>
    </row>
    <row r="4" spans="1:18" ht="41.25">
      <c r="A4" s="1229"/>
      <c r="B4" s="1231" t="s">
        <v>1667</v>
      </c>
      <c r="C4" s="3083" t="s">
        <v>2923</v>
      </c>
      <c r="D4" s="2010"/>
      <c r="E4" s="1232"/>
      <c r="F4" s="1233" t="s">
        <v>1668</v>
      </c>
      <c r="G4" s="3084" t="s">
        <v>2919</v>
      </c>
      <c r="H4" s="2009"/>
      <c r="I4" s="2009"/>
      <c r="J4" s="2009"/>
      <c r="K4" s="2009"/>
      <c r="L4" s="2009"/>
      <c r="M4" s="2009"/>
      <c r="N4" s="2009"/>
      <c r="O4" s="2009"/>
      <c r="P4" s="2009"/>
      <c r="Q4" s="2009"/>
      <c r="R4" s="2009"/>
    </row>
    <row r="5" spans="1:18" ht="41.25">
      <c r="A5" s="1229"/>
      <c r="B5" s="1231" t="s">
        <v>1669</v>
      </c>
      <c r="C5" s="3083" t="s">
        <v>2924</v>
      </c>
      <c r="D5" s="2010"/>
      <c r="E5" s="1232"/>
      <c r="F5" s="1231" t="s">
        <v>2548</v>
      </c>
      <c r="G5" s="3084" t="s">
        <v>2920</v>
      </c>
      <c r="H5" s="2009"/>
      <c r="I5" s="2009"/>
      <c r="J5" s="2009"/>
      <c r="K5" s="2009"/>
      <c r="L5" s="2009"/>
      <c r="M5" s="2009"/>
      <c r="N5" s="2009"/>
      <c r="O5" s="2009"/>
      <c r="P5" s="2009"/>
      <c r="Q5" s="2009"/>
      <c r="R5" s="2009"/>
    </row>
    <row r="6" spans="1:18" ht="27">
      <c r="A6" s="1229"/>
      <c r="B6" s="1231" t="s">
        <v>1655</v>
      </c>
      <c r="C6" s="3206" t="s">
        <v>3191</v>
      </c>
      <c r="D6" s="2010"/>
      <c r="E6" s="1232"/>
      <c r="F6" s="1231" t="s">
        <v>2549</v>
      </c>
      <c r="G6" s="3084" t="s">
        <v>2918</v>
      </c>
      <c r="H6" s="2009"/>
      <c r="I6" s="2009"/>
      <c r="J6" s="2009"/>
      <c r="K6" s="2009"/>
      <c r="L6" s="2009"/>
      <c r="M6" s="2009"/>
      <c r="N6" s="2009"/>
      <c r="O6" s="2009"/>
      <c r="P6" s="2009"/>
      <c r="Q6" s="2009"/>
      <c r="R6" s="2009"/>
    </row>
    <row r="7" spans="1:18" ht="41.25" thickBot="1">
      <c r="A7" s="1229"/>
      <c r="B7" s="1231" t="s">
        <v>2548</v>
      </c>
      <c r="C7" s="3206" t="s">
        <v>3193</v>
      </c>
      <c r="D7" s="2011"/>
      <c r="E7" s="1234"/>
      <c r="F7" s="1235" t="s">
        <v>1670</v>
      </c>
      <c r="G7" s="3086" t="s">
        <v>2921</v>
      </c>
      <c r="H7" s="2009"/>
      <c r="I7" s="2009"/>
      <c r="J7" s="2009"/>
      <c r="K7" s="2009"/>
      <c r="L7" s="2009"/>
      <c r="M7" s="2009"/>
      <c r="N7" s="2009"/>
      <c r="O7" s="2009"/>
      <c r="P7" s="2009"/>
      <c r="Q7" s="2009"/>
      <c r="R7" s="2009"/>
    </row>
    <row r="8" spans="1:18" ht="27">
      <c r="A8" s="1229"/>
      <c r="B8" s="1231" t="s">
        <v>2549</v>
      </c>
      <c r="C8" s="3206" t="s">
        <v>3192</v>
      </c>
      <c r="D8" s="2011"/>
      <c r="E8" s="2011"/>
      <c r="F8" s="1554"/>
      <c r="G8" s="1554"/>
      <c r="H8" s="2009"/>
      <c r="I8" s="2009"/>
      <c r="J8" s="2009"/>
      <c r="K8" s="2009"/>
      <c r="L8" s="2009"/>
      <c r="M8" s="2009"/>
      <c r="N8" s="2009"/>
      <c r="O8" s="2009"/>
      <c r="P8" s="2009"/>
      <c r="Q8" s="2009"/>
      <c r="R8" s="2009"/>
    </row>
    <row r="9" spans="1:18" ht="54">
      <c r="A9" s="1229"/>
      <c r="B9" s="1231" t="s">
        <v>1656</v>
      </c>
      <c r="C9" s="3204" t="s">
        <v>3188</v>
      </c>
      <c r="D9" s="2010"/>
      <c r="E9" s="2011"/>
      <c r="F9" s="1554"/>
      <c r="G9" s="1554"/>
      <c r="H9" s="2009"/>
      <c r="I9" s="2009"/>
      <c r="J9" s="2009"/>
      <c r="K9" s="2009"/>
      <c r="L9" s="2009"/>
      <c r="M9" s="2009"/>
      <c r="N9" s="2009"/>
      <c r="O9" s="2009"/>
      <c r="P9" s="2009"/>
      <c r="Q9" s="2009"/>
      <c r="R9" s="2009"/>
    </row>
    <row r="10" spans="1:18" s="2017" customFormat="1" ht="14.25" thickBot="1">
      <c r="A10" s="1236"/>
      <c r="B10" s="1237" t="s">
        <v>1671</v>
      </c>
      <c r="C10" s="3207" t="s">
        <v>3194</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40.5">
      <c r="A15" s="2589" t="s">
        <v>1657</v>
      </c>
      <c r="B15" s="1242" t="s">
        <v>1653</v>
      </c>
      <c r="C15" s="1243" t="str">
        <f>C3</f>
        <v>骊山新家园、骊山下的院子，一般</v>
      </c>
      <c r="D15" s="2010"/>
      <c r="E15" s="2586" t="s">
        <v>1658</v>
      </c>
      <c r="F15" s="1242" t="s">
        <v>1673</v>
      </c>
      <c r="G15" s="1244" t="str">
        <f>G3</f>
        <v>估价对象位于XX开发区，园区建设成熟度XX，产业集聚程度XX</v>
      </c>
    </row>
    <row r="16" spans="1:18" ht="40.5">
      <c r="A16" s="2590"/>
      <c r="B16" s="1245" t="s">
        <v>1667</v>
      </c>
      <c r="C16" s="1246" t="str">
        <f>C4</f>
        <v>估价对象位于XX商圈，周边商业氛围成熟，人流量大，商业繁华度好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40.5">
      <c r="A18" s="2590"/>
      <c r="B18" s="1247" t="s">
        <v>1655</v>
      </c>
      <c r="C18" s="1005" t="str">
        <f>C6</f>
        <v>临支路，1公里内无公共交通，较差</v>
      </c>
      <c r="D18" s="2011"/>
      <c r="E18" s="2587"/>
      <c r="F18" s="1247" t="s">
        <v>1670</v>
      </c>
      <c r="G18" s="1005" t="str">
        <f>G7</f>
        <v>该园区内是否有污染型企业，绿化情况，卫生条件，整体环境状况判断</v>
      </c>
    </row>
    <row r="19" spans="1:7" ht="27">
      <c r="A19" s="2590"/>
      <c r="B19" s="1247" t="s">
        <v>1659</v>
      </c>
      <c r="C19" s="3208" t="s">
        <v>3195</v>
      </c>
      <c r="D19" s="2010"/>
      <c r="E19" s="2587"/>
      <c r="F19" s="1231" t="s">
        <v>2548</v>
      </c>
      <c r="G19" s="1005" t="str">
        <f>G5</f>
        <v>估价对象所在区域公共配套设施齐备情况</v>
      </c>
    </row>
    <row r="20" spans="1:7" ht="54">
      <c r="A20" s="2590"/>
      <c r="B20" s="1247" t="s">
        <v>1660</v>
      </c>
      <c r="C20" s="1246" t="str">
        <f>C9</f>
        <v>贾平凹文化艺术馆、鹦鹉寺公园、西安工程大学、北京大学光华管理学院西安分院，较好</v>
      </c>
      <c r="D20" s="2011"/>
      <c r="E20" s="2587"/>
      <c r="F20" s="1231" t="s">
        <v>2549</v>
      </c>
      <c r="G20" s="1005" t="str">
        <f>G6</f>
        <v>估价对象所在区域基础设施水平</v>
      </c>
    </row>
    <row r="21" spans="1:7" ht="27">
      <c r="A21" s="2590"/>
      <c r="B21" s="1231" t="s">
        <v>2548</v>
      </c>
      <c r="C21" s="1005" t="str">
        <f>C7</f>
        <v>估价对象所在区域公共配套设施齐备情况一般</v>
      </c>
      <c r="D21" s="2010"/>
      <c r="E21" s="2587"/>
      <c r="F21" s="1247" t="s">
        <v>1661</v>
      </c>
      <c r="G21" s="3087"/>
    </row>
    <row r="22" spans="1:7" ht="27">
      <c r="A22" s="2590"/>
      <c r="B22" s="1231" t="s">
        <v>2549</v>
      </c>
      <c r="C22" s="1005" t="str">
        <f>C8</f>
        <v>估价对象所在区域基础设施水平七通</v>
      </c>
      <c r="D22" s="2010"/>
      <c r="E22" s="2587"/>
      <c r="F22" s="1247" t="s">
        <v>1671</v>
      </c>
      <c r="G22" s="2795"/>
    </row>
    <row r="23" spans="1:7" ht="15" thickBot="1">
      <c r="A23" s="2590"/>
      <c r="B23" s="1247" t="s">
        <v>1661</v>
      </c>
      <c r="C23" s="3087"/>
      <c r="E23" s="2588"/>
      <c r="F23" s="1248" t="s">
        <v>1675</v>
      </c>
      <c r="G23" s="3088"/>
    </row>
    <row r="24" spans="1:7" ht="14.25" thickBot="1">
      <c r="A24" s="2591"/>
      <c r="B24" s="1248" t="s">
        <v>1662</v>
      </c>
      <c r="C24" s="1249" t="str">
        <f>C10</f>
        <v>支路——芷阳二路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30" sqref="B30"/>
    </sheetView>
  </sheetViews>
  <sheetFormatPr defaultColWidth="14.625" defaultRowHeight="13.5"/>
  <cols>
    <col min="1" max="1" width="24.375" customWidth="1"/>
  </cols>
  <sheetData>
    <row r="1" spans="1:9" ht="16.5">
      <c r="A1" s="3047" t="s">
        <v>2846</v>
      </c>
      <c r="B1" s="3047">
        <f>SUM(B14:B23)</f>
        <v>91405.27</v>
      </c>
      <c r="C1" s="3048"/>
      <c r="D1" s="3048"/>
      <c r="E1" s="3048"/>
      <c r="F1" s="3048"/>
    </row>
    <row r="2" spans="1:9" ht="16.5">
      <c r="A2" s="3047" t="s">
        <v>2847</v>
      </c>
      <c r="B2" s="3047">
        <f>SUM(C14:C23)</f>
        <v>60936.84</v>
      </c>
      <c r="C2" s="3048"/>
      <c r="D2" s="3048"/>
      <c r="E2" s="3048"/>
      <c r="F2" s="3048"/>
    </row>
    <row r="3" spans="1:9" ht="16.5">
      <c r="A3" s="3047" t="s">
        <v>2848</v>
      </c>
      <c r="B3" s="3049">
        <f>项目基本情况!D3</f>
        <v>43276</v>
      </c>
      <c r="C3" s="3048"/>
      <c r="D3" s="3048"/>
      <c r="E3" s="3048"/>
      <c r="F3" s="3048"/>
    </row>
    <row r="4" spans="1:9" ht="33">
      <c r="A4" s="3047" t="s">
        <v>2849</v>
      </c>
      <c r="B4" s="3047" t="s">
        <v>2850</v>
      </c>
      <c r="C4" s="3047" t="s">
        <v>2851</v>
      </c>
      <c r="D4" s="3047" t="s">
        <v>2852</v>
      </c>
      <c r="E4" s="3048"/>
      <c r="F4" s="3048"/>
    </row>
    <row r="5" spans="1:9" ht="16.5">
      <c r="A5" s="3047" t="s">
        <v>2853</v>
      </c>
      <c r="B5" s="3047">
        <f ca="1">SUM(D14:D23)</f>
        <v>32032</v>
      </c>
      <c r="C5" s="3047">
        <f ca="1">ROUND(B5*10000/$B$1,0)</f>
        <v>3504</v>
      </c>
      <c r="D5" s="3047">
        <f ca="1">ROUND(B5*10000/$B$2,0)</f>
        <v>5257</v>
      </c>
      <c r="E5" s="3048"/>
      <c r="F5" s="3048"/>
    </row>
    <row r="6" spans="1:9" ht="16.5">
      <c r="A6" s="3047" t="s">
        <v>2854</v>
      </c>
      <c r="B6" s="3047">
        <f ca="1">SUM(G14:G23)</f>
        <v>32032</v>
      </c>
      <c r="C6" s="3047">
        <f t="shared" ref="C6:C8" ca="1" si="0">ROUND(B6*10000/$B$1,0)</f>
        <v>3504</v>
      </c>
      <c r="D6" s="3047">
        <f t="shared" ref="D6:D8" ca="1" si="1">ROUND(B6*10000/$B$2,0)</f>
        <v>5257</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8732.99</v>
      </c>
      <c r="C14" s="3051">
        <f>结果表!K38</f>
        <v>5821.99</v>
      </c>
      <c r="D14" s="3051">
        <f ca="1">结果表!C42</f>
        <v>3356</v>
      </c>
      <c r="E14" s="3051">
        <f ca="1">ROUND(D14*10000/B14,0)</f>
        <v>3843</v>
      </c>
      <c r="F14" s="3051">
        <f ca="1">ROUND(D14*10000/C14,0)</f>
        <v>5764</v>
      </c>
      <c r="G14" s="3051">
        <f ca="1">结果表!C44</f>
        <v>3356</v>
      </c>
      <c r="H14" s="3051" t="str">
        <f>结果表!C45</f>
        <v>——</v>
      </c>
      <c r="I14" s="3051" t="str">
        <f>结果表!C46</f>
        <v>——</v>
      </c>
    </row>
    <row r="15" spans="1:9" ht="16.5">
      <c r="A15" s="3054" t="s">
        <v>2863</v>
      </c>
      <c r="B15" s="3055">
        <f>[2]结果表!$L$38</f>
        <v>32807.300000000003</v>
      </c>
      <c r="C15" s="3055">
        <f>[2]结果表!$K$38</f>
        <v>21871.53</v>
      </c>
      <c r="D15" s="3055">
        <f ca="1">[2]结果表!$G$19</f>
        <v>7829</v>
      </c>
      <c r="E15" s="3051">
        <f t="shared" ref="E15:E23" ca="1" si="2">ROUND(D15*10000/B15,0)</f>
        <v>2386</v>
      </c>
      <c r="F15" s="3051">
        <f t="shared" ref="F15:F23" ca="1" si="3">ROUND(D15*10000/C15,0)</f>
        <v>3580</v>
      </c>
      <c r="G15" s="3052">
        <f ca="1">D15</f>
        <v>7829</v>
      </c>
      <c r="H15" s="3052" t="s">
        <v>3221</v>
      </c>
      <c r="I15" s="3055"/>
    </row>
    <row r="16" spans="1:9" ht="16.5">
      <c r="A16" s="3054" t="s">
        <v>2864</v>
      </c>
      <c r="B16" s="3055">
        <f>[3]结果表!$L$38</f>
        <v>49864.98</v>
      </c>
      <c r="C16" s="3055">
        <f>[3]结果表!$K$38</f>
        <v>33243.32</v>
      </c>
      <c r="D16" s="3055">
        <f ca="1">[3]结果表!$O$43</f>
        <v>20847</v>
      </c>
      <c r="E16" s="3051">
        <f t="shared" ca="1" si="2"/>
        <v>4181</v>
      </c>
      <c r="F16" s="3051">
        <f t="shared" ca="1" si="3"/>
        <v>6271</v>
      </c>
      <c r="G16" s="3052">
        <f ca="1">D16</f>
        <v>20847</v>
      </c>
      <c r="H16" s="3052" t="s">
        <v>3222</v>
      </c>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3162</v>
      </c>
      <c r="E1" s="1806" t="s">
        <v>2059</v>
      </c>
      <c r="F1" s="1808" t="s">
        <v>3163</v>
      </c>
      <c r="G1" s="311"/>
      <c r="H1" s="311"/>
      <c r="I1" s="311"/>
      <c r="J1" s="2030"/>
      <c r="K1" s="2030"/>
      <c r="L1" s="2030"/>
      <c r="M1" s="2030"/>
      <c r="N1" s="2030"/>
      <c r="O1" s="2030"/>
      <c r="P1" s="2030"/>
      <c r="Q1" s="2030"/>
      <c r="R1" s="2030"/>
      <c r="S1" s="2030"/>
      <c r="T1" s="2030"/>
      <c r="U1" s="2030"/>
      <c r="V1" s="2030"/>
    </row>
    <row r="2" spans="1:22" ht="21.75" customHeight="1" thickBot="1">
      <c r="A2" s="3340" t="str">
        <f>项目基本情况!K2</f>
        <v>出让国有建设用地使用权</v>
      </c>
      <c r="B2" s="3341"/>
      <c r="C2" s="3342"/>
      <c r="D2" s="3342"/>
      <c r="E2" s="3342"/>
      <c r="F2" s="3342"/>
      <c r="G2" s="3341"/>
      <c r="H2" s="3341"/>
      <c r="I2" s="3343"/>
      <c r="J2" s="2031"/>
      <c r="K2" s="2030"/>
      <c r="L2" s="2030"/>
      <c r="M2" s="2030"/>
      <c r="N2" s="2030"/>
      <c r="O2" s="2030"/>
      <c r="P2" s="2030"/>
      <c r="Q2" s="2030"/>
      <c r="R2" s="2030"/>
      <c r="S2" s="2030"/>
      <c r="T2" s="2030"/>
      <c r="U2" s="2030"/>
      <c r="V2" s="2030"/>
    </row>
    <row r="3" spans="1:22" ht="14.25">
      <c r="A3" s="3333" t="s">
        <v>297</v>
      </c>
      <c r="B3" s="3334"/>
      <c r="C3" s="3334"/>
      <c r="D3" s="3334"/>
      <c r="E3" s="3334"/>
      <c r="F3" s="3334"/>
      <c r="G3" s="3334"/>
      <c r="H3" s="3334"/>
      <c r="I3" s="3334"/>
      <c r="J3" s="2031"/>
      <c r="K3" s="2030"/>
      <c r="L3" s="2030"/>
      <c r="M3" s="2030"/>
      <c r="N3" s="2030"/>
      <c r="O3" s="2030"/>
      <c r="P3" s="2030"/>
      <c r="Q3" s="2030"/>
      <c r="R3" s="2030"/>
      <c r="S3" s="2030"/>
      <c r="T3" s="2030"/>
      <c r="U3" s="2030"/>
      <c r="V3" s="2030"/>
    </row>
    <row r="4" spans="1:22" ht="14.25">
      <c r="A4" s="258" t="s">
        <v>298</v>
      </c>
      <c r="B4" s="259" t="s">
        <v>299</v>
      </c>
      <c r="C4" s="260" t="s">
        <v>3164</v>
      </c>
      <c r="D4" s="260" t="s">
        <v>3165</v>
      </c>
      <c r="E4" s="3305" t="s">
        <v>300</v>
      </c>
      <c r="F4" s="3306"/>
      <c r="G4" s="3306"/>
      <c r="H4" s="3306"/>
      <c r="I4" s="333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4" t="s">
        <v>301</v>
      </c>
      <c r="B5" s="3330">
        <v>25</v>
      </c>
      <c r="C5" s="3328"/>
      <c r="D5" s="3332"/>
      <c r="E5" s="261" t="s">
        <v>302</v>
      </c>
      <c r="F5" s="262"/>
      <c r="G5" s="262"/>
      <c r="H5" s="262"/>
      <c r="I5" s="263"/>
      <c r="J5" s="2031"/>
      <c r="K5" s="2030"/>
      <c r="L5" s="2030"/>
      <c r="M5" s="2030"/>
      <c r="N5" s="2030"/>
      <c r="O5" s="2030"/>
      <c r="P5" s="2030"/>
      <c r="Q5" s="2030"/>
      <c r="R5" s="2030"/>
      <c r="S5" s="2030"/>
      <c r="T5" s="2030"/>
      <c r="U5" s="2030"/>
      <c r="V5" s="2030"/>
    </row>
    <row r="6" spans="1:22" ht="14.25">
      <c r="A6" s="3304"/>
      <c r="B6" s="3330"/>
      <c r="C6" s="3331"/>
      <c r="D6" s="3332"/>
      <c r="E6" s="261" t="s">
        <v>303</v>
      </c>
      <c r="F6" s="262"/>
      <c r="G6" s="262"/>
      <c r="H6" s="262"/>
      <c r="I6" s="263"/>
      <c r="J6" s="2031"/>
      <c r="K6" s="2030"/>
      <c r="L6" s="2030"/>
      <c r="M6" s="2030"/>
      <c r="N6" s="2030"/>
      <c r="O6" s="2030"/>
      <c r="P6" s="2030"/>
      <c r="Q6" s="2030"/>
      <c r="R6" s="2030"/>
      <c r="S6" s="2030"/>
      <c r="T6" s="2030"/>
      <c r="U6" s="2030"/>
      <c r="V6" s="2030"/>
    </row>
    <row r="7" spans="1:22" ht="14.25">
      <c r="A7" s="3304"/>
      <c r="B7" s="3330"/>
      <c r="C7" s="3329"/>
      <c r="D7" s="3332"/>
      <c r="E7" s="261" t="s">
        <v>304</v>
      </c>
      <c r="F7" s="262"/>
      <c r="G7" s="262"/>
      <c r="H7" s="262"/>
      <c r="I7" s="263"/>
      <c r="J7" s="2031"/>
      <c r="K7" s="2030"/>
      <c r="L7" s="2030"/>
      <c r="M7" s="2030"/>
      <c r="N7" s="2030"/>
      <c r="O7" s="2030"/>
      <c r="P7" s="2030"/>
      <c r="Q7" s="2030"/>
      <c r="R7" s="2030"/>
      <c r="S7" s="2030"/>
      <c r="T7" s="2030"/>
      <c r="U7" s="2030"/>
      <c r="V7" s="2030"/>
    </row>
    <row r="8" spans="1:22" ht="14.25">
      <c r="A8" s="3304" t="s">
        <v>305</v>
      </c>
      <c r="B8" s="3330">
        <v>15</v>
      </c>
      <c r="C8" s="3328"/>
      <c r="D8" s="3332"/>
      <c r="E8" s="261" t="s">
        <v>306</v>
      </c>
      <c r="F8" s="262"/>
      <c r="G8" s="262"/>
      <c r="H8" s="262"/>
      <c r="I8" s="263"/>
      <c r="J8" s="2031"/>
      <c r="K8" s="2030"/>
      <c r="L8" s="2030"/>
      <c r="M8" s="2030"/>
      <c r="N8" s="2030"/>
      <c r="O8" s="2030"/>
      <c r="P8" s="2030"/>
      <c r="Q8" s="2030"/>
      <c r="R8" s="2030"/>
      <c r="S8" s="2030"/>
      <c r="T8" s="2030"/>
      <c r="U8" s="2030"/>
      <c r="V8" s="2030"/>
    </row>
    <row r="9" spans="1:22" ht="14.25">
      <c r="A9" s="3304"/>
      <c r="B9" s="3330"/>
      <c r="C9" s="3329"/>
      <c r="D9" s="3332"/>
      <c r="E9" s="261" t="s">
        <v>307</v>
      </c>
      <c r="F9" s="262"/>
      <c r="G9" s="262"/>
      <c r="H9" s="262"/>
      <c r="I9" s="263"/>
      <c r="J9" s="2031"/>
      <c r="K9" s="2030"/>
      <c r="L9" s="2030"/>
      <c r="M9" s="2030"/>
      <c r="N9" s="2030"/>
      <c r="O9" s="2030"/>
      <c r="P9" s="2030"/>
      <c r="Q9" s="2030"/>
      <c r="R9" s="2030"/>
      <c r="S9" s="2030"/>
      <c r="T9" s="2030"/>
      <c r="U9" s="2030"/>
      <c r="V9" s="2030"/>
    </row>
    <row r="10" spans="1:22" ht="14.25">
      <c r="A10" s="3304" t="s">
        <v>308</v>
      </c>
      <c r="B10" s="3330">
        <v>15</v>
      </c>
      <c r="C10" s="3328"/>
      <c r="D10" s="3332"/>
      <c r="E10" s="261" t="s">
        <v>309</v>
      </c>
      <c r="F10" s="262"/>
      <c r="G10" s="262"/>
      <c r="H10" s="262"/>
      <c r="I10" s="263"/>
      <c r="J10" s="2031"/>
      <c r="K10" s="2030"/>
      <c r="L10" s="2030"/>
      <c r="M10" s="2030"/>
      <c r="N10" s="2030"/>
      <c r="O10" s="2030"/>
      <c r="P10" s="2030"/>
      <c r="Q10" s="2030"/>
      <c r="R10" s="2030"/>
      <c r="S10" s="2030"/>
      <c r="T10" s="2030"/>
      <c r="U10" s="2030"/>
      <c r="V10" s="2030"/>
    </row>
    <row r="11" spans="1:22" ht="14.25">
      <c r="A11" s="3304"/>
      <c r="B11" s="3330"/>
      <c r="C11" s="3329"/>
      <c r="D11" s="3332"/>
      <c r="E11" s="261" t="s">
        <v>310</v>
      </c>
      <c r="F11" s="262"/>
      <c r="G11" s="262"/>
      <c r="H11" s="262"/>
      <c r="I11" s="263"/>
      <c r="J11" s="2031"/>
      <c r="K11" s="2030"/>
      <c r="L11" s="2030"/>
      <c r="M11" s="2030"/>
      <c r="N11" s="2030"/>
      <c r="O11" s="2030"/>
      <c r="P11" s="2030"/>
      <c r="Q11" s="2030"/>
      <c r="R11" s="2030"/>
      <c r="S11" s="2030"/>
      <c r="T11" s="2030"/>
      <c r="U11" s="2030"/>
      <c r="V11" s="2030"/>
    </row>
    <row r="12" spans="1:22" ht="14.25">
      <c r="A12" s="3304" t="s">
        <v>311</v>
      </c>
      <c r="B12" s="3330">
        <v>15</v>
      </c>
      <c r="C12" s="3328"/>
      <c r="D12" s="3332"/>
      <c r="E12" s="261" t="s">
        <v>312</v>
      </c>
      <c r="F12" s="262"/>
      <c r="G12" s="262"/>
      <c r="H12" s="262"/>
      <c r="I12" s="263"/>
      <c r="J12" s="2031"/>
      <c r="K12" s="2030"/>
      <c r="L12" s="2030"/>
      <c r="M12" s="2030"/>
      <c r="N12" s="2030"/>
      <c r="O12" s="2030"/>
      <c r="P12" s="2030"/>
      <c r="Q12" s="2030"/>
      <c r="R12" s="2030"/>
      <c r="S12" s="2030"/>
      <c r="T12" s="2030"/>
      <c r="U12" s="2030"/>
      <c r="V12" s="2030"/>
    </row>
    <row r="13" spans="1:22" ht="14.25">
      <c r="A13" s="3304"/>
      <c r="B13" s="3330"/>
      <c r="C13" s="3329"/>
      <c r="D13" s="3332"/>
      <c r="E13" s="261" t="s">
        <v>313</v>
      </c>
      <c r="F13" s="262"/>
      <c r="G13" s="262"/>
      <c r="H13" s="262"/>
      <c r="I13" s="263"/>
      <c r="J13" s="2031"/>
      <c r="K13" s="2030"/>
      <c r="L13" s="2030"/>
      <c r="M13" s="2030"/>
      <c r="N13" s="2030"/>
      <c r="O13" s="2030"/>
      <c r="P13" s="2030"/>
      <c r="Q13" s="2030"/>
      <c r="R13" s="2030"/>
      <c r="S13" s="2030"/>
      <c r="T13" s="2030"/>
      <c r="U13" s="2030"/>
      <c r="V13" s="2030"/>
    </row>
    <row r="14" spans="1:22" ht="14.25">
      <c r="A14" s="3304" t="s">
        <v>314</v>
      </c>
      <c r="B14" s="3330">
        <v>30</v>
      </c>
      <c r="C14" s="3328">
        <v>0.55000000000000004</v>
      </c>
      <c r="D14" s="3332">
        <f>1-C14</f>
        <v>0.44999999999999996</v>
      </c>
      <c r="E14" s="261" t="s">
        <v>315</v>
      </c>
      <c r="F14" s="262"/>
      <c r="G14" s="262"/>
      <c r="H14" s="262"/>
      <c r="I14" s="263"/>
      <c r="J14" s="2031"/>
      <c r="K14" s="2030"/>
      <c r="L14" s="2030"/>
      <c r="M14" s="2030"/>
      <c r="N14" s="2030"/>
      <c r="O14" s="2030"/>
      <c r="P14" s="2030"/>
      <c r="Q14" s="2030"/>
      <c r="R14" s="2030"/>
      <c r="S14" s="2030"/>
      <c r="T14" s="2030"/>
      <c r="U14" s="2030"/>
      <c r="V14" s="2030"/>
    </row>
    <row r="15" spans="1:22" ht="14.25">
      <c r="A15" s="3304"/>
      <c r="B15" s="3330"/>
      <c r="C15" s="3331"/>
      <c r="D15" s="3332"/>
      <c r="E15" s="261" t="s">
        <v>316</v>
      </c>
      <c r="F15" s="262"/>
      <c r="G15" s="262"/>
      <c r="H15" s="262"/>
      <c r="I15" s="263"/>
      <c r="J15" s="2031"/>
      <c r="K15" s="2030"/>
      <c r="L15" s="2030"/>
      <c r="M15" s="2030"/>
      <c r="N15" s="2030"/>
      <c r="O15" s="2030"/>
      <c r="P15" s="2030"/>
      <c r="Q15" s="2030"/>
      <c r="R15" s="2030"/>
      <c r="S15" s="2030"/>
      <c r="T15" s="2030"/>
      <c r="U15" s="2030"/>
      <c r="V15" s="2030"/>
    </row>
    <row r="16" spans="1:22" ht="14.25">
      <c r="A16" s="3304"/>
      <c r="B16" s="3330"/>
      <c r="C16" s="3329"/>
      <c r="D16" s="3332"/>
      <c r="E16" s="261" t="s">
        <v>317</v>
      </c>
      <c r="F16" s="262"/>
      <c r="G16" s="262"/>
      <c r="H16" s="262"/>
      <c r="I16" s="263"/>
      <c r="J16" s="2031"/>
      <c r="K16" s="2030"/>
      <c r="L16" s="2030"/>
      <c r="M16" s="2030"/>
      <c r="N16" s="2030"/>
      <c r="O16" s="2030"/>
      <c r="P16" s="2030"/>
      <c r="Q16" s="2030"/>
      <c r="R16" s="2030"/>
      <c r="S16" s="2030"/>
      <c r="T16" s="2030"/>
      <c r="U16" s="2030"/>
      <c r="V16" s="2030"/>
    </row>
    <row r="17" spans="1:26" ht="15">
      <c r="A17" s="264" t="s">
        <v>318</v>
      </c>
      <c r="B17" s="144"/>
      <c r="C17" s="265">
        <f>SUM(C5:C16)</f>
        <v>0.55000000000000004</v>
      </c>
      <c r="D17" s="265">
        <f>SUM(D5:D16)</f>
        <v>0.44999999999999996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319</v>
      </c>
      <c r="B18" s="105"/>
      <c r="C18" s="267">
        <f>ROUND(C17/SUM(C17:D17),2)</f>
        <v>0.55000000000000004</v>
      </c>
      <c r="D18" s="267">
        <f>1-C18</f>
        <v>0.44999999999999996</v>
      </c>
      <c r="E18" s="311"/>
      <c r="F18" s="311"/>
      <c r="G18" s="311"/>
      <c r="H18" s="311"/>
      <c r="I18" s="311"/>
      <c r="J18" s="2030"/>
      <c r="K18" s="2030"/>
      <c r="L18" s="2030"/>
      <c r="M18" s="2030"/>
      <c r="N18" s="2030"/>
      <c r="O18" s="2030"/>
      <c r="P18" s="2030"/>
      <c r="Q18" s="2030"/>
      <c r="R18" s="2030"/>
      <c r="S18" s="2030"/>
      <c r="T18" s="2030"/>
      <c r="U18" s="2030"/>
      <c r="V18" s="2030"/>
    </row>
    <row r="19" spans="1:26" ht="15">
      <c r="A19" s="268" t="s">
        <v>320</v>
      </c>
      <c r="B19" s="269" t="s">
        <v>321</v>
      </c>
      <c r="C19" s="270">
        <f ca="1">SUMIF(INDIRECT("'"&amp;C4&amp;"'"&amp;"!A:A"),结果表!B19,INDIRECT("'"&amp;C4&amp;"'"&amp;"!B:B"))</f>
        <v>2166</v>
      </c>
      <c r="D19" s="271">
        <f ca="1">SUMIF(INDIRECT("'"&amp;D4&amp;"'"&amp;"!A:A"),结果表!B19,INDIRECT("'"&amp;D4&amp;"'"&amp;"!B:B"))</f>
        <v>4844</v>
      </c>
      <c r="E19" s="268" t="s">
        <v>322</v>
      </c>
      <c r="F19" s="269" t="s">
        <v>321</v>
      </c>
      <c r="G19" s="272">
        <f ca="1">ROUND(C19*$C$18+D19*$D$18,0)</f>
        <v>3371</v>
      </c>
      <c r="H19" s="273" t="s">
        <v>323</v>
      </c>
      <c r="I19" s="311"/>
      <c r="J19" s="2030"/>
      <c r="K19" s="2030"/>
      <c r="L19" s="2030"/>
      <c r="M19" s="2030"/>
      <c r="N19" s="2030"/>
      <c r="O19" s="2030"/>
      <c r="P19" s="2030"/>
      <c r="Q19" s="2030"/>
      <c r="R19" s="2030"/>
      <c r="S19" s="2030"/>
      <c r="T19" s="2030"/>
      <c r="U19" s="2030"/>
      <c r="V19" s="2030"/>
    </row>
    <row r="20" spans="1:26" ht="15">
      <c r="A20" s="274"/>
      <c r="B20" s="275" t="s">
        <v>324</v>
      </c>
      <c r="C20" s="276">
        <f ca="1">SUMIF(INDIRECT("'"&amp;C4&amp;"'"&amp;"!A:A"),结果表!B20,INDIRECT("'"&amp;C4&amp;"'"&amp;"!B:B"))</f>
        <v>2480</v>
      </c>
      <c r="D20" s="277">
        <f ca="1">SUMIF(INDIRECT("'"&amp;D4&amp;"'"&amp;"!A:A"),结果表!B20,INDIRECT("'"&amp;D4&amp;"'"&amp;"!B:B"))</f>
        <v>5547</v>
      </c>
      <c r="E20" s="274"/>
      <c r="F20" s="275" t="s">
        <v>324</v>
      </c>
      <c r="G20" s="278">
        <f ca="1">ROUND(C20*$C$18+D20*$D$18,0)</f>
        <v>3860</v>
      </c>
      <c r="H20" s="279" t="s">
        <v>325</v>
      </c>
      <c r="I20" s="311"/>
      <c r="J20" s="2030"/>
      <c r="K20" s="2030"/>
      <c r="L20" s="2030"/>
      <c r="M20" s="2030"/>
      <c r="N20" s="2030"/>
      <c r="O20" s="2030"/>
      <c r="P20" s="2030"/>
      <c r="Q20" s="2030"/>
      <c r="R20" s="2030"/>
      <c r="S20" s="2030"/>
      <c r="T20" s="2030"/>
      <c r="U20" s="2030"/>
      <c r="V20" s="2030"/>
    </row>
    <row r="21" spans="1:26" ht="15" customHeight="1">
      <c r="A21" s="274"/>
      <c r="B21" s="280" t="s">
        <v>326</v>
      </c>
      <c r="C21" s="281">
        <f ca="1">SUMIF(INDIRECT("'"&amp;C4&amp;"'"&amp;"!A:A"),结果表!B21,INDIRECT("'"&amp;C4&amp;"'"&amp;"!B:B"))</f>
        <v>3721</v>
      </c>
      <c r="D21" s="151">
        <f ca="1">SUMIF(INDIRECT("'"&amp;D4&amp;"'"&amp;"!A:A"),结果表!B21,INDIRECT("'"&amp;D4&amp;"'"&amp;"!B:B"))</f>
        <v>8320</v>
      </c>
      <c r="E21" s="274"/>
      <c r="F21" s="280" t="s">
        <v>326</v>
      </c>
      <c r="G21" s="282">
        <f ca="1">ROUND(C21*$C$18+D21*$D$18,0)</f>
        <v>5791</v>
      </c>
      <c r="H21" s="1251" t="s">
        <v>325</v>
      </c>
      <c r="I21" s="311"/>
      <c r="J21" s="2030"/>
      <c r="K21" s="2030"/>
      <c r="L21" s="2030"/>
      <c r="M21" s="2030"/>
      <c r="N21" s="2030"/>
      <c r="O21" s="2030"/>
      <c r="P21" s="2030"/>
      <c r="Q21" s="2030"/>
      <c r="R21" s="2030"/>
      <c r="S21" s="2030"/>
      <c r="T21" s="2030"/>
      <c r="U21" s="2030"/>
      <c r="V21" s="2030"/>
    </row>
    <row r="22" spans="1:26" ht="15.75" thickBot="1">
      <c r="A22" s="126" t="s">
        <v>327</v>
      </c>
      <c r="B22" s="1252"/>
      <c r="C22" s="1253"/>
      <c r="D22" s="283">
        <f ca="1">IF(C19&lt;D19,D19/C19-1,C19/D19-1)</f>
        <v>1.2363804247460757</v>
      </c>
      <c r="E22" s="284"/>
      <c r="F22" s="285"/>
      <c r="G22" s="286">
        <f ca="1">ROUND(G19/('数据-汇总表'!D3/666.67),0)</f>
        <v>386</v>
      </c>
      <c r="H22" s="287" t="s">
        <v>328</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0" t="s">
        <v>329</v>
      </c>
      <c r="B24" s="269" t="s">
        <v>321</v>
      </c>
      <c r="C24" s="288">
        <f>IF(B30=0,0,D30)</f>
        <v>15</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11"/>
      <c r="B25" s="1321" t="s">
        <v>330</v>
      </c>
      <c r="C25" s="290">
        <f>IF(B30=0,0,C30)</f>
        <v>25</v>
      </c>
      <c r="D25" s="291"/>
      <c r="E25" s="311"/>
      <c r="F25" s="311"/>
      <c r="G25" s="311"/>
      <c r="H25" s="311"/>
      <c r="I25" s="311"/>
      <c r="J25" s="2030"/>
      <c r="K25" s="1255" t="str">
        <f ca="1">项目基本情况!B16&amp;"国有建设用地使用权价格："&amp;O38&amp;"万元"</f>
        <v>出让国有建设用地使用权价格：3356万元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大写金额：人民币叁仟叁佰伍拾陆万元整</v>
      </c>
      <c r="L26" s="1252"/>
      <c r="M26" s="1252"/>
      <c r="N26" s="1252"/>
      <c r="O26" s="1251"/>
      <c r="P26" s="2030"/>
      <c r="Q26" s="2030"/>
      <c r="R26" s="2030"/>
      <c r="S26" s="2030"/>
      <c r="T26" s="2030"/>
      <c r="U26" s="2030"/>
      <c r="V26" s="2030"/>
      <c r="W26" s="292"/>
      <c r="X26" s="292"/>
      <c r="Y26" s="292"/>
      <c r="Z26" s="292"/>
    </row>
    <row r="27" spans="1:26" ht="18">
      <c r="A27" s="3211" t="s">
        <v>3223</v>
      </c>
      <c r="B27" s="294">
        <f>'数据-汇总表'!D5</f>
        <v>5821.99</v>
      </c>
      <c r="C27" s="294">
        <v>25</v>
      </c>
      <c r="D27" s="295">
        <f>ROUND(B27*C27/10000,0)</f>
        <v>15</v>
      </c>
      <c r="E27" s="311"/>
      <c r="F27" s="311"/>
      <c r="G27" s="311"/>
      <c r="H27" s="311"/>
      <c r="I27" s="311"/>
      <c r="J27" s="2030"/>
      <c r="K27" s="1258" t="str">
        <f ca="1">"单位面积地价："&amp;M38&amp;"元/平方米"</f>
        <v>单位面积地价：5764元/平方米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楼面地价：3843元/平方米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抵押价格：3356万元</v>
      </c>
      <c r="L29" s="1252"/>
      <c r="M29" s="1252"/>
      <c r="N29" s="1252"/>
      <c r="O29" s="1251"/>
      <c r="P29" s="2030"/>
      <c r="V29" s="2030"/>
    </row>
    <row r="30" spans="1:26" ht="18.75" thickBot="1">
      <c r="A30" s="3130" t="s">
        <v>335</v>
      </c>
      <c r="B30" s="309">
        <f>B27</f>
        <v>5821.99</v>
      </c>
      <c r="C30" s="309">
        <f>C27</f>
        <v>25</v>
      </c>
      <c r="D30" s="310">
        <f>D27</f>
        <v>15</v>
      </c>
      <c r="E30" s="3131" t="s">
        <v>2971</v>
      </c>
      <c r="F30" s="311"/>
      <c r="G30" s="311"/>
      <c r="H30" s="311"/>
      <c r="I30" s="311"/>
      <c r="J30" s="2030"/>
      <c r="K30" s="1258" t="str">
        <f ca="1">IF(K29="——","——","大写金额：人民币"&amp;NUMBERSTRING(INT(O39*10000),2)&amp;"元整")</f>
        <v>大写金额：人民币叁仟叁佰伍拾陆万元整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336</v>
      </c>
      <c r="B32" s="1382" t="s">
        <v>1688</v>
      </c>
      <c r="C32" s="1383">
        <f ca="1">G19-C24</f>
        <v>3356</v>
      </c>
      <c r="D32" s="1384" t="s">
        <v>1689</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339</v>
      </c>
      <c r="B33" s="1385" t="s">
        <v>1690</v>
      </c>
      <c r="C33" s="264">
        <f ca="1">ROUND(C32*10000/'数据-汇总表'!E3,0)</f>
        <v>3843</v>
      </c>
      <c r="D33" s="1386" t="s">
        <v>1691</v>
      </c>
      <c r="E33" s="3310"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5764</v>
      </c>
      <c r="D34" s="1388" t="s">
        <v>1691</v>
      </c>
      <c r="E34" s="3351"/>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384</v>
      </c>
      <c r="D35" s="1391" t="s">
        <v>1693</v>
      </c>
      <c r="E35" s="3352"/>
      <c r="F35" s="301" t="s">
        <v>341</v>
      </c>
      <c r="G35" s="982"/>
      <c r="H35" s="981" t="s">
        <v>342</v>
      </c>
      <c r="I35" s="311"/>
      <c r="J35" s="2030"/>
      <c r="K35" s="3325" t="s">
        <v>349</v>
      </c>
      <c r="L35" s="3325" t="s">
        <v>350</v>
      </c>
      <c r="M35" s="1264" t="s">
        <v>351</v>
      </c>
      <c r="N35" s="3325" t="s">
        <v>352</v>
      </c>
      <c r="O35" s="3325" t="s">
        <v>353</v>
      </c>
      <c r="P35" s="2030"/>
      <c r="V35" s="2030"/>
    </row>
    <row r="36" spans="1:26" ht="16.5" customHeight="1">
      <c r="A36" s="303" t="s">
        <v>343</v>
      </c>
      <c r="B36" s="304" t="s">
        <v>332</v>
      </c>
      <c r="C36" s="305" t="s">
        <v>344</v>
      </c>
      <c r="D36" s="305" t="s">
        <v>345</v>
      </c>
      <c r="E36" s="306" t="s">
        <v>346</v>
      </c>
      <c r="F36" s="311"/>
      <c r="G36" s="311"/>
      <c r="H36" s="311"/>
      <c r="I36" s="311"/>
      <c r="J36" s="2032"/>
      <c r="K36" s="3326"/>
      <c r="L36" s="3326"/>
      <c r="M36" s="1266" t="s">
        <v>354</v>
      </c>
      <c r="N36" s="3326"/>
      <c r="O36" s="3326"/>
      <c r="P36" s="2030"/>
      <c r="V36" s="2030"/>
    </row>
    <row r="37" spans="1:26" ht="16.5" customHeight="1" thickBot="1">
      <c r="A37" s="1260" t="s">
        <v>347</v>
      </c>
      <c r="B37" s="307"/>
      <c r="C37" s="294"/>
      <c r="D37" s="294"/>
      <c r="E37" s="295"/>
      <c r="F37" s="311"/>
      <c r="G37" s="311"/>
      <c r="H37" s="311"/>
      <c r="I37" s="311"/>
      <c r="J37" s="2032"/>
      <c r="K37" s="3327"/>
      <c r="L37" s="3327"/>
      <c r="M37" s="1267"/>
      <c r="N37" s="3327"/>
      <c r="O37" s="3327"/>
      <c r="P37" s="2030"/>
      <c r="V37" s="2030"/>
    </row>
    <row r="38" spans="1:26" ht="16.5" customHeight="1" thickBot="1">
      <c r="A38" s="1260" t="s">
        <v>348</v>
      </c>
      <c r="B38" s="307"/>
      <c r="C38" s="294"/>
      <c r="D38" s="294"/>
      <c r="E38" s="295"/>
      <c r="F38" s="311"/>
      <c r="G38" s="311"/>
      <c r="H38" s="311"/>
      <c r="I38" s="311"/>
      <c r="J38" s="2032"/>
      <c r="K38" s="1268">
        <f>'数据-汇总表'!D3</f>
        <v>5821.99</v>
      </c>
      <c r="L38" s="1269">
        <f>'数据-汇总表'!E3</f>
        <v>8732.99</v>
      </c>
      <c r="M38" s="1269">
        <f ca="1">C34</f>
        <v>5764</v>
      </c>
      <c r="N38" s="1269">
        <f ca="1">C33</f>
        <v>3843</v>
      </c>
      <c r="O38" s="1270">
        <f ca="1">C32</f>
        <v>3356</v>
      </c>
      <c r="P38" s="2030"/>
      <c r="V38" s="2030"/>
    </row>
    <row r="39" spans="1:26" ht="16.5" customHeight="1" thickBot="1">
      <c r="A39" s="1265"/>
      <c r="B39" s="308"/>
      <c r="C39" s="309"/>
      <c r="D39" s="309"/>
      <c r="E39" s="310"/>
      <c r="F39" s="311"/>
      <c r="G39" s="311"/>
      <c r="H39" s="311"/>
      <c r="I39" s="311"/>
      <c r="J39" s="2032"/>
      <c r="K39" s="3370" t="str">
        <f>MID(A44,3,LEN(A44)-2)</f>
        <v>抵押价格</v>
      </c>
      <c r="L39" s="3371"/>
      <c r="M39" s="3371"/>
      <c r="N39" s="3372"/>
      <c r="O39" s="1393">
        <f ca="1">C44</f>
        <v>3356</v>
      </c>
      <c r="P39" s="2030"/>
      <c r="V39" s="2030"/>
    </row>
    <row r="40" spans="1:26" ht="19.5" thickBot="1">
      <c r="A40" s="104" t="s">
        <v>872</v>
      </c>
      <c r="B40" s="311"/>
      <c r="C40" s="311"/>
      <c r="D40" s="311"/>
      <c r="E40" s="311"/>
      <c r="F40" s="311"/>
      <c r="G40" s="311"/>
      <c r="H40" s="311"/>
      <c r="I40" s="311"/>
      <c r="J40" s="2032"/>
      <c r="K40" s="3370" t="str">
        <f t="shared" ref="K40:K41" si="0">MID(A45,3,LEN(A45)-2)</f>
        <v/>
      </c>
      <c r="L40" s="3371"/>
      <c r="M40" s="3371"/>
      <c r="N40" s="3372"/>
      <c r="O40" s="1393" t="str">
        <f>C45</f>
        <v>——</v>
      </c>
      <c r="P40" s="2030"/>
      <c r="V40" s="2030"/>
    </row>
    <row r="41" spans="1:26" ht="16.5" thickBot="1">
      <c r="A41" s="312" t="s">
        <v>355</v>
      </c>
      <c r="B41" s="313"/>
      <c r="C41" s="314" t="s">
        <v>356</v>
      </c>
      <c r="D41" s="315" t="s">
        <v>357</v>
      </c>
      <c r="E41" s="315" t="s">
        <v>358</v>
      </c>
      <c r="F41" s="316" t="s">
        <v>359</v>
      </c>
      <c r="G41" s="311"/>
      <c r="H41" s="311"/>
      <c r="I41" s="311"/>
      <c r="J41" s="2032"/>
      <c r="K41" s="3370" t="str">
        <f t="shared" si="0"/>
        <v/>
      </c>
      <c r="L41" s="3371"/>
      <c r="M41" s="3371"/>
      <c r="N41" s="3372"/>
      <c r="O41" s="1393" t="str">
        <f>C46</f>
        <v>——</v>
      </c>
      <c r="P41" s="2030"/>
      <c r="V41" s="2030"/>
    </row>
    <row r="42" spans="1:26" ht="29.25">
      <c r="A42" s="3312" t="s">
        <v>2069</v>
      </c>
      <c r="B42" s="3313"/>
      <c r="C42" s="264">
        <f ca="1">C32</f>
        <v>3356</v>
      </c>
      <c r="D42" s="317">
        <f ca="1">C33</f>
        <v>3843</v>
      </c>
      <c r="E42" s="317">
        <f ca="1">C34</f>
        <v>5764</v>
      </c>
      <c r="F42" s="318">
        <f ca="1">C35</f>
        <v>384</v>
      </c>
      <c r="G42" s="311"/>
      <c r="H42" s="311"/>
      <c r="I42" s="319"/>
      <c r="J42" s="2032"/>
      <c r="K42" s="1271" t="s">
        <v>360</v>
      </c>
      <c r="L42" s="2049" t="s">
        <v>361</v>
      </c>
      <c r="M42" s="1272" t="s">
        <v>362</v>
      </c>
      <c r="N42" s="2050" t="s">
        <v>363</v>
      </c>
      <c r="O42" s="2051" t="s">
        <v>364</v>
      </c>
      <c r="P42" s="2030"/>
      <c r="V42" s="2030"/>
    </row>
    <row r="43" spans="1:26" ht="30">
      <c r="A43" s="3323" t="s">
        <v>2732</v>
      </c>
      <c r="B43" s="3324"/>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2166</v>
      </c>
      <c r="M43" s="1275">
        <f>C18</f>
        <v>0.55000000000000004</v>
      </c>
      <c r="N43" s="1276">
        <f ca="1">IF(N42="测算结果/万元",G19,G20)</f>
        <v>3371</v>
      </c>
      <c r="O43" s="1277">
        <f ca="1">IF(O42="最终结果/万元",C32,C33)</f>
        <v>3356</v>
      </c>
      <c r="P43" s="2030"/>
      <c r="V43" s="2030"/>
    </row>
    <row r="44" spans="1:26" ht="30.75" thickBot="1">
      <c r="A44" s="3312" t="str">
        <f>IF(OR(项目基本情况!E8="抵押价格",项目基本情况!E8="已注销及未注销"),"3.抵押价格","——")</f>
        <v>3.抵押价格</v>
      </c>
      <c r="B44" s="3313"/>
      <c r="C44" s="264">
        <f ca="1">IF(A44="——","——",C42-C43)</f>
        <v>3356</v>
      </c>
      <c r="D44" s="317">
        <f ca="1">ROUND(C44*10000/'数据-汇总表'!E3,0)</f>
        <v>3843</v>
      </c>
      <c r="E44" s="317">
        <f ca="1">ROUND(C44*10000/'数据-汇总表'!D3,0)</f>
        <v>5764</v>
      </c>
      <c r="F44" s="318">
        <f ca="1">ROUND(C44/('数据-汇总表'!D3/666.67),0)</f>
        <v>384</v>
      </c>
      <c r="G44" s="311"/>
      <c r="H44" s="311"/>
      <c r="I44" s="319"/>
      <c r="J44" s="2032"/>
      <c r="K44" s="1278" t="str">
        <f>D4</f>
        <v>剩余法-待开发</v>
      </c>
      <c r="L44" s="1279">
        <f ca="1">IF(L42="估价结果/万元",D19,D20)</f>
        <v>4844</v>
      </c>
      <c r="M44" s="1280">
        <f>D18</f>
        <v>0.44999999999999996</v>
      </c>
      <c r="N44" s="1281"/>
      <c r="O44" s="1282"/>
      <c r="P44" s="2030"/>
      <c r="V44" s="2030"/>
    </row>
    <row r="45" spans="1:26" ht="15">
      <c r="A45" s="3318" t="str">
        <f>IF(项目基本情况!E8="已注销及未注销","4.抵押担保权已注销时的抵押价格",IF(项目基本情况!E8="已注销","3.抵押担保权已注销时的抵押价格","——"))</f>
        <v>——</v>
      </c>
      <c r="B45" s="3319"/>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4" t="str">
        <f>IF(项目基本情况!E9="抵押净值",IF(A45="——","4.抵押净值","5.抵押净值"),"——")</f>
        <v>——</v>
      </c>
      <c r="B46" s="331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59" t="s">
        <v>373</v>
      </c>
      <c r="B63" s="3360"/>
      <c r="C63" s="3361"/>
      <c r="D63" s="341">
        <f ca="1">ROUND(C42*F63,0)</f>
        <v>2014</v>
      </c>
      <c r="E63" s="302" t="s">
        <v>374</v>
      </c>
      <c r="F63" s="342">
        <v>0.6</v>
      </c>
      <c r="G63" s="343" t="s">
        <v>375</v>
      </c>
      <c r="H63" s="311"/>
      <c r="I63" s="311"/>
      <c r="J63" s="2030"/>
      <c r="K63" s="2030"/>
      <c r="L63" s="2030"/>
      <c r="M63" s="2030"/>
      <c r="N63" s="2030"/>
      <c r="O63" s="2030"/>
      <c r="P63" s="311"/>
      <c r="Q63" s="2030"/>
      <c r="R63" s="2030"/>
      <c r="S63" s="2030"/>
      <c r="T63" s="2030"/>
      <c r="U63" s="2030"/>
      <c r="V63" s="2030"/>
    </row>
    <row r="64" spans="1:22" ht="14.25" customHeight="1">
      <c r="A64" s="3320" t="s">
        <v>377</v>
      </c>
      <c r="B64" s="3321"/>
      <c r="C64" s="3321"/>
      <c r="D64" s="3321"/>
      <c r="E64" s="3321"/>
      <c r="F64" s="3321"/>
      <c r="G64" s="3322"/>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16" t="s">
        <v>385</v>
      </c>
      <c r="B66" s="3317"/>
      <c r="C66" s="3317"/>
      <c r="D66" s="261">
        <f ca="1">IF(H66="情况1",0,IF(H66="情况2",D70,IF(H66="情况3",D71,IF(H66="情况4",D72))))</f>
        <v>105</v>
      </c>
      <c r="E66" s="993" t="str">
        <f>IF(H66="情况4","(销售额-原购置价)×税（费）率","销售额×税（费）率")</f>
        <v>销售额×税（费）率</v>
      </c>
      <c r="F66" s="350">
        <f>IF(H66="情况1","免征",'数据-取费表'!B41)</f>
        <v>5.5000000000000007E-2</v>
      </c>
      <c r="G66" s="351" t="s">
        <v>386</v>
      </c>
      <c r="H66" s="191" t="s">
        <v>387</v>
      </c>
      <c r="I66" s="1288"/>
      <c r="J66" s="2036"/>
      <c r="K66" s="1291">
        <v>1</v>
      </c>
      <c r="L66" s="3374" t="s">
        <v>384</v>
      </c>
      <c r="M66" s="3375"/>
      <c r="N66" s="2460"/>
      <c r="O66" s="2461"/>
      <c r="P66" s="2462"/>
      <c r="Q66" s="2030"/>
      <c r="R66" s="2030"/>
      <c r="S66" s="2030"/>
      <c r="T66" s="2030"/>
      <c r="U66" s="2030"/>
      <c r="V66" s="2030"/>
    </row>
    <row r="67" spans="1:22" ht="25.5" customHeight="1">
      <c r="A67" s="352" t="s">
        <v>389</v>
      </c>
      <c r="B67" s="3307" t="s">
        <v>390</v>
      </c>
      <c r="C67" s="3307"/>
      <c r="D67" s="353">
        <v>0</v>
      </c>
      <c r="E67" s="41" t="s">
        <v>391</v>
      </c>
      <c r="F67" s="62" t="s">
        <v>21</v>
      </c>
      <c r="G67" s="3362"/>
      <c r="H67" s="311"/>
      <c r="I67" s="1292"/>
      <c r="J67" s="2037"/>
      <c r="K67" s="1978">
        <v>2</v>
      </c>
      <c r="L67" s="3373" t="s">
        <v>388</v>
      </c>
      <c r="M67" s="3373"/>
      <c r="N67" s="1325">
        <f>'数据-取费表'!B2</f>
        <v>43276</v>
      </c>
      <c r="O67" s="1325"/>
      <c r="P67" s="1325"/>
      <c r="Q67" s="2030"/>
      <c r="R67" s="2030"/>
      <c r="S67" s="2030"/>
      <c r="T67" s="2030"/>
      <c r="U67" s="2030"/>
      <c r="V67" s="2030"/>
    </row>
    <row r="68" spans="1:22" ht="25.5" customHeight="1">
      <c r="A68" s="354"/>
      <c r="B68" s="3307" t="s">
        <v>393</v>
      </c>
      <c r="C68" s="3307"/>
      <c r="D68" s="355"/>
      <c r="E68" s="77"/>
      <c r="F68" s="356"/>
      <c r="G68" s="3363"/>
      <c r="H68" s="311"/>
      <c r="I68" s="1292"/>
      <c r="J68" s="2037"/>
      <c r="K68" s="1978">
        <v>3</v>
      </c>
      <c r="L68" s="3373" t="s">
        <v>392</v>
      </c>
      <c r="M68" s="3373"/>
      <c r="N68" s="1293">
        <f ca="1">C42</f>
        <v>3356</v>
      </c>
      <c r="O68" s="1293"/>
      <c r="P68" s="1293"/>
      <c r="Q68" s="2030"/>
      <c r="R68" s="2030"/>
      <c r="S68" s="2030"/>
      <c r="T68" s="2030"/>
      <c r="U68" s="2030"/>
      <c r="V68" s="2030"/>
    </row>
    <row r="69" spans="1:22" ht="12" customHeight="1">
      <c r="A69" s="357"/>
      <c r="B69" s="3307" t="s">
        <v>394</v>
      </c>
      <c r="C69" s="3307"/>
      <c r="D69" s="358"/>
      <c r="E69" s="73"/>
      <c r="F69" s="356"/>
      <c r="G69" s="3364"/>
      <c r="H69" s="311"/>
      <c r="I69" s="1292"/>
      <c r="J69" s="2037"/>
      <c r="K69" s="1294">
        <v>4</v>
      </c>
      <c r="L69" s="3378" t="s">
        <v>2885</v>
      </c>
      <c r="M69" s="3379"/>
      <c r="N69" s="1295">
        <f ca="1">C44</f>
        <v>3356</v>
      </c>
      <c r="O69" s="1295"/>
      <c r="P69" s="1295"/>
      <c r="Q69" s="2030"/>
      <c r="R69" s="2030"/>
      <c r="S69" s="2030"/>
      <c r="T69" s="2030"/>
      <c r="U69" s="2030"/>
      <c r="V69" s="2030"/>
    </row>
    <row r="70" spans="1:22" ht="24" customHeight="1">
      <c r="A70" s="359" t="s">
        <v>395</v>
      </c>
      <c r="B70" s="3307" t="s">
        <v>396</v>
      </c>
      <c r="C70" s="3307"/>
      <c r="D70" s="358">
        <f ca="1">ROUND(D63*'数据-取费表'!B41/(1+'数据-取费表'!C42),0)</f>
        <v>105</v>
      </c>
      <c r="E70" s="17" t="s">
        <v>397</v>
      </c>
      <c r="F70" s="360">
        <f>'数据-取费表'!B41</f>
        <v>5.5000000000000007E-2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403</v>
      </c>
      <c r="B71" s="3308" t="s">
        <v>404</v>
      </c>
      <c r="C71" s="3309"/>
      <c r="D71" s="358">
        <f ca="1">ROUND(D63*'数据-取费表'!B41/(1+'数据-取费表'!C42),0)</f>
        <v>105</v>
      </c>
      <c r="E71" s="17" t="s">
        <v>397</v>
      </c>
      <c r="F71" s="360">
        <f>'数据-取费表'!B41</f>
        <v>5.5000000000000007E-2</v>
      </c>
      <c r="G71" s="361"/>
      <c r="H71" s="311"/>
      <c r="I71" s="1292"/>
      <c r="J71" s="2037"/>
      <c r="K71" s="3063" t="s">
        <v>398</v>
      </c>
      <c r="L71" s="3380" t="s">
        <v>399</v>
      </c>
      <c r="M71" s="3380"/>
      <c r="N71" s="3063" t="s">
        <v>400</v>
      </c>
      <c r="O71" s="3063" t="s">
        <v>401</v>
      </c>
      <c r="P71" s="3063" t="s">
        <v>402</v>
      </c>
      <c r="Q71" s="2030"/>
      <c r="R71" s="2030"/>
      <c r="S71" s="2030"/>
      <c r="T71" s="2030"/>
      <c r="U71" s="2030"/>
      <c r="V71" s="2030"/>
    </row>
    <row r="72" spans="1:22" ht="12" customHeight="1">
      <c r="A72" s="359" t="s">
        <v>406</v>
      </c>
      <c r="B72" s="3308" t="s">
        <v>407</v>
      </c>
      <c r="C72" s="3309"/>
      <c r="D72" s="358">
        <f ca="1">C86</f>
        <v>0</v>
      </c>
      <c r="E72" s="73" t="s">
        <v>408</v>
      </c>
      <c r="F72" s="360">
        <f>'数据-取费表'!B41</f>
        <v>5.5000000000000007E-2</v>
      </c>
      <c r="G72" s="361"/>
      <c r="H72" s="1298"/>
      <c r="I72" s="1292"/>
      <c r="J72" s="2037"/>
      <c r="K72" s="1978">
        <v>1</v>
      </c>
      <c r="L72" s="3355" t="s">
        <v>405</v>
      </c>
      <c r="M72" s="3355"/>
      <c r="N72" s="1296">
        <f ca="1">D66</f>
        <v>105</v>
      </c>
      <c r="O72" s="1861" t="str">
        <f>E66</f>
        <v>销售额×税（费）率</v>
      </c>
      <c r="P72" s="1297">
        <f>F66</f>
        <v>5.5000000000000007E-2</v>
      </c>
      <c r="Q72" s="2030"/>
      <c r="R72" s="2030"/>
      <c r="S72" s="2030"/>
      <c r="T72" s="2030"/>
      <c r="U72" s="2030"/>
      <c r="V72" s="2030"/>
    </row>
    <row r="73" spans="1:22" ht="24" customHeight="1">
      <c r="A73" s="3349" t="s">
        <v>410</v>
      </c>
      <c r="B73" s="3317"/>
      <c r="C73" s="3317"/>
      <c r="D73" s="362">
        <f>IF(H73="个人住宅",0,ROUND(D63*I73,0))</f>
        <v>0</v>
      </c>
      <c r="E73" s="17" t="s">
        <v>411</v>
      </c>
      <c r="F73" s="360" t="str">
        <f>IF(H73="正常",I73,"免征")</f>
        <v>免征</v>
      </c>
      <c r="G73" s="361"/>
      <c r="H73" s="191" t="s">
        <v>2457</v>
      </c>
      <c r="I73" s="360">
        <f>'数据-取费表'!B49</f>
        <v>5.0000000000000001E-4</v>
      </c>
      <c r="J73" s="2037"/>
      <c r="K73" s="1978">
        <v>2</v>
      </c>
      <c r="L73" s="3355" t="s">
        <v>409</v>
      </c>
      <c r="M73" s="3355"/>
      <c r="N73" s="1296">
        <f t="shared" ref="N73:P74" si="1">D73</f>
        <v>0</v>
      </c>
      <c r="O73" s="1861" t="str">
        <f t="shared" si="1"/>
        <v>销售额×税（费）率</v>
      </c>
      <c r="P73" s="1297" t="str">
        <f t="shared" si="1"/>
        <v>免征</v>
      </c>
      <c r="Q73" s="2030"/>
      <c r="R73" s="2030"/>
      <c r="S73" s="2030"/>
      <c r="T73" s="2030"/>
      <c r="U73" s="2030"/>
      <c r="V73" s="2030"/>
    </row>
    <row r="74" spans="1:22" ht="24.75">
      <c r="A74" s="3349" t="s">
        <v>414</v>
      </c>
      <c r="B74" s="3317"/>
      <c r="C74" s="3317"/>
      <c r="D74" s="362">
        <f ca="1">IF(H74="个人住宅",D75,D76)</f>
        <v>504</v>
      </c>
      <c r="E74" s="17" t="s">
        <v>415</v>
      </c>
      <c r="F74" s="360" t="str">
        <f>IF(H74="正常",F76,"免征")</f>
        <v>——</v>
      </c>
      <c r="G74" s="983" t="s">
        <v>416</v>
      </c>
      <c r="H74" s="363" t="s">
        <v>412</v>
      </c>
      <c r="I74" s="42"/>
      <c r="J74" s="2037"/>
      <c r="K74" s="1978">
        <v>3</v>
      </c>
      <c r="L74" s="3355" t="s">
        <v>413</v>
      </c>
      <c r="M74" s="3355"/>
      <c r="N74" s="1296">
        <f t="shared" ca="1" si="1"/>
        <v>504</v>
      </c>
      <c r="O74" s="1861" t="str">
        <f t="shared" si="1"/>
        <v>增值额×税（费）率</v>
      </c>
      <c r="P74" s="1299" t="str">
        <f t="shared" si="1"/>
        <v>——</v>
      </c>
      <c r="Q74" s="2030"/>
      <c r="R74" s="2030"/>
      <c r="S74" s="2030"/>
      <c r="T74" s="2030"/>
      <c r="U74" s="2030"/>
      <c r="V74" s="2030"/>
    </row>
    <row r="75" spans="1:22" ht="24">
      <c r="A75" s="359" t="s">
        <v>417</v>
      </c>
      <c r="B75" s="3305" t="s">
        <v>418</v>
      </c>
      <c r="C75" s="3335"/>
      <c r="D75" s="364">
        <v>0</v>
      </c>
      <c r="E75" s="41" t="s">
        <v>419</v>
      </c>
      <c r="F75" s="365"/>
      <c r="G75" s="361"/>
      <c r="H75" s="42"/>
      <c r="I75" s="42"/>
      <c r="J75" s="2037"/>
      <c r="K75" s="3056">
        <f>IF(H77="非个人房产","",4)</f>
        <v>4</v>
      </c>
      <c r="L75" s="3355" t="str">
        <f>IF(H77="非个人房产","——","个人所得税")</f>
        <v>个人所得税</v>
      </c>
      <c r="M75" s="3355"/>
      <c r="N75" s="1300">
        <f ca="1">D77</f>
        <v>20</v>
      </c>
      <c r="O75" s="1874" t="str">
        <f>E77</f>
        <v>销售额×税（费）率</v>
      </c>
      <c r="P75" s="1301">
        <f>F77</f>
        <v>0.01</v>
      </c>
      <c r="Q75" s="2030"/>
      <c r="R75" s="2030"/>
      <c r="S75" s="2030"/>
      <c r="T75" s="2030"/>
      <c r="U75" s="2030"/>
      <c r="V75" s="2030"/>
    </row>
    <row r="76" spans="1:22" ht="24.75">
      <c r="A76" s="359" t="s">
        <v>395</v>
      </c>
      <c r="B76" s="3305" t="s">
        <v>421</v>
      </c>
      <c r="C76" s="3306"/>
      <c r="D76" s="362">
        <f ca="1">IF(H76="转让取得",C99,C115)</f>
        <v>504</v>
      </c>
      <c r="E76" s="17" t="s">
        <v>422</v>
      </c>
      <c r="F76" s="53" t="s">
        <v>21</v>
      </c>
      <c r="G76" s="361"/>
      <c r="H76" s="363" t="s">
        <v>423</v>
      </c>
      <c r="I76" s="42"/>
      <c r="J76" s="2037"/>
      <c r="K76" s="3056" t="str">
        <f>IF(项目基本情况!K6="上海银行",IF(K75="",4,K75+1),"")</f>
        <v/>
      </c>
      <c r="L76" s="3366" t="str">
        <f>IF(项目基本情况!K6="上海银行","其他处置费用","")</f>
        <v/>
      </c>
      <c r="M76" s="3367"/>
      <c r="N76" s="1296" t="str">
        <f>IF(项目基本情况!K6="上海银行",N89,"")</f>
        <v/>
      </c>
      <c r="O76" s="3368" t="str">
        <f>IF(项目基本情况!K6="上海银行","包含处置中涉及的律师、诉讼、拍卖、评估等费用","")</f>
        <v/>
      </c>
      <c r="P76" s="3369"/>
      <c r="Q76" s="2030"/>
      <c r="R76" s="2030"/>
      <c r="S76" s="2030"/>
      <c r="T76" s="2030"/>
      <c r="U76" s="2030"/>
      <c r="V76" s="2030"/>
    </row>
    <row r="77" spans="1:22" ht="26.25" thickBot="1">
      <c r="A77" s="3357" t="s">
        <v>425</v>
      </c>
      <c r="B77" s="3358"/>
      <c r="C77" s="3358"/>
      <c r="D77" s="366">
        <f ca="1">IF(H77="非个人房产","——",IF(H77="个人住宅",0,ROUND(D63*I77,0)))</f>
        <v>20</v>
      </c>
      <c r="E77" s="367" t="str">
        <f>IF(H77="非个人房产","——","销售额×税（费）率")</f>
        <v>销售额×税（费）率</v>
      </c>
      <c r="F77" s="368">
        <f>IF(H77="非个人房产","——",IF(H77="个人住宅","免征",I77))</f>
        <v>0.01</v>
      </c>
      <c r="G77" s="984" t="s">
        <v>416</v>
      </c>
      <c r="H77" s="363" t="s">
        <v>2886</v>
      </c>
      <c r="I77" s="369">
        <v>0.01</v>
      </c>
      <c r="J77" s="2037"/>
      <c r="K77" s="3356">
        <f>IF(AND(K75="",K76=""),4,IF(项目基本情况!K6="上海银行",K76+1,K75+1))</f>
        <v>5</v>
      </c>
      <c r="L77" s="3355" t="s">
        <v>2887</v>
      </c>
      <c r="M77" s="3062" t="s">
        <v>420</v>
      </c>
      <c r="N77" s="1302"/>
      <c r="O77" s="1303">
        <f ca="1">SUMIF(N72:N76,"&lt;9e307")</f>
        <v>629</v>
      </c>
      <c r="P77" s="1304"/>
      <c r="Q77" s="3060">
        <f ca="1">O77/N69</f>
        <v>0.18742550655542312</v>
      </c>
      <c r="R77" s="2030"/>
      <c r="S77" s="2030"/>
      <c r="T77" s="2030"/>
      <c r="U77" s="2030"/>
      <c r="V77" s="2030"/>
    </row>
    <row r="78" spans="1:22" ht="12" customHeight="1">
      <c r="A78" s="1305"/>
      <c r="B78" s="311"/>
      <c r="C78" s="311"/>
      <c r="D78" s="311"/>
      <c r="E78" s="42"/>
      <c r="F78" s="42"/>
      <c r="G78" s="42"/>
      <c r="H78" s="1003"/>
      <c r="I78" s="311"/>
      <c r="J78" s="2037"/>
      <c r="K78" s="3356"/>
      <c r="L78" s="3355"/>
      <c r="M78" s="3062" t="s">
        <v>424</v>
      </c>
      <c r="N78" s="1302"/>
      <c r="O78" s="1303" t="str">
        <f ca="1">NUMBERSTRING(INT(O77*10000),2)&amp;"元整"</f>
        <v>陆佰贰拾玖万元整</v>
      </c>
      <c r="P78" s="1304"/>
      <c r="Q78" s="2030"/>
      <c r="R78" s="2030"/>
      <c r="S78" s="2030"/>
      <c r="T78" s="2030"/>
      <c r="U78" s="2030"/>
      <c r="V78" s="2030"/>
    </row>
    <row r="79" spans="1:22" ht="13.5" thickBot="1">
      <c r="A79" s="3350" t="s">
        <v>426</v>
      </c>
      <c r="B79" s="3350"/>
      <c r="C79" s="3350"/>
      <c r="D79" s="3350"/>
      <c r="E79" s="3350"/>
      <c r="F79" s="42"/>
      <c r="G79" s="42"/>
      <c r="H79" s="1003"/>
      <c r="I79" s="311"/>
      <c r="J79" s="2037"/>
      <c r="K79" s="3376">
        <f>K77+1</f>
        <v>6</v>
      </c>
      <c r="L79" s="3355" t="s">
        <v>2888</v>
      </c>
      <c r="M79" s="3062" t="s">
        <v>420</v>
      </c>
      <c r="N79" s="1302"/>
      <c r="O79" s="1303">
        <f ca="1">N69-O77</f>
        <v>2727</v>
      </c>
      <c r="P79" s="1304"/>
      <c r="Q79" s="2030"/>
      <c r="R79" s="2030"/>
      <c r="S79" s="2030"/>
      <c r="T79" s="2030"/>
      <c r="U79" s="2030"/>
      <c r="V79" s="2030"/>
    </row>
    <row r="80" spans="1:22" ht="25.5">
      <c r="A80" s="3345" t="s">
        <v>427</v>
      </c>
      <c r="B80" s="3346"/>
      <c r="C80" s="994"/>
      <c r="D80" s="994" t="s">
        <v>428</v>
      </c>
      <c r="E80" s="370" t="s">
        <v>429</v>
      </c>
      <c r="F80" s="42"/>
      <c r="G80" s="42"/>
      <c r="H80" s="1003"/>
      <c r="I80" s="311"/>
      <c r="J80" s="2030"/>
      <c r="K80" s="3377"/>
      <c r="L80" s="3355"/>
      <c r="M80" s="3062" t="s">
        <v>424</v>
      </c>
      <c r="N80" s="1302"/>
      <c r="O80" s="1303" t="str">
        <f ca="1">NUMBERSTRING(INT(O79*10000),2)&amp;"元整"</f>
        <v>贰仟柒佰贰拾柒万元整</v>
      </c>
      <c r="P80" s="1304"/>
      <c r="Q80" s="2030"/>
      <c r="R80" s="2030"/>
      <c r="S80" s="2030"/>
      <c r="T80" s="2030"/>
      <c r="U80" s="2030"/>
      <c r="V80" s="2030"/>
    </row>
    <row r="81" spans="1:26" ht="13.5" thickBot="1">
      <c r="A81" s="381" t="s">
        <v>1823</v>
      </c>
      <c r="B81" s="371" t="s">
        <v>430</v>
      </c>
      <c r="C81" s="372">
        <f ca="1">ROUND((C82+C83)/(1+'数据-取费表'!C42),0)</f>
        <v>1918</v>
      </c>
      <c r="D81" s="373"/>
      <c r="E81" s="374"/>
      <c r="F81" s="42"/>
      <c r="G81" s="42"/>
      <c r="H81" s="1003"/>
      <c r="I81" s="311"/>
      <c r="J81" s="2030"/>
      <c r="K81" s="3056">
        <f>K79+1</f>
        <v>7</v>
      </c>
      <c r="L81" s="3353" t="s">
        <v>2889</v>
      </c>
      <c r="M81" s="3354"/>
      <c r="N81" s="1306"/>
      <c r="O81" s="1307">
        <f ca="1">ROUND(O79*10000/'数据-汇总表'!E3,0)</f>
        <v>3123</v>
      </c>
      <c r="P81" s="1308"/>
      <c r="Q81" s="2030"/>
      <c r="R81" s="2030"/>
      <c r="S81" s="2030"/>
      <c r="T81" s="2030"/>
      <c r="U81" s="2030"/>
      <c r="V81" s="2030"/>
    </row>
    <row r="82" spans="1:26" ht="13.5" thickTop="1">
      <c r="A82" s="375" t="s">
        <v>1824</v>
      </c>
      <c r="B82" s="376" t="s">
        <v>431</v>
      </c>
      <c r="C82" s="377">
        <f ca="1">D63</f>
        <v>2014</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432</v>
      </c>
      <c r="C83" s="380">
        <v>0</v>
      </c>
      <c r="D83" s="378"/>
      <c r="E83" s="379"/>
      <c r="F83" s="42"/>
      <c r="G83" s="42"/>
      <c r="H83" s="1003"/>
      <c r="I83" s="311"/>
      <c r="J83" s="2030"/>
      <c r="K83" s="3365" t="s">
        <v>2876</v>
      </c>
      <c r="L83" s="3068" t="s">
        <v>2877</v>
      </c>
      <c r="M83" s="3058">
        <f ca="1">IF(N69&gt;10000,N69*0.5%,IF(AND(N69&gt;1000,N69&lt;=10000),N69*1%,IF(AND(N69&gt;100,N69&lt;=1000),N69*3%,IF(AND(N69&gt;10,N69&lt;=100),N69*5%,N69*8%))))</f>
        <v>33.56</v>
      </c>
      <c r="N83" s="53">
        <f ca="1">ROUND(M83,1)</f>
        <v>33.6</v>
      </c>
      <c r="O83" s="3061"/>
      <c r="P83" s="2030"/>
      <c r="Q83" s="2030"/>
      <c r="R83" s="2030"/>
      <c r="S83" s="2030"/>
      <c r="T83" s="2030"/>
      <c r="U83" s="2030"/>
      <c r="V83" s="2030"/>
    </row>
    <row r="84" spans="1:26" ht="12.75">
      <c r="A84" s="381" t="s">
        <v>1826</v>
      </c>
      <c r="B84" s="382" t="s">
        <v>433</v>
      </c>
      <c r="C84" s="383">
        <v>2000</v>
      </c>
      <c r="D84" s="384" t="s">
        <v>19</v>
      </c>
      <c r="E84" s="3101" t="s">
        <v>2943</v>
      </c>
      <c r="F84" s="42"/>
      <c r="G84" s="42"/>
      <c r="H84" s="1003"/>
      <c r="I84" s="311"/>
      <c r="J84" s="2030"/>
      <c r="K84" s="3365"/>
      <c r="L84" s="3068" t="s">
        <v>2878</v>
      </c>
      <c r="M84" s="3058">
        <f ca="1">IF(N69&gt;2000,N69*0.5%,IF(AND(N69&gt;1000,N69&lt;=2000),N69*0.6%,IF(AND(N69&gt;500,N69&lt;=1000),N69*0.7%,IF(AND(N69&gt;200,N69&lt;=500),N69*0.8%,IF(AND(N69&gt;100,N69&lt;=200),N69*0.9%,IF(AND(N69&gt;50,N69&lt;=100),N69*1%,IF(AND(N69&gt;20,N69&lt;=50),N69*1.5%,IF(AND(N69&gt;10,N69&lt;=20),N69*2%,IF(AND(N69&gt;1,N69&lt;=10),N69*2.5%)))))))))</f>
        <v>16.78</v>
      </c>
      <c r="N84" s="53">
        <f t="shared" ref="N84:N85" ca="1" si="2">ROUND(M84,1)</f>
        <v>16.8</v>
      </c>
      <c r="O84" s="2030" t="s">
        <v>2879</v>
      </c>
      <c r="P84" s="2030"/>
      <c r="Q84" s="2030"/>
      <c r="R84" s="2030"/>
      <c r="S84" s="2030"/>
      <c r="T84" s="2030"/>
      <c r="U84" s="2030"/>
      <c r="V84" s="2030"/>
    </row>
    <row r="85" spans="1:26" ht="12.75">
      <c r="A85" s="381" t="s">
        <v>1827</v>
      </c>
      <c r="B85" s="382" t="s">
        <v>434</v>
      </c>
      <c r="C85" s="385">
        <f ca="1">C81-C84</f>
        <v>-82</v>
      </c>
      <c r="D85" s="378" t="s">
        <v>19</v>
      </c>
      <c r="E85" s="379"/>
      <c r="F85" s="42"/>
      <c r="G85" s="42"/>
      <c r="H85" s="1003"/>
      <c r="I85" s="311"/>
      <c r="J85" s="2030"/>
      <c r="K85" s="3365"/>
      <c r="L85" s="3068" t="s">
        <v>2880</v>
      </c>
      <c r="M85" s="3058">
        <f ca="1">IF(N69&gt;1000,N69*0.1%,IF(AND(N69&gt;500,N69&lt;=1000),N69*0.5%,IF(AND(N69&gt;50,N69&lt;=500),N69*1%,IF(AND(N69&gt;1,N69&lt;=50),N69*1.5%))))</f>
        <v>3.3559999999999999</v>
      </c>
      <c r="N85" s="53">
        <f t="shared" ca="1" si="2"/>
        <v>3.4</v>
      </c>
      <c r="O85" s="2030" t="s">
        <v>2879</v>
      </c>
      <c r="P85" s="2030"/>
      <c r="Q85" s="2030"/>
      <c r="R85" s="2030"/>
      <c r="S85" s="2030"/>
      <c r="T85" s="2030"/>
      <c r="U85" s="2030"/>
      <c r="V85" s="2030"/>
    </row>
    <row r="86" spans="1:26" ht="13.5" thickBot="1">
      <c r="A86" s="386" t="s">
        <v>1828</v>
      </c>
      <c r="B86" s="387" t="s">
        <v>435</v>
      </c>
      <c r="C86" s="388">
        <f ca="1">IF(C85&lt;=0,0,ROUND(C85*D86,0))</f>
        <v>0</v>
      </c>
      <c r="D86" s="389">
        <f>'数据-取费表'!B41</f>
        <v>5.5000000000000007E-2</v>
      </c>
      <c r="E86" s="390"/>
      <c r="F86" s="42"/>
      <c r="G86" s="42"/>
      <c r="H86" s="1003"/>
      <c r="I86" s="311"/>
      <c r="J86" s="2030"/>
      <c r="K86" s="3365"/>
      <c r="L86" s="3068" t="s">
        <v>2881</v>
      </c>
      <c r="M86" s="3058">
        <f ca="1">N69*0.5%</f>
        <v>16.78</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5"/>
      <c r="L87" s="3068" t="s">
        <v>2883</v>
      </c>
      <c r="M87" s="3058">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61"/>
      <c r="P87" s="311"/>
      <c r="Q87" s="2030"/>
      <c r="R87" s="2030"/>
      <c r="S87" s="2030"/>
      <c r="T87" s="2030"/>
      <c r="U87" s="2030"/>
      <c r="V87" s="2030"/>
      <c r="W87" s="292"/>
      <c r="X87" s="292"/>
      <c r="Y87" s="292"/>
      <c r="Z87" s="292"/>
    </row>
    <row r="88" spans="1:26" s="1314" customFormat="1" ht="15" thickBot="1">
      <c r="A88" s="3347" t="s">
        <v>436</v>
      </c>
      <c r="B88" s="3348"/>
      <c r="C88" s="3348"/>
      <c r="D88" s="3348"/>
      <c r="E88" s="3348"/>
      <c r="F88" s="3348"/>
      <c r="G88" s="3348"/>
      <c r="H88" s="3348"/>
      <c r="I88" s="1315"/>
      <c r="J88" s="2038"/>
      <c r="K88" s="3365"/>
      <c r="L88" s="3068" t="s">
        <v>2884</v>
      </c>
      <c r="M88" s="3058">
        <f ca="1">IF(N69&gt;10000,N69*0.5%,IF(AND(N69&gt;5000,N69&lt;=10000),N69*1%,IF(AND(N69&gt;1000,N69&lt;=5000),N69*2%,IF(AND(N69&gt;200,N69&lt;=1000),N69*3%,N69*5%))))</f>
        <v>67.12</v>
      </c>
      <c r="N88" s="53">
        <f ca="1">ROUND(M88,1)</f>
        <v>67.099999999999994</v>
      </c>
      <c r="O88" s="3061"/>
      <c r="P88" s="11"/>
      <c r="Q88" s="2035"/>
      <c r="R88" s="2035"/>
      <c r="S88" s="2035"/>
      <c r="T88" s="2035"/>
      <c r="U88" s="2035"/>
      <c r="V88" s="2035"/>
      <c r="W88" s="2039"/>
      <c r="X88" s="2039"/>
      <c r="Y88" s="2039"/>
      <c r="Z88" s="2039"/>
    </row>
    <row r="89" spans="1:26" s="1314" customFormat="1" ht="14.25">
      <c r="A89" s="3345" t="s">
        <v>427</v>
      </c>
      <c r="B89" s="3346"/>
      <c r="C89" s="994"/>
      <c r="D89" s="994" t="s">
        <v>428</v>
      </c>
      <c r="E89" s="391" t="s">
        <v>437</v>
      </c>
      <c r="F89" s="392"/>
      <c r="G89" s="392"/>
      <c r="H89" s="393"/>
      <c r="I89" s="1316"/>
      <c r="J89" s="2040"/>
      <c r="K89" s="3365"/>
      <c r="L89" s="3068" t="s">
        <v>27</v>
      </c>
      <c r="M89" s="3059"/>
      <c r="N89" s="53">
        <f ca="1">ROUND(SUM(N83:N88),0)</f>
        <v>124</v>
      </c>
      <c r="O89" s="3069">
        <f ca="1">N89/N69</f>
        <v>3.6948748510131108E-2</v>
      </c>
      <c r="P89" s="2035"/>
      <c r="Q89" s="2035"/>
      <c r="R89" s="2035"/>
      <c r="S89" s="2035"/>
      <c r="T89" s="2035"/>
      <c r="U89" s="2035"/>
      <c r="V89" s="2035"/>
      <c r="W89" s="2039"/>
      <c r="X89" s="2039"/>
      <c r="Y89" s="2039"/>
      <c r="Z89" s="2039"/>
    </row>
    <row r="90" spans="1:26" s="1314" customFormat="1" ht="14.25">
      <c r="A90" s="381" t="s">
        <v>1823</v>
      </c>
      <c r="B90" s="382" t="s">
        <v>438</v>
      </c>
      <c r="C90" s="385">
        <f ca="1">ROUND(D63/(1+'数据-取费表'!C42),0)</f>
        <v>1918</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439</v>
      </c>
      <c r="C91" s="385">
        <f ca="1">C92+C96</f>
        <v>2571</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445</v>
      </c>
      <c r="C94" s="378">
        <f>IF(F93="购房发票",ROUND(C93*H93*5%,0),0)</f>
        <v>500</v>
      </c>
      <c r="D94" s="401">
        <v>0.05</v>
      </c>
      <c r="E94" s="3308" t="s">
        <v>446</v>
      </c>
      <c r="F94" s="3307"/>
      <c r="G94" s="3307"/>
      <c r="H94" s="334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449</v>
      </c>
      <c r="C96" s="405">
        <f ca="1">ROUND(D63*D96/(1+'数据-取费表'!C42),0)</f>
        <v>10</v>
      </c>
      <c r="D96" s="406">
        <f>'数据-取费表'!B43</f>
        <v>5.000000000000001E-3</v>
      </c>
      <c r="E96" s="3336" t="s">
        <v>2430</v>
      </c>
      <c r="F96" s="3337"/>
      <c r="G96" s="3337"/>
      <c r="H96" s="333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450</v>
      </c>
      <c r="C97" s="385">
        <f ca="1">C90-C91</f>
        <v>-653</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7" t="s">
        <v>453</v>
      </c>
      <c r="B101" s="3348"/>
      <c r="C101" s="3348"/>
      <c r="D101" s="3348"/>
      <c r="E101" s="3348"/>
      <c r="F101" s="3348"/>
      <c r="G101" s="3348"/>
      <c r="H101" s="334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5" t="s">
        <v>427</v>
      </c>
      <c r="B102" s="3346"/>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438</v>
      </c>
      <c r="C103" s="385">
        <f ca="1">ROUND(D63/(1+'数据-取费表'!C42),0)</f>
        <v>1918</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439</v>
      </c>
      <c r="C104" s="385">
        <f ca="1">IF(H106="仅含出让金",C105+C108+C109+C110+C111+C112,C105+C109+C110+C111+C112)</f>
        <v>700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454</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455</v>
      </c>
      <c r="C106" s="416">
        <v>555</v>
      </c>
      <c r="D106" s="406"/>
      <c r="E106" s="417" t="s">
        <v>456</v>
      </c>
      <c r="F106" s="986"/>
      <c r="G106" s="418" t="s">
        <v>457</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460</v>
      </c>
      <c r="C109" s="405">
        <f>IF(H109="——",IF(F1="现房",'剩余法-现房'!C18,'剩余法-待开发'!C18),I109)</f>
        <v>55</v>
      </c>
      <c r="D109" s="406"/>
      <c r="E109" s="3339" t="s">
        <v>461</v>
      </c>
      <c r="F109" s="3337"/>
      <c r="G109" s="3337"/>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462</v>
      </c>
      <c r="C110" s="405">
        <f>ROUND((C105+C108+C109)*D110,0)</f>
        <v>63</v>
      </c>
      <c r="D110" s="406">
        <v>0.1</v>
      </c>
      <c r="E110" s="3339" t="s">
        <v>463</v>
      </c>
      <c r="F110" s="3337"/>
      <c r="G110" s="3337"/>
      <c r="H110" s="333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449</v>
      </c>
      <c r="C111" s="405">
        <f ca="1">ROUND(D63*D111/(1+'数据-取费表'!C42),0)</f>
        <v>10</v>
      </c>
      <c r="D111" s="406">
        <f>'数据-取费表'!B43</f>
        <v>5.000000000000001E-3</v>
      </c>
      <c r="E111" s="3336" t="s">
        <v>2430</v>
      </c>
      <c r="F111" s="3337"/>
      <c r="G111" s="3337"/>
      <c r="H111" s="333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464</v>
      </c>
      <c r="C112" s="405">
        <f>ROUND(C108*D112,0)</f>
        <v>0</v>
      </c>
      <c r="D112" s="406">
        <v>0.2</v>
      </c>
      <c r="E112" s="3339" t="s">
        <v>2455</v>
      </c>
      <c r="F112" s="3337"/>
      <c r="G112" s="3337"/>
      <c r="H112" s="333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450</v>
      </c>
      <c r="C113" s="385">
        <f ca="1">ROUND(C103-C104,0)</f>
        <v>1218</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451</v>
      </c>
      <c r="C114" s="407">
        <f ca="1">IF(C113&lt;=0,0,C113/C104)</f>
        <v>1.74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452</v>
      </c>
      <c r="C115" s="408">
        <f ca="1">ROUND(IF(C113&lt;=0,0,IF(C114&gt;=200%,C113*60%-C104*35%,IF(C114&gt;=100%,C113*50%-C104*15%,IF(C114&gt;=50%,C113*40%-C104*5%,IF(C114&lt;50%,C113*30%,0))))),0)</f>
        <v>504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11"/>
      <c r="C1" s="2106"/>
      <c r="D1" s="2106"/>
      <c r="E1" s="2106"/>
      <c r="F1" s="2106"/>
      <c r="G1" s="2106"/>
      <c r="H1" s="2106"/>
      <c r="I1" s="2106"/>
      <c r="J1" s="2106"/>
      <c r="K1" s="422">
        <f>MATCH(B1,'数据-取费表'!A6:A16,0)+5</f>
        <v>7</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1848</v>
      </c>
      <c r="B13" s="449" t="s">
        <v>478</v>
      </c>
      <c r="C13" s="450">
        <f ca="1">IF(B1="",'数据-取费表'!M16,INDIRECT("'数据-取费表'!M"&amp;$K$1)+INDIRECT("'数据-取费表'!t"&amp;$K$1))</f>
        <v>2445</v>
      </c>
      <c r="D13" s="451"/>
      <c r="E13" s="365"/>
      <c r="F13" s="452"/>
      <c r="G13" s="444"/>
      <c r="H13" s="447"/>
      <c r="I13" s="447"/>
      <c r="J13" s="447"/>
      <c r="K13" s="448"/>
    </row>
    <row r="14" spans="1:41" s="2118" customFormat="1" ht="13.5" customHeight="1">
      <c r="A14" s="1634" t="s">
        <v>1849</v>
      </c>
      <c r="B14" s="449" t="s">
        <v>479</v>
      </c>
      <c r="C14" s="53">
        <f ca="1">ROUND(C13*F14,0)</f>
        <v>73</v>
      </c>
      <c r="D14" s="451"/>
      <c r="E14" s="365"/>
      <c r="F14" s="453">
        <f>'数据-取费表'!B33</f>
        <v>0.03</v>
      </c>
      <c r="G14" s="444" t="s">
        <v>501</v>
      </c>
      <c r="H14" s="447"/>
      <c r="I14" s="447"/>
      <c r="J14" s="447"/>
      <c r="K14" s="448"/>
    </row>
    <row r="15" spans="1:41" s="2118" customFormat="1" ht="13.5" customHeight="1">
      <c r="A15" s="1634" t="s">
        <v>1850</v>
      </c>
      <c r="B15" s="449" t="s">
        <v>481</v>
      </c>
      <c r="C15" s="53">
        <f ca="1">ROUND(IF(B1="",SUMIF('数据-取费表'!C:C,"住宅",'数据-取费表'!M:M)*F15,IF(INDIRECT("'数据-取费表'!c"&amp;$K$1)="住宅",INDIRECT("'数据-取费表'!M"&amp;$K$1)*F15,0)),0)</f>
        <v>122</v>
      </c>
      <c r="D15" s="451"/>
      <c r="E15" s="365"/>
      <c r="F15" s="453">
        <f>'数据-取费表'!B34</f>
        <v>0.05</v>
      </c>
      <c r="G15" s="444" t="s">
        <v>501</v>
      </c>
      <c r="H15" s="447"/>
      <c r="I15" s="447"/>
      <c r="J15" s="447"/>
      <c r="K15" s="448"/>
    </row>
    <row r="16" spans="1:41" s="2119" customFormat="1" ht="13.5" customHeight="1">
      <c r="A16" s="1634" t="s">
        <v>1851</v>
      </c>
      <c r="B16" s="449" t="s">
        <v>483</v>
      </c>
      <c r="C16" s="53">
        <f ca="1">ROUND(D16*E16/10000,0)</f>
        <v>175</v>
      </c>
      <c r="D16" s="451">
        <f ca="1">IF(B1="",'数据-汇总表'!E3,INDIRECT("'数据-取费表'!K"&amp;$K$1)+INDIRECT("'数据-取费表'!S"&amp;$K$1))</f>
        <v>8732.99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484</v>
      </c>
      <c r="C17" s="454">
        <f ca="1">ROUND(C13*F17,0)</f>
        <v>37</v>
      </c>
      <c r="D17" s="455"/>
      <c r="E17" s="454"/>
      <c r="F17" s="456">
        <f>'数据-取费表'!B36</f>
        <v>1.4999999999999999E-2</v>
      </c>
      <c r="G17" s="444" t="s">
        <v>501</v>
      </c>
      <c r="H17" s="457"/>
      <c r="I17" s="457"/>
      <c r="J17" s="457"/>
      <c r="K17" s="458"/>
    </row>
    <row r="18" spans="1:14" s="2121" customFormat="1" ht="13.5" customHeight="1">
      <c r="A18" s="1635" t="s">
        <v>1853</v>
      </c>
      <c r="B18" s="459" t="s">
        <v>486</v>
      </c>
      <c r="C18" s="460">
        <f ca="1">SUM(C13:C17)</f>
        <v>2852</v>
      </c>
      <c r="D18" s="461"/>
      <c r="E18" s="462"/>
      <c r="F18" s="462"/>
      <c r="G18" s="1327" t="s">
        <v>2434</v>
      </c>
      <c r="H18" s="447"/>
      <c r="I18" s="447"/>
      <c r="J18" s="447"/>
      <c r="K18" s="448"/>
    </row>
    <row r="19" spans="1:14" s="2121" customFormat="1" ht="13.5" customHeight="1">
      <c r="A19" s="1635" t="s">
        <v>1854</v>
      </c>
      <c r="B19" s="459" t="s">
        <v>492</v>
      </c>
      <c r="C19" s="460">
        <f ca="1">ROUND(C18*F19,0)</f>
        <v>86</v>
      </c>
      <c r="D19" s="462"/>
      <c r="E19" s="462"/>
      <c r="F19" s="466">
        <f>'数据-取费表'!B37</f>
        <v>0.03</v>
      </c>
      <c r="G19" s="444" t="s">
        <v>502</v>
      </c>
      <c r="H19" s="447"/>
      <c r="I19" s="447"/>
      <c r="J19" s="447"/>
      <c r="K19" s="448"/>
      <c r="L19" s="2123"/>
      <c r="M19" s="2123"/>
      <c r="N19" s="2123"/>
    </row>
    <row r="20" spans="1:14" s="2121" customFormat="1" ht="13.5" customHeight="1">
      <c r="A20" s="1635" t="s">
        <v>1855</v>
      </c>
      <c r="B20" s="459" t="s">
        <v>503</v>
      </c>
      <c r="C20" s="3032">
        <f>F20</f>
        <v>0.03</v>
      </c>
      <c r="D20" s="469" t="s">
        <v>504</v>
      </c>
      <c r="E20" s="469"/>
      <c r="F20" s="486">
        <f>'数据-取费表'!B38</f>
        <v>0.03</v>
      </c>
      <c r="G20" s="1327" t="s">
        <v>505</v>
      </c>
      <c r="H20" s="447"/>
      <c r="I20" s="447"/>
      <c r="J20" s="447"/>
      <c r="K20" s="448"/>
      <c r="L20" s="2123"/>
      <c r="M20" s="2123"/>
      <c r="N20" s="2123"/>
    </row>
    <row r="21" spans="1:14" s="2123" customFormat="1" ht="13.5" customHeight="1">
      <c r="A21" s="1635" t="s">
        <v>1858</v>
      </c>
      <c r="B21" s="461" t="s">
        <v>493</v>
      </c>
      <c r="C21" s="470">
        <f ca="1">C22</f>
        <v>64</v>
      </c>
      <c r="D21" s="467">
        <f ca="1">C23</f>
        <v>6.9999999999999999E-4</v>
      </c>
      <c r="E21" s="469" t="s">
        <v>506</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20" t="s">
        <v>2456</v>
      </c>
    </row>
    <row r="22" spans="1:14" s="2122" customFormat="1" ht="13.5" customHeight="1">
      <c r="A22" s="1634" t="s">
        <v>1848</v>
      </c>
      <c r="B22" s="1328" t="s">
        <v>2437</v>
      </c>
      <c r="C22" s="487">
        <f ca="1">ROUND(IF('数据-取费表'!B22&lt;=1,(C18+C19)*F21*'数据-取费表'!B20/2,(C18+C19)*(POWER((1+F21),'数据-取费表'!B20/2)-1)),0)</f>
        <v>64</v>
      </c>
      <c r="D22" s="472"/>
      <c r="E22" s="473"/>
      <c r="F22" s="474"/>
      <c r="G22" s="2569" t="str">
        <f>IF('数据-取费表'!B22&lt;=1,"((1)+(2))×年利率×建设期÷2","((1)+(2))×((1+年利率)^(建设期÷2)-1)")</f>
        <v>((1)+(2))×年利率×建设期÷2</v>
      </c>
      <c r="H22" s="457"/>
      <c r="I22" s="457"/>
      <c r="J22" s="457"/>
      <c r="K22" s="458"/>
    </row>
    <row r="23" spans="1:14" s="2122" customFormat="1" ht="13.5" customHeight="1">
      <c r="A23" s="1634" t="s">
        <v>1849</v>
      </c>
      <c r="B23" s="1328" t="s">
        <v>507</v>
      </c>
      <c r="C23" s="488">
        <f ca="1">ROUND(IF('数据-取费表'!B22&lt;=1,F20*F21*'数据-取费表'!B20/2,F20*(POWER((1+F21),'数据-取费表'!B20/2)-1)),4)</f>
        <v>6.9999999999999999E-4</v>
      </c>
      <c r="D23" s="472"/>
      <c r="E23" s="473"/>
      <c r="F23" s="474"/>
      <c r="G23" s="2569" t="str">
        <f>IF('数据-取费表'!B22&lt;=1,"销售费用率×年利率×建设期÷2","销售费用率×((1+年利率)^(建设期÷2)-1)")</f>
        <v>销售费用率×年利率×建设期÷2</v>
      </c>
      <c r="H23" s="457"/>
      <c r="I23" s="457"/>
      <c r="J23" s="457"/>
      <c r="K23" s="458"/>
    </row>
    <row r="24" spans="1:14" s="2122" customFormat="1" ht="13.5" customHeight="1">
      <c r="A24" s="1635" t="s">
        <v>1859</v>
      </c>
      <c r="B24" s="3034" t="s">
        <v>2834</v>
      </c>
      <c r="C24" s="478">
        <f ca="1">C25</f>
        <v>588</v>
      </c>
      <c r="D24" s="489">
        <f ca="1">C26</f>
        <v>6.0000000000000001E-3</v>
      </c>
      <c r="E24" s="469" t="s">
        <v>506</v>
      </c>
      <c r="F24" s="479">
        <f ca="1">IF(B1="",'数据-取费表'!Q16,INDIRECT("'数据-取费表'!q"&amp;$K$1))</f>
        <v>0.2</v>
      </c>
      <c r="G24" s="444"/>
      <c r="H24" s="447"/>
      <c r="I24" s="447"/>
      <c r="J24" s="447"/>
      <c r="K24" s="448"/>
    </row>
    <row r="25" spans="1:14" s="2122" customFormat="1" ht="13.5" customHeight="1">
      <c r="A25" s="1634" t="s">
        <v>1848</v>
      </c>
      <c r="B25" s="1328" t="s">
        <v>2438</v>
      </c>
      <c r="C25" s="490">
        <f ca="1">ROUND((C18+C19)*F24,0)</f>
        <v>588</v>
      </c>
      <c r="D25" s="472"/>
      <c r="E25" s="473"/>
      <c r="F25" s="480"/>
      <c r="G25" s="1326" t="s">
        <v>2435</v>
      </c>
      <c r="H25" s="457"/>
      <c r="I25" s="457"/>
      <c r="J25" s="457"/>
      <c r="K25" s="458"/>
    </row>
    <row r="26" spans="1:14" s="2122" customFormat="1" ht="13.5" customHeight="1">
      <c r="A26" s="1634" t="s">
        <v>1849</v>
      </c>
      <c r="B26" s="1328" t="s">
        <v>508</v>
      </c>
      <c r="C26" s="491">
        <f ca="1">ROUND(F20*F24,4)</f>
        <v>6.0000000000000001E-3</v>
      </c>
      <c r="D26" s="472"/>
      <c r="E26" s="481"/>
      <c r="F26" s="480"/>
      <c r="G26" s="1326" t="s">
        <v>509</v>
      </c>
      <c r="H26" s="457"/>
      <c r="I26" s="457"/>
      <c r="J26" s="457"/>
      <c r="K26" s="458"/>
    </row>
    <row r="27" spans="1:14" s="2122" customFormat="1" ht="13.5" customHeight="1">
      <c r="A27" s="1638" t="s">
        <v>1867</v>
      </c>
      <c r="B27" s="459" t="s">
        <v>510</v>
      </c>
      <c r="C27" s="3033">
        <f>ROUND(F27/(1+'数据-取费表'!C42),4)</f>
        <v>5.2400000000000002E-2</v>
      </c>
      <c r="D27" s="462" t="s">
        <v>2832</v>
      </c>
      <c r="E27" s="462"/>
      <c r="F27" s="466">
        <f>'数据-取费表'!B41</f>
        <v>5.5000000000000007E-2</v>
      </c>
      <c r="G27" s="1962" t="s">
        <v>2293</v>
      </c>
      <c r="H27" s="447"/>
      <c r="I27" s="447"/>
      <c r="J27" s="447"/>
      <c r="K27" s="448"/>
    </row>
    <row r="28" spans="1:14" s="2123" customFormat="1" ht="13.5" customHeight="1">
      <c r="A28" s="1638" t="s">
        <v>1868</v>
      </c>
      <c r="B28" s="476" t="s">
        <v>511</v>
      </c>
      <c r="C28" s="470">
        <f ca="1">ROUND((C18+C19+C21+C24)/(1-C20-D21-D24-C27),0)</f>
        <v>3941</v>
      </c>
      <c r="D28" s="477"/>
      <c r="E28" s="469"/>
      <c r="F28" s="471"/>
      <c r="G28" s="1327" t="s">
        <v>2436</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484" t="s">
        <v>1865</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5"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B48" sqref="B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2166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2480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3721</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248</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390" t="s">
        <v>521</v>
      </c>
      <c r="D6" s="3391"/>
      <c r="E6" s="3390" t="s">
        <v>522</v>
      </c>
      <c r="F6" s="3391"/>
      <c r="G6" s="3390" t="s">
        <v>523</v>
      </c>
      <c r="H6" s="3391"/>
      <c r="I6" s="3390" t="s">
        <v>524</v>
      </c>
      <c r="J6" s="3391"/>
      <c r="K6" s="514" t="s">
        <v>525</v>
      </c>
      <c r="L6" s="2135"/>
      <c r="M6" s="2134"/>
      <c r="N6" s="2134"/>
      <c r="O6" s="2136"/>
      <c r="P6" s="3392" t="s">
        <v>526</v>
      </c>
      <c r="Q6" s="3393"/>
      <c r="R6" s="3398" t="s">
        <v>522</v>
      </c>
      <c r="S6" s="3399"/>
      <c r="T6" s="3398" t="s">
        <v>523</v>
      </c>
      <c r="U6" s="3399"/>
      <c r="V6" s="3385" t="s">
        <v>524</v>
      </c>
      <c r="W6" s="3385"/>
      <c r="X6" s="1568"/>
      <c r="Y6" s="3398" t="s">
        <v>526</v>
      </c>
      <c r="Z6" s="3399"/>
      <c r="AA6" s="3387" t="s">
        <v>522</v>
      </c>
      <c r="AB6" s="3388" t="s">
        <v>523</v>
      </c>
      <c r="AC6" s="3387" t="s">
        <v>524</v>
      </c>
    </row>
    <row r="7" spans="1:30" ht="20.25">
      <c r="A7" s="515"/>
      <c r="B7" s="516"/>
      <c r="C7" s="3406" t="s">
        <v>2930</v>
      </c>
      <c r="D7" s="3407"/>
      <c r="E7" s="3406" t="str">
        <f>土地案例!A5</f>
        <v>骊山大道以北、凤凰池东路以南、芷阳五路以东、芷阳四路以西</v>
      </c>
      <c r="F7" s="3407"/>
      <c r="G7" s="3406" t="str">
        <f>土地案例!A6</f>
        <v>骊山大道以北、凤凰池东路以南、芷阳五路以东、芷阳四路以西</v>
      </c>
      <c r="H7" s="3407"/>
      <c r="I7" s="3406" t="str">
        <f>土地案例!A7</f>
        <v>骊山大道以北、凤凰池东路以南、芷阳五路以东、芷阳四路以西</v>
      </c>
      <c r="J7" s="3407"/>
      <c r="K7" s="514"/>
      <c r="L7" s="2135"/>
      <c r="M7" s="2134"/>
      <c r="N7" s="2134"/>
      <c r="O7" s="2136"/>
      <c r="P7" s="3394"/>
      <c r="Q7" s="3395"/>
      <c r="R7" s="3400"/>
      <c r="S7" s="3401"/>
      <c r="T7" s="3400"/>
      <c r="U7" s="3401"/>
      <c r="V7" s="3385"/>
      <c r="W7" s="3385"/>
      <c r="X7" s="1568"/>
      <c r="Y7" s="3400"/>
      <c r="Z7" s="3401"/>
      <c r="AA7" s="3388"/>
      <c r="AB7" s="3388"/>
      <c r="AC7" s="3388"/>
    </row>
    <row r="8" spans="1:30" ht="21" thickBot="1">
      <c r="A8" s="515"/>
      <c r="B8" s="516"/>
      <c r="C8" s="3408" t="s">
        <v>2934</v>
      </c>
      <c r="D8" s="3409"/>
      <c r="E8" s="3408" t="s">
        <v>2934</v>
      </c>
      <c r="F8" s="3409"/>
      <c r="G8" s="3404" t="s">
        <v>2934</v>
      </c>
      <c r="H8" s="3405"/>
      <c r="I8" s="3404" t="s">
        <v>2934</v>
      </c>
      <c r="J8" s="3405"/>
      <c r="K8" s="514" t="s">
        <v>527</v>
      </c>
      <c r="L8" s="2135"/>
      <c r="M8" s="2134"/>
      <c r="N8" s="2134"/>
      <c r="O8" s="2136"/>
      <c r="P8" s="3396"/>
      <c r="Q8" s="3397"/>
      <c r="R8" s="3400"/>
      <c r="S8" s="3401"/>
      <c r="T8" s="3402"/>
      <c r="U8" s="3403"/>
      <c r="V8" s="3385"/>
      <c r="W8" s="3385"/>
      <c r="X8" s="1568"/>
      <c r="Y8" s="3402"/>
      <c r="Z8" s="3403"/>
      <c r="AA8" s="3389"/>
      <c r="AB8" s="3389"/>
      <c r="AC8" s="3389"/>
    </row>
    <row r="9" spans="1:30" s="1220" customFormat="1" ht="21" thickBot="1">
      <c r="A9" s="2914"/>
      <c r="B9" s="2921" t="s">
        <v>528</v>
      </c>
      <c r="C9" s="2913">
        <f>'数据-取费表'!B2</f>
        <v>43276</v>
      </c>
      <c r="D9" s="520">
        <v>100</v>
      </c>
      <c r="E9" s="521" t="str">
        <f>土地案例!H5</f>
        <v>2017-07-12</v>
      </c>
      <c r="F9" s="522">
        <f>SUMIF(72:72,YEAR(E9)&amp;"-"&amp;INT((MONTH(E9)+2)/3),73:73)</f>
        <v>97</v>
      </c>
      <c r="G9" s="523" t="str">
        <f>土地案例!H6</f>
        <v>2017-07-12</v>
      </c>
      <c r="H9" s="520">
        <f>SUMIF(72:72,YEAR(G9)&amp;"-"&amp;INT((MONTH(G9)+2)/3),73:73)</f>
        <v>97</v>
      </c>
      <c r="I9" s="523" t="str">
        <f>土地案例!H7</f>
        <v>2017-07-12</v>
      </c>
      <c r="J9" s="520">
        <f>SUMIF(72:72,YEAR(I9)&amp;"-"&amp;INT((MONTH(I9)+2)/3),73:73)</f>
        <v>97</v>
      </c>
      <c r="K9" s="524"/>
      <c r="L9" s="2137"/>
      <c r="M9" s="2134"/>
      <c r="N9" s="2134"/>
      <c r="O9" s="2138"/>
      <c r="P9" s="3415" t="s">
        <v>529</v>
      </c>
      <c r="Q9" s="3417"/>
      <c r="R9" s="1569" t="s">
        <v>8</v>
      </c>
      <c r="S9" s="1570">
        <f t="shared" ref="S9:S17" si="0">F9</f>
        <v>97</v>
      </c>
      <c r="T9" s="1569" t="s">
        <v>8</v>
      </c>
      <c r="U9" s="1570">
        <f t="shared" ref="U9:U17" si="1">H9</f>
        <v>97</v>
      </c>
      <c r="V9" s="1569" t="s">
        <v>8</v>
      </c>
      <c r="W9" s="1570">
        <f t="shared" ref="W9:W17" si="2">J9</f>
        <v>97</v>
      </c>
      <c r="X9" s="1571"/>
      <c r="Y9" s="3415" t="s">
        <v>529</v>
      </c>
      <c r="Z9" s="3416"/>
      <c r="AA9" s="1572">
        <f>D9/F9</f>
        <v>1.0309278350515463</v>
      </c>
      <c r="AB9" s="1572">
        <f>D9/H9</f>
        <v>1.0309278350515463</v>
      </c>
      <c r="AC9" s="1572">
        <f>D9/J9</f>
        <v>1.0309278350515463</v>
      </c>
    </row>
    <row r="10" spans="1:30" s="1220" customFormat="1" ht="21" thickBot="1">
      <c r="A10" s="2915"/>
      <c r="B10" s="2922" t="s">
        <v>530</v>
      </c>
      <c r="C10" s="856" t="s">
        <v>531</v>
      </c>
      <c r="D10" s="520">
        <v>100</v>
      </c>
      <c r="E10" s="525" t="s">
        <v>3145</v>
      </c>
      <c r="F10" s="522">
        <f>SUMIF(75:75,E10,76:76)-SUMIF(75:75,C10,76:76)+100</f>
        <v>100</v>
      </c>
      <c r="G10" s="525" t="s">
        <v>3145</v>
      </c>
      <c r="H10" s="520">
        <f>SUMIF(75:75,G10,76:76)-SUMIF(75:75,C10,76:76)+100</f>
        <v>100</v>
      </c>
      <c r="I10" s="525" t="s">
        <v>3145</v>
      </c>
      <c r="J10" s="520">
        <f>SUMIF(75:75,I10,76:76)-SUMIF(75:75,C10,76:76)+100</f>
        <v>100</v>
      </c>
      <c r="K10" s="524"/>
      <c r="L10" s="2137"/>
      <c r="M10" s="2134"/>
      <c r="N10" s="2134"/>
      <c r="O10" s="2138"/>
      <c r="P10" s="3415" t="s">
        <v>532</v>
      </c>
      <c r="Q10" s="3416"/>
      <c r="R10" s="1569" t="s">
        <v>8</v>
      </c>
      <c r="S10" s="1570">
        <f t="shared" si="0"/>
        <v>100</v>
      </c>
      <c r="T10" s="1569" t="s">
        <v>8</v>
      </c>
      <c r="U10" s="1570">
        <f t="shared" si="1"/>
        <v>100</v>
      </c>
      <c r="V10" s="1569" t="s">
        <v>8</v>
      </c>
      <c r="W10" s="1570">
        <f t="shared" si="2"/>
        <v>100</v>
      </c>
      <c r="X10" s="1571"/>
      <c r="Y10" s="3415" t="s">
        <v>532</v>
      </c>
      <c r="Z10" s="3416"/>
      <c r="AA10" s="1572">
        <f t="shared" ref="AA10:AA47" si="3">D10/F10</f>
        <v>1</v>
      </c>
      <c r="AB10" s="1572">
        <f t="shared" ref="AB10:AB47" si="4">D10/H10</f>
        <v>1</v>
      </c>
      <c r="AC10" s="1572">
        <f t="shared" ref="AC10:AC47" si="5">D10/J10</f>
        <v>1</v>
      </c>
    </row>
    <row r="11" spans="1:30" s="1220" customFormat="1" ht="20.25">
      <c r="A11" s="2916"/>
      <c r="B11" s="2923" t="s">
        <v>2758</v>
      </c>
      <c r="C11" s="2910" t="s">
        <v>922</v>
      </c>
      <c r="D11" s="254">
        <v>100</v>
      </c>
      <c r="E11" s="2910" t="s">
        <v>922</v>
      </c>
      <c r="F11" s="254">
        <f>SUMIF(77:77,E11,78:78)-SUMIF(77:77,C11,78:78)+100</f>
        <v>100</v>
      </c>
      <c r="G11" s="2910" t="s">
        <v>922</v>
      </c>
      <c r="H11" s="254">
        <f>SUMIF(77:77,G11,78:78)-SUMIF(77:77,C11,78:78)+100</f>
        <v>100</v>
      </c>
      <c r="I11" s="2910" t="s">
        <v>922</v>
      </c>
      <c r="J11" s="254">
        <f>SUMIF(77:77,I11,78:78)-SUMIF(77:77,C11,78:78)+100</f>
        <v>100</v>
      </c>
      <c r="K11" s="524"/>
      <c r="L11" s="2137"/>
      <c r="M11" s="2134"/>
      <c r="N11" s="2134"/>
      <c r="O11" s="2139"/>
      <c r="P11" s="3384" t="s">
        <v>534</v>
      </c>
      <c r="Q11" s="1151" t="str">
        <f t="shared" ref="Q11:Q17" si="6">B11</f>
        <v>用途</v>
      </c>
      <c r="R11" s="1569" t="s">
        <v>8</v>
      </c>
      <c r="S11" s="1570">
        <f t="shared" si="0"/>
        <v>100</v>
      </c>
      <c r="T11" s="1569" t="s">
        <v>8</v>
      </c>
      <c r="U11" s="1570">
        <f t="shared" si="1"/>
        <v>100</v>
      </c>
      <c r="V11" s="1569" t="s">
        <v>8</v>
      </c>
      <c r="W11" s="1570">
        <f t="shared" si="2"/>
        <v>100</v>
      </c>
      <c r="X11" s="1571"/>
      <c r="Y11" s="3330" t="s">
        <v>535</v>
      </c>
      <c r="Z11" s="1150" t="str">
        <f t="shared" ref="Z11:Z17" si="7">Q11</f>
        <v>用途</v>
      </c>
      <c r="AA11" s="1572">
        <f t="shared" si="3"/>
        <v>1</v>
      </c>
      <c r="AB11" s="1572">
        <f t="shared" si="4"/>
        <v>1</v>
      </c>
      <c r="AC11" s="1572">
        <f t="shared" si="5"/>
        <v>1</v>
      </c>
    </row>
    <row r="12" spans="1:30" s="1338" customFormat="1" ht="27">
      <c r="A12" s="2917"/>
      <c r="B12" s="2922" t="s">
        <v>2759</v>
      </c>
      <c r="C12" s="910" t="s">
        <v>3184</v>
      </c>
      <c r="D12" s="255">
        <v>100</v>
      </c>
      <c r="E12" s="529" t="s">
        <v>3185</v>
      </c>
      <c r="F12" s="255">
        <f>ROUND(100/'数据-取费表'!G16,0)</f>
        <v>100</v>
      </c>
      <c r="G12" s="530" t="s">
        <v>3186</v>
      </c>
      <c r="H12" s="255">
        <f>ROUND(100/'数据-取费表'!G16,0)</f>
        <v>100</v>
      </c>
      <c r="I12" s="530" t="s">
        <v>3185</v>
      </c>
      <c r="J12" s="255">
        <f>ROUND(100/'数据-取费表'!G16,0)</f>
        <v>100</v>
      </c>
      <c r="K12" s="531"/>
      <c r="L12" s="2140"/>
      <c r="M12" s="2134"/>
      <c r="N12" s="2134"/>
      <c r="O12" s="2141"/>
      <c r="P12" s="3384"/>
      <c r="Q12" s="1151" t="str">
        <f t="shared" si="6"/>
        <v>土地使用年限（年）</v>
      </c>
      <c r="R12" s="1569" t="s">
        <v>8</v>
      </c>
      <c r="S12" s="1570">
        <f t="shared" si="0"/>
        <v>100</v>
      </c>
      <c r="T12" s="1569" t="s">
        <v>8</v>
      </c>
      <c r="U12" s="1570">
        <f t="shared" si="1"/>
        <v>100</v>
      </c>
      <c r="V12" s="1569" t="s">
        <v>8</v>
      </c>
      <c r="W12" s="1570">
        <f t="shared" si="2"/>
        <v>100</v>
      </c>
      <c r="X12" s="1571"/>
      <c r="Y12" s="3330"/>
      <c r="Z12" s="1150" t="str">
        <f t="shared" si="7"/>
        <v>土地使用年限（年）</v>
      </c>
      <c r="AA12" s="1572">
        <f t="shared" si="3"/>
        <v>1</v>
      </c>
      <c r="AB12" s="1572">
        <f t="shared" si="4"/>
        <v>1</v>
      </c>
      <c r="AC12" s="1572">
        <f t="shared" si="5"/>
        <v>1</v>
      </c>
    </row>
    <row r="13" spans="1:30" ht="21" thickBot="1">
      <c r="A13" s="2918"/>
      <c r="B13" s="2922" t="s">
        <v>2760</v>
      </c>
      <c r="C13" s="534">
        <v>1.5</v>
      </c>
      <c r="D13" s="255">
        <v>100</v>
      </c>
      <c r="E13" s="533">
        <v>1.5</v>
      </c>
      <c r="F13" s="255">
        <f>LOOKUP(E13,82:82,83:83)-LOOKUP(C13,82:82,83:83)+100</f>
        <v>100</v>
      </c>
      <c r="G13" s="534">
        <v>1.5</v>
      </c>
      <c r="H13" s="255">
        <f>LOOKUP(G13,82:82,83:83)-LOOKUP(C13,82:82,83:83)+100</f>
        <v>100</v>
      </c>
      <c r="I13" s="533">
        <v>1.5</v>
      </c>
      <c r="J13" s="255">
        <f>LOOKUP(I13,82:82,83:83)-LOOKUP(C13,82:82,83:83)+100</f>
        <v>100</v>
      </c>
      <c r="K13" s="535">
        <v>1</v>
      </c>
      <c r="L13" s="2142"/>
      <c r="M13" s="2134"/>
      <c r="N13" s="2134"/>
      <c r="O13" s="2143"/>
      <c r="P13" s="3384"/>
      <c r="Q13" s="1151" t="str">
        <f t="shared" si="6"/>
        <v>容积率</v>
      </c>
      <c r="R13" s="1569" t="s">
        <v>8</v>
      </c>
      <c r="S13" s="1570">
        <f t="shared" si="0"/>
        <v>100</v>
      </c>
      <c r="T13" s="1569" t="s">
        <v>8</v>
      </c>
      <c r="U13" s="1570">
        <f t="shared" si="1"/>
        <v>100</v>
      </c>
      <c r="V13" s="1569" t="s">
        <v>8</v>
      </c>
      <c r="W13" s="1570">
        <f t="shared" si="2"/>
        <v>100</v>
      </c>
      <c r="X13" s="1571"/>
      <c r="Y13" s="3330"/>
      <c r="Z13" s="1150" t="str">
        <f t="shared" si="7"/>
        <v>容积率</v>
      </c>
      <c r="AA13" s="1572">
        <f t="shared" si="3"/>
        <v>1</v>
      </c>
      <c r="AB13" s="1572">
        <f t="shared" si="4"/>
        <v>1</v>
      </c>
      <c r="AC13" s="1572">
        <f t="shared" si="5"/>
        <v>1</v>
      </c>
    </row>
    <row r="14" spans="1:30" s="1220" customFormat="1" ht="20.25" hidden="1">
      <c r="A14" s="2915"/>
      <c r="B14" s="2924" t="s">
        <v>2761</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4"/>
      <c r="Q14" s="1151" t="str">
        <f t="shared" si="6"/>
        <v>配建</v>
      </c>
      <c r="R14" s="1569" t="s">
        <v>8</v>
      </c>
      <c r="S14" s="1570">
        <f t="shared" si="0"/>
        <v>100</v>
      </c>
      <c r="T14" s="1569" t="s">
        <v>8</v>
      </c>
      <c r="U14" s="1570">
        <f t="shared" si="1"/>
        <v>100</v>
      </c>
      <c r="V14" s="1569" t="s">
        <v>8</v>
      </c>
      <c r="W14" s="1570">
        <f t="shared" si="2"/>
        <v>100</v>
      </c>
      <c r="X14" s="1571"/>
      <c r="Y14" s="3330"/>
      <c r="Z14" s="1150" t="str">
        <f t="shared" si="7"/>
        <v>配建</v>
      </c>
      <c r="AA14" s="1572">
        <f>D14/F14</f>
        <v>1</v>
      </c>
      <c r="AB14" s="1572">
        <f>D14/H14</f>
        <v>1</v>
      </c>
      <c r="AC14" s="1572">
        <f>D14/J14</f>
        <v>1</v>
      </c>
    </row>
    <row r="15" spans="1:30" ht="20.25" hidden="1">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4"/>
      <c r="Q15" s="1151">
        <f t="shared" si="6"/>
        <v>111</v>
      </c>
      <c r="R15" s="1569" t="s">
        <v>8</v>
      </c>
      <c r="S15" s="1570">
        <f t="shared" si="0"/>
        <v>100</v>
      </c>
      <c r="T15" s="1569" t="s">
        <v>8</v>
      </c>
      <c r="U15" s="1570">
        <f t="shared" si="1"/>
        <v>100</v>
      </c>
      <c r="V15" s="1569" t="s">
        <v>8</v>
      </c>
      <c r="W15" s="1570">
        <f t="shared" si="2"/>
        <v>100</v>
      </c>
      <c r="X15" s="1571"/>
      <c r="Y15" s="3330"/>
      <c r="Z15" s="1150">
        <f t="shared" si="7"/>
        <v>111</v>
      </c>
      <c r="AA15" s="1572">
        <f>D15/F15</f>
        <v>1</v>
      </c>
      <c r="AB15" s="1572">
        <f>D15/H15</f>
        <v>1</v>
      </c>
      <c r="AC15" s="1572">
        <f>D15/J15</f>
        <v>1</v>
      </c>
    </row>
    <row r="16" spans="1:30" ht="21" hidden="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4"/>
      <c r="Q16" s="1151">
        <f t="shared" si="6"/>
        <v>111</v>
      </c>
      <c r="R16" s="1569" t="s">
        <v>8</v>
      </c>
      <c r="S16" s="1570">
        <f t="shared" si="0"/>
        <v>100</v>
      </c>
      <c r="T16" s="1569" t="s">
        <v>8</v>
      </c>
      <c r="U16" s="1570">
        <f t="shared" si="1"/>
        <v>100</v>
      </c>
      <c r="V16" s="1569" t="s">
        <v>8</v>
      </c>
      <c r="W16" s="1570">
        <f t="shared" si="2"/>
        <v>100</v>
      </c>
      <c r="X16" s="1571"/>
      <c r="Y16" s="3330"/>
      <c r="Z16" s="1150">
        <f t="shared" si="7"/>
        <v>111</v>
      </c>
      <c r="AA16" s="1572">
        <f>D16/F16</f>
        <v>1</v>
      </c>
      <c r="AB16" s="1572">
        <f>D16/H16</f>
        <v>1</v>
      </c>
      <c r="AC16" s="1572">
        <f>D16/J16</f>
        <v>1</v>
      </c>
    </row>
    <row r="17" spans="1:29" ht="42.75">
      <c r="A17" s="2912" t="s">
        <v>2756</v>
      </c>
      <c r="B17" s="578" t="s">
        <v>294</v>
      </c>
      <c r="C17" s="548" t="str">
        <f>估价对象房地状况!C15</f>
        <v>骊山新家园、骊山下的院子，一般</v>
      </c>
      <c r="D17" s="551">
        <v>100</v>
      </c>
      <c r="E17" s="3196" t="s">
        <v>3189</v>
      </c>
      <c r="F17" s="549">
        <f>SUMIF(90:90,E18,91:91)-SUMIF(90:90,C18,91:91)+100</f>
        <v>100</v>
      </c>
      <c r="G17" s="3197" t="s">
        <v>3172</v>
      </c>
      <c r="H17" s="549">
        <f>SUMIF(90:90,G18,91:91)-SUMIF(90:90,C18,91:91)+100</f>
        <v>100</v>
      </c>
      <c r="I17" s="3196" t="s">
        <v>3172</v>
      </c>
      <c r="J17" s="549">
        <f>SUMIF(90:90,I18,91:91)-SUMIF(90:90,C18,91:91)+100</f>
        <v>100</v>
      </c>
      <c r="K17" s="535">
        <v>2</v>
      </c>
      <c r="L17" s="2144"/>
      <c r="M17" s="2134"/>
      <c r="N17" s="2134"/>
      <c r="O17" s="2143"/>
      <c r="P17" s="3418" t="s">
        <v>539</v>
      </c>
      <c r="Q17" s="1573" t="str">
        <f t="shared" si="6"/>
        <v>居住社区成熟度</v>
      </c>
      <c r="R17" s="1574" t="s">
        <v>8</v>
      </c>
      <c r="S17" s="1575">
        <f t="shared" si="0"/>
        <v>100</v>
      </c>
      <c r="T17" s="1574" t="s">
        <v>8</v>
      </c>
      <c r="U17" s="1575">
        <f t="shared" si="1"/>
        <v>100</v>
      </c>
      <c r="V17" s="1574" t="s">
        <v>8</v>
      </c>
      <c r="W17" s="1575">
        <f t="shared" si="2"/>
        <v>100</v>
      </c>
      <c r="X17" s="1568"/>
      <c r="Y17" s="3418" t="s">
        <v>539</v>
      </c>
      <c r="Z17" s="1576" t="str">
        <f t="shared" si="7"/>
        <v>居住社区成熟度</v>
      </c>
      <c r="AA17" s="1577">
        <f t="shared" si="3"/>
        <v>1</v>
      </c>
      <c r="AB17" s="1577">
        <f t="shared" si="4"/>
        <v>1</v>
      </c>
      <c r="AC17" s="1577">
        <f t="shared" si="5"/>
        <v>1</v>
      </c>
    </row>
    <row r="18" spans="1:29" ht="20.25">
      <c r="A18" s="532"/>
      <c r="B18" s="553"/>
      <c r="C18" s="554" t="s">
        <v>3171</v>
      </c>
      <c r="D18" s="557"/>
      <c r="E18" s="554" t="s">
        <v>3171</v>
      </c>
      <c r="F18" s="555"/>
      <c r="G18" s="554" t="s">
        <v>3171</v>
      </c>
      <c r="H18" s="559"/>
      <c r="I18" s="554" t="s">
        <v>3171</v>
      </c>
      <c r="J18" s="555"/>
      <c r="K18" s="531"/>
      <c r="L18" s="2144"/>
      <c r="M18" s="2134"/>
      <c r="N18" s="2134"/>
      <c r="O18" s="2143"/>
      <c r="P18" s="3419"/>
      <c r="Q18" s="1573"/>
      <c r="R18" s="1574"/>
      <c r="S18" s="1575"/>
      <c r="T18" s="1574"/>
      <c r="U18" s="1575"/>
      <c r="V18" s="1574"/>
      <c r="W18" s="1575"/>
      <c r="X18" s="1568"/>
      <c r="Y18" s="3419"/>
      <c r="Z18" s="1576"/>
      <c r="AA18" s="1577">
        <v>1</v>
      </c>
      <c r="AB18" s="1577">
        <v>1</v>
      </c>
      <c r="AC18" s="1577">
        <v>1</v>
      </c>
    </row>
    <row r="19" spans="1:29" ht="71.25" hidden="1">
      <c r="A19" s="532"/>
      <c r="B19" s="560" t="s">
        <v>540</v>
      </c>
      <c r="C19" s="561" t="str">
        <f>估价对象房地状况!C16</f>
        <v>估价对象位于XX商圈，周边商业氛围成熟，人流量大，商业繁华度好</v>
      </c>
      <c r="D19" s="563">
        <v>100</v>
      </c>
      <c r="E19" s="3198" t="s">
        <v>3173</v>
      </c>
      <c r="F19" s="559">
        <f>SUMIF(92:92,E20,93:93)-SUMIF(92:92,C20,93:93)+100</f>
        <v>100</v>
      </c>
      <c r="G19" s="3199" t="s">
        <v>3173</v>
      </c>
      <c r="H19" s="565">
        <f>SUMIF(92:92,G20,93:93)-SUMIF(92:92,C20,93:93)+100</f>
        <v>100</v>
      </c>
      <c r="I19" s="3198" t="s">
        <v>3173</v>
      </c>
      <c r="J19" s="565">
        <f>SUMIF(92:92,I20,93:93)-SUMIF(92:92,C20,93:93)+100</f>
        <v>100</v>
      </c>
      <c r="K19" s="535">
        <v>2</v>
      </c>
      <c r="L19" s="2144"/>
      <c r="M19" s="2134"/>
      <c r="N19" s="2134"/>
      <c r="O19" s="2143"/>
      <c r="P19" s="3419"/>
      <c r="Q19" s="1573" t="str">
        <f>B19</f>
        <v>商业繁华度</v>
      </c>
      <c r="R19" s="1574" t="s">
        <v>8</v>
      </c>
      <c r="S19" s="1575">
        <f>F19</f>
        <v>100</v>
      </c>
      <c r="T19" s="1574" t="s">
        <v>8</v>
      </c>
      <c r="U19" s="1575">
        <f>H19</f>
        <v>100</v>
      </c>
      <c r="V19" s="1574" t="s">
        <v>8</v>
      </c>
      <c r="W19" s="1575">
        <f>J19</f>
        <v>100</v>
      </c>
      <c r="X19" s="1568"/>
      <c r="Y19" s="3419"/>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419"/>
      <c r="Q20" s="1573"/>
      <c r="R20" s="1574"/>
      <c r="S20" s="1575"/>
      <c r="T20" s="1574"/>
      <c r="U20" s="1575"/>
      <c r="V20" s="1574"/>
      <c r="W20" s="1575"/>
      <c r="X20" s="1568"/>
      <c r="Y20" s="3419"/>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19"/>
      <c r="Q21" s="1573" t="str">
        <f>B21</f>
        <v>办公集聚程度</v>
      </c>
      <c r="R21" s="1574" t="s">
        <v>8</v>
      </c>
      <c r="S21" s="1575">
        <f>F21</f>
        <v>100</v>
      </c>
      <c r="T21" s="1574" t="s">
        <v>8</v>
      </c>
      <c r="U21" s="1575">
        <f>H21</f>
        <v>100</v>
      </c>
      <c r="V21" s="1574" t="s">
        <v>8</v>
      </c>
      <c r="W21" s="1575">
        <f>J21</f>
        <v>100</v>
      </c>
      <c r="X21" s="1568"/>
      <c r="Y21" s="3419"/>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19"/>
      <c r="Q22" s="1573"/>
      <c r="R22" s="1574"/>
      <c r="S22" s="1575"/>
      <c r="T22" s="1574"/>
      <c r="U22" s="1575"/>
      <c r="V22" s="1574"/>
      <c r="W22" s="1575"/>
      <c r="X22" s="1568"/>
      <c r="Y22" s="3419"/>
      <c r="Z22" s="1576"/>
      <c r="AA22" s="1577">
        <v>1</v>
      </c>
      <c r="AB22" s="1577">
        <v>1</v>
      </c>
      <c r="AC22" s="1577">
        <v>1</v>
      </c>
    </row>
    <row r="23" spans="1:29" ht="42.75">
      <c r="A23" s="532"/>
      <c r="B23" s="560" t="s">
        <v>542</v>
      </c>
      <c r="C23" s="573" t="str">
        <f>估价对象房地状况!C18</f>
        <v>临支路，1公里内无公共交通，较差</v>
      </c>
      <c r="D23" s="563">
        <v>100</v>
      </c>
      <c r="E23" s="564" t="s">
        <v>3174</v>
      </c>
      <c r="F23" s="565">
        <f>SUMIF(96:96,E24,97:97)-SUMIF(96:96,C24,97:97)+100</f>
        <v>100</v>
      </c>
      <c r="G23" s="562" t="s">
        <v>3175</v>
      </c>
      <c r="H23" s="559">
        <f>SUMIF(96:96,G24,97:97)-SUMIF(96:96,C24,97:97)+100</f>
        <v>100</v>
      </c>
      <c r="I23" s="564" t="s">
        <v>3175</v>
      </c>
      <c r="J23" s="559">
        <f>SUMIF(96:96,I24,97:97)-SUMIF(96:96,C24,97:97)+100</f>
        <v>100</v>
      </c>
      <c r="K23" s="535">
        <v>2</v>
      </c>
      <c r="L23" s="2144"/>
      <c r="M23" s="2134"/>
      <c r="N23" s="2134"/>
      <c r="O23" s="2143"/>
      <c r="P23" s="3419"/>
      <c r="Q23" s="1573" t="str">
        <f>B23</f>
        <v>交通便捷度</v>
      </c>
      <c r="R23" s="1574" t="s">
        <v>8</v>
      </c>
      <c r="S23" s="1575">
        <f>F23</f>
        <v>100</v>
      </c>
      <c r="T23" s="1574" t="s">
        <v>8</v>
      </c>
      <c r="U23" s="1575">
        <f>H23</f>
        <v>100</v>
      </c>
      <c r="V23" s="1574" t="s">
        <v>8</v>
      </c>
      <c r="W23" s="1575">
        <f>J23</f>
        <v>100</v>
      </c>
      <c r="X23" s="1568"/>
      <c r="Y23" s="3419"/>
      <c r="Z23" s="1576" t="str">
        <f>Q23</f>
        <v>交通便捷度</v>
      </c>
      <c r="AA23" s="1577">
        <f t="shared" si="3"/>
        <v>1</v>
      </c>
      <c r="AB23" s="1577">
        <f t="shared" si="4"/>
        <v>1</v>
      </c>
      <c r="AC23" s="1577">
        <f t="shared" si="5"/>
        <v>1</v>
      </c>
    </row>
    <row r="24" spans="1:29" ht="20.25">
      <c r="A24" s="532"/>
      <c r="B24" s="578"/>
      <c r="C24" s="3203" t="s">
        <v>3187</v>
      </c>
      <c r="D24" s="557"/>
      <c r="E24" s="3203" t="s">
        <v>3187</v>
      </c>
      <c r="F24" s="555"/>
      <c r="G24" s="3203" t="s">
        <v>3187</v>
      </c>
      <c r="H24" s="555"/>
      <c r="I24" s="3203" t="s">
        <v>3187</v>
      </c>
      <c r="J24" s="555"/>
      <c r="K24" s="531"/>
      <c r="L24" s="2144"/>
      <c r="M24" s="2134"/>
      <c r="N24" s="2134"/>
      <c r="O24" s="2143"/>
      <c r="P24" s="3419"/>
      <c r="Q24" s="1573"/>
      <c r="R24" s="1574"/>
      <c r="S24" s="1575"/>
      <c r="T24" s="1574"/>
      <c r="U24" s="1575"/>
      <c r="V24" s="1574"/>
      <c r="W24" s="1575"/>
      <c r="X24" s="1568"/>
      <c r="Y24" s="3419"/>
      <c r="Z24" s="1576"/>
      <c r="AA24" s="1577">
        <v>1</v>
      </c>
      <c r="AB24" s="1577">
        <v>1</v>
      </c>
      <c r="AC24" s="1577">
        <v>1</v>
      </c>
    </row>
    <row r="25" spans="1:29" ht="27">
      <c r="A25" s="515"/>
      <c r="B25" s="259" t="s">
        <v>543</v>
      </c>
      <c r="C25" s="573" t="str">
        <f>估价对象房地状况!C19</f>
        <v>较一致</v>
      </c>
      <c r="D25" s="563">
        <v>100</v>
      </c>
      <c r="E25" s="3198" t="s">
        <v>3176</v>
      </c>
      <c r="F25" s="565">
        <f>SUMIF(98:98,E26,99:99)-SUMIF(98:98,C26,99:99)+100</f>
        <v>100</v>
      </c>
      <c r="G25" s="3199" t="s">
        <v>3176</v>
      </c>
      <c r="H25" s="559">
        <f>SUMIF(98:98,G26,99:99)-SUMIF(98:98,C26,99:99)+100</f>
        <v>100</v>
      </c>
      <c r="I25" s="3198" t="s">
        <v>3176</v>
      </c>
      <c r="J25" s="559">
        <f>SUMIF(98:98,I26,99:99)-SUMIF(98:98,C26,99:99)+100</f>
        <v>100</v>
      </c>
      <c r="K25" s="535">
        <v>1</v>
      </c>
      <c r="L25" s="2144"/>
      <c r="M25" s="2134"/>
      <c r="N25" s="2134"/>
      <c r="O25" s="2143"/>
      <c r="P25" s="3419"/>
      <c r="Q25" s="1573" t="str">
        <f t="shared" ref="Q25:Q39" si="8">B25</f>
        <v>区域土地利用方向</v>
      </c>
      <c r="R25" s="1574" t="s">
        <v>8</v>
      </c>
      <c r="S25" s="1575">
        <f>F25</f>
        <v>100</v>
      </c>
      <c r="T25" s="1574" t="s">
        <v>8</v>
      </c>
      <c r="U25" s="1575">
        <f>H25</f>
        <v>100</v>
      </c>
      <c r="V25" s="1574" t="s">
        <v>8</v>
      </c>
      <c r="W25" s="1575">
        <f>J25</f>
        <v>100</v>
      </c>
      <c r="X25" s="1568"/>
      <c r="Y25" s="3419"/>
      <c r="Z25" s="1576" t="str">
        <f>Q25</f>
        <v>区域土地利用方向</v>
      </c>
      <c r="AA25" s="1577">
        <f t="shared" si="3"/>
        <v>1</v>
      </c>
      <c r="AB25" s="1577">
        <f t="shared" si="4"/>
        <v>1</v>
      </c>
      <c r="AC25" s="1577">
        <f t="shared" si="5"/>
        <v>1</v>
      </c>
    </row>
    <row r="26" spans="1:29" ht="20.25">
      <c r="A26" s="515"/>
      <c r="B26" s="1007"/>
      <c r="C26" s="3203" t="s">
        <v>3183</v>
      </c>
      <c r="D26" s="557"/>
      <c r="E26" s="3203" t="s">
        <v>3183</v>
      </c>
      <c r="F26" s="555"/>
      <c r="G26" s="3203" t="s">
        <v>3183</v>
      </c>
      <c r="H26" s="555"/>
      <c r="I26" s="3203" t="s">
        <v>3183</v>
      </c>
      <c r="J26" s="555"/>
      <c r="K26" s="531"/>
      <c r="L26" s="2144"/>
      <c r="M26" s="2134"/>
      <c r="N26" s="2134"/>
      <c r="O26" s="2143"/>
      <c r="P26" s="3419"/>
      <c r="Q26" s="1573"/>
      <c r="R26" s="1574"/>
      <c r="S26" s="1575"/>
      <c r="T26" s="1574"/>
      <c r="U26" s="1575"/>
      <c r="V26" s="1574"/>
      <c r="W26" s="1575"/>
      <c r="X26" s="1568"/>
      <c r="Y26" s="3419"/>
      <c r="Z26" s="1576"/>
      <c r="AA26" s="1577"/>
      <c r="AB26" s="1577"/>
      <c r="AC26" s="1577"/>
    </row>
    <row r="27" spans="1:29" ht="85.5">
      <c r="A27" s="515"/>
      <c r="B27" s="578" t="s">
        <v>544</v>
      </c>
      <c r="C27" s="561" t="str">
        <f>估价对象房地状况!C20</f>
        <v>贾平凹文化艺术馆、鹦鹉寺公园、西安工程大学、北京大学光华管理学院西安分院，较好</v>
      </c>
      <c r="D27" s="563">
        <v>100</v>
      </c>
      <c r="E27" s="3198" t="s">
        <v>3177</v>
      </c>
      <c r="F27" s="559">
        <f>SUMIF(100:100,E28,101:101)-SUMIF(100:100,C28,101:101)+100</f>
        <v>100</v>
      </c>
      <c r="G27" s="3199" t="s">
        <v>3178</v>
      </c>
      <c r="H27" s="559">
        <f>SUMIF(100:100,G28,101:101)-SUMIF(100:100,C28,101:101)+100</f>
        <v>100</v>
      </c>
      <c r="I27" s="3198" t="s">
        <v>3178</v>
      </c>
      <c r="J27" s="559">
        <f>SUMIF(100:100,I28,101:101)-SUMIF(100:100,C28,101:101)+100</f>
        <v>100</v>
      </c>
      <c r="K27" s="535">
        <v>2</v>
      </c>
      <c r="L27" s="2144"/>
      <c r="M27" s="2134"/>
      <c r="N27" s="2134"/>
      <c r="O27" s="2143"/>
      <c r="P27" s="3419"/>
      <c r="Q27" s="1573" t="str">
        <f t="shared" si="8"/>
        <v>自然及人文环境状况</v>
      </c>
      <c r="R27" s="1574" t="s">
        <v>8</v>
      </c>
      <c r="S27" s="1575">
        <f>F27</f>
        <v>100</v>
      </c>
      <c r="T27" s="1574" t="s">
        <v>8</v>
      </c>
      <c r="U27" s="1575">
        <f>H27</f>
        <v>100</v>
      </c>
      <c r="V27" s="1574" t="s">
        <v>8</v>
      </c>
      <c r="W27" s="1575">
        <f>J27</f>
        <v>100</v>
      </c>
      <c r="X27" s="1568"/>
      <c r="Y27" s="3419"/>
      <c r="Z27" s="1576" t="str">
        <f>Q27</f>
        <v>自然及人文环境状况</v>
      </c>
      <c r="AA27" s="1577">
        <f t="shared" si="3"/>
        <v>1</v>
      </c>
      <c r="AB27" s="1577">
        <f t="shared" si="4"/>
        <v>1</v>
      </c>
      <c r="AC27" s="1577">
        <f t="shared" si="5"/>
        <v>1</v>
      </c>
    </row>
    <row r="28" spans="1:29" ht="20.25">
      <c r="A28" s="515"/>
      <c r="B28" s="566"/>
      <c r="C28" s="3203" t="s">
        <v>3183</v>
      </c>
      <c r="D28" s="557"/>
      <c r="E28" s="3203" t="s">
        <v>3183</v>
      </c>
      <c r="F28" s="555"/>
      <c r="G28" s="3203" t="s">
        <v>3183</v>
      </c>
      <c r="H28" s="555"/>
      <c r="I28" s="3203" t="s">
        <v>3183</v>
      </c>
      <c r="J28" s="555"/>
      <c r="K28" s="531"/>
      <c r="L28" s="2144"/>
      <c r="M28" s="2134"/>
      <c r="N28" s="2134"/>
      <c r="O28" s="2143"/>
      <c r="P28" s="3419"/>
      <c r="Q28" s="1573"/>
      <c r="R28" s="1574"/>
      <c r="S28" s="1575"/>
      <c r="T28" s="1574"/>
      <c r="U28" s="1575"/>
      <c r="V28" s="1574"/>
      <c r="W28" s="1575"/>
      <c r="X28" s="1568"/>
      <c r="Y28" s="3419"/>
      <c r="Z28" s="1576"/>
      <c r="AA28" s="1577">
        <v>1</v>
      </c>
      <c r="AB28" s="1577">
        <v>1</v>
      </c>
      <c r="AC28" s="1577">
        <v>1</v>
      </c>
    </row>
    <row r="29" spans="1:29" s="1220" customFormat="1" ht="42.75">
      <c r="A29" s="577"/>
      <c r="B29" s="2593" t="s">
        <v>2550</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19"/>
      <c r="Q29" s="1151" t="str">
        <f t="shared" si="8"/>
        <v>公共配套设施</v>
      </c>
      <c r="R29" s="1569" t="s">
        <v>8</v>
      </c>
      <c r="S29" s="1570">
        <f>F29</f>
        <v>100</v>
      </c>
      <c r="T29" s="1569" t="s">
        <v>8</v>
      </c>
      <c r="U29" s="1570">
        <f>H29</f>
        <v>100</v>
      </c>
      <c r="V29" s="1569" t="s">
        <v>8</v>
      </c>
      <c r="W29" s="1570">
        <f>J29</f>
        <v>100</v>
      </c>
      <c r="X29" s="1571"/>
      <c r="Y29" s="3419"/>
      <c r="Z29" s="1150" t="str">
        <f>Q29</f>
        <v>公共配套设施</v>
      </c>
      <c r="AA29" s="1577">
        <f>D29/F29</f>
        <v>1</v>
      </c>
      <c r="AB29" s="1577">
        <f>D29/H29</f>
        <v>1</v>
      </c>
      <c r="AC29" s="1577">
        <f>D29/J29</f>
        <v>1</v>
      </c>
    </row>
    <row r="30" spans="1:29" s="1220" customFormat="1" ht="20.25">
      <c r="A30" s="577"/>
      <c r="B30" s="566"/>
      <c r="C30" s="579" t="s">
        <v>3171</v>
      </c>
      <c r="D30" s="557"/>
      <c r="E30" s="579" t="s">
        <v>3171</v>
      </c>
      <c r="F30" s="555"/>
      <c r="G30" s="579" t="s">
        <v>3171</v>
      </c>
      <c r="H30" s="555"/>
      <c r="I30" s="579" t="s">
        <v>3171</v>
      </c>
      <c r="J30" s="555"/>
      <c r="K30" s="531"/>
      <c r="L30" s="2137"/>
      <c r="M30" s="2134"/>
      <c r="N30" s="2134"/>
      <c r="O30" s="2139"/>
      <c r="P30" s="3419"/>
      <c r="Q30" s="1151"/>
      <c r="R30" s="1569"/>
      <c r="S30" s="1570"/>
      <c r="T30" s="1569"/>
      <c r="U30" s="1570"/>
      <c r="V30" s="1569"/>
      <c r="W30" s="1570"/>
      <c r="X30" s="1571"/>
      <c r="Y30" s="3419"/>
      <c r="Z30" s="1150"/>
      <c r="AA30" s="1577">
        <v>1</v>
      </c>
      <c r="AB30" s="1577">
        <v>1</v>
      </c>
      <c r="AC30" s="1577">
        <v>1</v>
      </c>
    </row>
    <row r="31" spans="1:29" s="1220" customFormat="1" ht="42.75">
      <c r="A31" s="577"/>
      <c r="B31" s="2593" t="s">
        <v>2551</v>
      </c>
      <c r="C31" s="573" t="str">
        <f>估价对象房地状况!C22</f>
        <v>估价对象所在区域基础设施水平七通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419"/>
      <c r="Q31" s="2580" t="str">
        <f t="shared" ref="Q31" si="9">B31</f>
        <v>基础设施水平</v>
      </c>
      <c r="R31" s="1569" t="s">
        <v>8</v>
      </c>
      <c r="S31" s="1570">
        <f>F31</f>
        <v>100</v>
      </c>
      <c r="T31" s="1569" t="s">
        <v>8</v>
      </c>
      <c r="U31" s="1570">
        <f>H31</f>
        <v>100</v>
      </c>
      <c r="V31" s="1569" t="s">
        <v>8</v>
      </c>
      <c r="W31" s="1570">
        <f>J31</f>
        <v>100</v>
      </c>
      <c r="X31" s="1571"/>
      <c r="Y31" s="3419"/>
      <c r="Z31" s="2577" t="str">
        <f>Q31</f>
        <v>基础设施水平</v>
      </c>
      <c r="AA31" s="1577">
        <f>D31/F31</f>
        <v>1</v>
      </c>
      <c r="AB31" s="1577">
        <f>D31/H31</f>
        <v>1</v>
      </c>
      <c r="AC31" s="1577">
        <f>D31/J31</f>
        <v>1</v>
      </c>
    </row>
    <row r="32" spans="1:29" s="1220" customFormat="1" ht="20.25">
      <c r="A32" s="577"/>
      <c r="B32" s="566"/>
      <c r="C32" s="579" t="s">
        <v>3179</v>
      </c>
      <c r="D32" s="557"/>
      <c r="E32" s="579" t="s">
        <v>3179</v>
      </c>
      <c r="F32" s="555"/>
      <c r="G32" s="579" t="s">
        <v>3179</v>
      </c>
      <c r="H32" s="555"/>
      <c r="I32" s="579" t="s">
        <v>3179</v>
      </c>
      <c r="J32" s="555"/>
      <c r="K32" s="531"/>
      <c r="L32" s="2137"/>
      <c r="M32" s="2134"/>
      <c r="N32" s="2134"/>
      <c r="O32" s="2139"/>
      <c r="P32" s="3419"/>
      <c r="Q32" s="2580"/>
      <c r="R32" s="1569"/>
      <c r="S32" s="1570"/>
      <c r="T32" s="1569"/>
      <c r="U32" s="1570"/>
      <c r="V32" s="1569"/>
      <c r="W32" s="1570"/>
      <c r="X32" s="1571"/>
      <c r="Y32" s="3419"/>
      <c r="Z32" s="2577"/>
      <c r="AA32" s="1577">
        <v>1</v>
      </c>
      <c r="AB32" s="1577">
        <v>1</v>
      </c>
      <c r="AC32" s="1577">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1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9"/>
      <c r="Z33" s="1576" t="str">
        <f t="shared" ref="Z33:Z47" si="13">Q33</f>
        <v>临街状况</v>
      </c>
      <c r="AA33" s="1577">
        <f t="shared" si="3"/>
        <v>1</v>
      </c>
      <c r="AB33" s="1577">
        <f t="shared" si="4"/>
        <v>1</v>
      </c>
      <c r="AC33" s="1577">
        <f t="shared" si="5"/>
        <v>1</v>
      </c>
    </row>
    <row r="34" spans="1:29" ht="27">
      <c r="A34" s="532"/>
      <c r="B34" s="578" t="s">
        <v>547</v>
      </c>
      <c r="C34" s="3199" t="s">
        <v>3227</v>
      </c>
      <c r="D34" s="563">
        <v>100</v>
      </c>
      <c r="E34" s="3198" t="s">
        <v>3229</v>
      </c>
      <c r="F34" s="559">
        <f>SUMIF(108:108,E35,109:109)-SUMIF(108:108,C35,109:109)+100</f>
        <v>100</v>
      </c>
      <c r="G34" s="3198" t="s">
        <v>3229</v>
      </c>
      <c r="H34" s="559">
        <f>SUMIF(108:108,G35,109:109)-SUMIF(108:108,C35,109:109)+100</f>
        <v>100</v>
      </c>
      <c r="I34" s="3198" t="s">
        <v>3229</v>
      </c>
      <c r="J34" s="559">
        <f>SUMIF(108:108,I35,109:109)-SUMIF(108:108,C35,109:109)+100</f>
        <v>100</v>
      </c>
      <c r="K34" s="535">
        <v>1</v>
      </c>
      <c r="L34" s="2144"/>
      <c r="M34" s="2134"/>
      <c r="N34" s="2134"/>
      <c r="O34" s="2143"/>
      <c r="P34" s="3419"/>
      <c r="Q34" s="1573" t="str">
        <f t="shared" si="8"/>
        <v>毗邻道路的类型与等级</v>
      </c>
      <c r="R34" s="1574" t="s">
        <v>8</v>
      </c>
      <c r="S34" s="1575">
        <f t="shared" si="10"/>
        <v>100</v>
      </c>
      <c r="T34" s="1574" t="s">
        <v>8</v>
      </c>
      <c r="U34" s="1575">
        <f t="shared" si="11"/>
        <v>100</v>
      </c>
      <c r="V34" s="1574" t="s">
        <v>8</v>
      </c>
      <c r="W34" s="1575">
        <f t="shared" si="12"/>
        <v>100</v>
      </c>
      <c r="X34" s="1568"/>
      <c r="Y34" s="3419"/>
      <c r="Z34" s="1576" t="str">
        <f t="shared" si="13"/>
        <v>毗邻道路的类型与等级</v>
      </c>
      <c r="AA34" s="1577">
        <f t="shared" si="3"/>
        <v>1</v>
      </c>
      <c r="AB34" s="1577">
        <f t="shared" si="4"/>
        <v>1</v>
      </c>
      <c r="AC34" s="1577">
        <f t="shared" si="5"/>
        <v>1</v>
      </c>
    </row>
    <row r="35" spans="1:29" ht="21" thickBot="1">
      <c r="A35" s="532"/>
      <c r="B35" s="566"/>
      <c r="C35" s="554" t="s">
        <v>3228</v>
      </c>
      <c r="D35" s="557"/>
      <c r="E35" s="576" t="s">
        <v>3228</v>
      </c>
      <c r="F35" s="555"/>
      <c r="G35" s="576" t="s">
        <v>3228</v>
      </c>
      <c r="H35" s="555"/>
      <c r="I35" s="576" t="s">
        <v>3228</v>
      </c>
      <c r="J35" s="555"/>
      <c r="K35" s="581"/>
      <c r="L35" s="2144"/>
      <c r="M35" s="2134"/>
      <c r="N35" s="2134"/>
      <c r="O35" s="2143"/>
      <c r="P35" s="3419"/>
      <c r="Q35" s="1573"/>
      <c r="R35" s="1574"/>
      <c r="S35" s="1575"/>
      <c r="T35" s="1574"/>
      <c r="U35" s="1575"/>
      <c r="V35" s="1574"/>
      <c r="W35" s="1575"/>
      <c r="X35" s="1568"/>
      <c r="Y35" s="3419"/>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19"/>
      <c r="Q36" s="1573" t="str">
        <f t="shared" si="8"/>
        <v>土地级别</v>
      </c>
      <c r="R36" s="1574" t="s">
        <v>8</v>
      </c>
      <c r="S36" s="1575">
        <f t="shared" si="10"/>
        <v>100</v>
      </c>
      <c r="T36" s="1574" t="s">
        <v>8</v>
      </c>
      <c r="U36" s="1575">
        <f t="shared" si="11"/>
        <v>100</v>
      </c>
      <c r="V36" s="1574" t="s">
        <v>8</v>
      </c>
      <c r="W36" s="1575">
        <f t="shared" si="12"/>
        <v>100</v>
      </c>
      <c r="X36" s="1568"/>
      <c r="Y36" s="3419"/>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19"/>
      <c r="Q37" s="1573">
        <f t="shared" si="8"/>
        <v>111</v>
      </c>
      <c r="R37" s="1574" t="s">
        <v>8</v>
      </c>
      <c r="S37" s="1575">
        <f t="shared" si="10"/>
        <v>100</v>
      </c>
      <c r="T37" s="1574" t="s">
        <v>8</v>
      </c>
      <c r="U37" s="1575">
        <f t="shared" si="11"/>
        <v>100</v>
      </c>
      <c r="V37" s="1574" t="s">
        <v>8</v>
      </c>
      <c r="W37" s="1575">
        <f t="shared" si="12"/>
        <v>100</v>
      </c>
      <c r="X37" s="1568"/>
      <c r="Y37" s="3419"/>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0" t="s">
        <v>549</v>
      </c>
      <c r="Q38" s="1573">
        <f t="shared" si="8"/>
        <v>111</v>
      </c>
      <c r="R38" s="1574" t="s">
        <v>8</v>
      </c>
      <c r="S38" s="1575">
        <f t="shared" si="10"/>
        <v>100</v>
      </c>
      <c r="T38" s="1574" t="s">
        <v>8</v>
      </c>
      <c r="U38" s="1575">
        <f t="shared" si="11"/>
        <v>100</v>
      </c>
      <c r="V38" s="1574" t="s">
        <v>8</v>
      </c>
      <c r="W38" s="1575">
        <f t="shared" si="12"/>
        <v>100</v>
      </c>
      <c r="X38" s="1568"/>
      <c r="Y38" s="3421"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1"/>
      <c r="Q39" s="1573">
        <f t="shared" si="8"/>
        <v>111</v>
      </c>
      <c r="R39" s="1578" t="s">
        <v>8</v>
      </c>
      <c r="S39" s="1579">
        <f t="shared" si="10"/>
        <v>100</v>
      </c>
      <c r="T39" s="1578" t="s">
        <v>8</v>
      </c>
      <c r="U39" s="1579">
        <f t="shared" si="11"/>
        <v>100</v>
      </c>
      <c r="V39" s="1578" t="s">
        <v>8</v>
      </c>
      <c r="W39" s="1579">
        <f t="shared" si="12"/>
        <v>100</v>
      </c>
      <c r="X39" s="1580"/>
      <c r="Y39" s="3421"/>
      <c r="Z39" s="1581">
        <f t="shared" si="13"/>
        <v>111</v>
      </c>
      <c r="AA39" s="1577">
        <f t="shared" si="3"/>
        <v>1</v>
      </c>
      <c r="AB39" s="1577">
        <f t="shared" si="4"/>
        <v>1</v>
      </c>
      <c r="AC39" s="1577">
        <f t="shared" si="5"/>
        <v>1</v>
      </c>
    </row>
    <row r="40" spans="1:29" ht="20.25">
      <c r="A40" s="2909" t="s">
        <v>2757</v>
      </c>
      <c r="B40" s="595" t="s">
        <v>551</v>
      </c>
      <c r="C40" s="596">
        <f>5821.99</f>
        <v>5821.99</v>
      </c>
      <c r="D40" s="597">
        <v>100</v>
      </c>
      <c r="E40" s="596">
        <f>土地案例!D5</f>
        <v>93024.68</v>
      </c>
      <c r="F40" s="597">
        <f>LOOKUP(E40,119:119,120:120)-LOOKUP(C40,119:119,120:120)+100</f>
        <v>102</v>
      </c>
      <c r="G40" s="596">
        <f>土地案例!D6</f>
        <v>68644.55</v>
      </c>
      <c r="H40" s="597">
        <f>LOOKUP(G40,119:119,120:120)-LOOKUP(C40,119:119,120:120)+100</f>
        <v>101</v>
      </c>
      <c r="I40" s="598">
        <f>土地案例!D7</f>
        <v>124317.3</v>
      </c>
      <c r="J40" s="597">
        <f>LOOKUP(I40,119:119,120:120)-LOOKUP(C40,119:119,120:120)+100</f>
        <v>103</v>
      </c>
      <c r="K40" s="581"/>
      <c r="L40" s="2144"/>
      <c r="M40" s="2134"/>
      <c r="N40" s="2134"/>
      <c r="O40" s="2143"/>
      <c r="P40" s="3421"/>
      <c r="Q40" s="1573" t="str">
        <f>B40</f>
        <v>宗地面积</v>
      </c>
      <c r="R40" s="1574" t="s">
        <v>8</v>
      </c>
      <c r="S40" s="1575">
        <f t="shared" si="10"/>
        <v>102</v>
      </c>
      <c r="T40" s="1574" t="s">
        <v>8</v>
      </c>
      <c r="U40" s="1575">
        <f t="shared" si="11"/>
        <v>101</v>
      </c>
      <c r="V40" s="1574" t="s">
        <v>8</v>
      </c>
      <c r="W40" s="1575">
        <f t="shared" si="12"/>
        <v>103</v>
      </c>
      <c r="X40" s="1568"/>
      <c r="Y40" s="3421"/>
      <c r="Z40" s="1576" t="str">
        <f t="shared" si="13"/>
        <v>宗地面积</v>
      </c>
      <c r="AA40" s="1577">
        <f t="shared" si="3"/>
        <v>0.98039215686274506</v>
      </c>
      <c r="AB40" s="1577">
        <f t="shared" si="4"/>
        <v>0.99009900990099009</v>
      </c>
      <c r="AC40" s="1577">
        <f t="shared" si="5"/>
        <v>0.970873786407767</v>
      </c>
    </row>
    <row r="41" spans="1:29" ht="20.25">
      <c r="A41" s="594"/>
      <c r="B41" s="527" t="s">
        <v>552</v>
      </c>
      <c r="C41" s="3200" t="s">
        <v>3180</v>
      </c>
      <c r="D41" s="540">
        <v>100</v>
      </c>
      <c r="E41" s="3200" t="s">
        <v>3180</v>
      </c>
      <c r="F41" s="540">
        <f>SUMIF(121:121,E41,122:122)-SUMIF(121:121,C41,122:122)+100</f>
        <v>100</v>
      </c>
      <c r="G41" s="3200" t="s">
        <v>3180</v>
      </c>
      <c r="H41" s="540">
        <f>SUMIF(121:121,G41,122:122)-SUMIF(121:121,C41,122:122)+100</f>
        <v>100</v>
      </c>
      <c r="I41" s="3200" t="s">
        <v>3180</v>
      </c>
      <c r="J41" s="540">
        <f>SUMIF(121:121,I41,122:122)-SUMIF(121:121,C41,122:122)+100</f>
        <v>100</v>
      </c>
      <c r="K41" s="584">
        <v>2</v>
      </c>
      <c r="L41" s="2144"/>
      <c r="M41" s="2134"/>
      <c r="N41" s="2134"/>
      <c r="O41" s="2143"/>
      <c r="P41" s="3421"/>
      <c r="Q41" s="1573" t="str">
        <f t="shared" ref="Q41:Q47" si="14">B41</f>
        <v>宗地形状</v>
      </c>
      <c r="R41" s="1574" t="s">
        <v>8</v>
      </c>
      <c r="S41" s="1575">
        <f t="shared" si="10"/>
        <v>100</v>
      </c>
      <c r="T41" s="1574" t="s">
        <v>8</v>
      </c>
      <c r="U41" s="1575">
        <f t="shared" si="11"/>
        <v>100</v>
      </c>
      <c r="V41" s="1574" t="s">
        <v>8</v>
      </c>
      <c r="W41" s="1575">
        <f t="shared" si="12"/>
        <v>100</v>
      </c>
      <c r="X41" s="1568"/>
      <c r="Y41" s="3421"/>
      <c r="Z41" s="1576" t="str">
        <f t="shared" si="13"/>
        <v>宗地形状</v>
      </c>
      <c r="AA41" s="1577">
        <f t="shared" si="3"/>
        <v>1</v>
      </c>
      <c r="AB41" s="1577">
        <f t="shared" si="4"/>
        <v>1</v>
      </c>
      <c r="AC41" s="1577">
        <f t="shared" si="5"/>
        <v>1</v>
      </c>
    </row>
    <row r="42" spans="1:29" ht="20.25">
      <c r="A42" s="594"/>
      <c r="B42" s="527" t="s">
        <v>553</v>
      </c>
      <c r="C42" s="3201" t="s">
        <v>3181</v>
      </c>
      <c r="D42" s="540">
        <v>100</v>
      </c>
      <c r="E42" s="3201" t="s">
        <v>3181</v>
      </c>
      <c r="F42" s="540">
        <f>SUMIF(123:123,E42,124:124)-SUMIF(123:123,C42,124:124)+100</f>
        <v>100</v>
      </c>
      <c r="G42" s="3201" t="s">
        <v>3181</v>
      </c>
      <c r="H42" s="540">
        <f>SUMIF(123:123,G42,124:124)-SUMIF(123:123,C42,124:124)+100</f>
        <v>100</v>
      </c>
      <c r="I42" s="3201" t="s">
        <v>3181</v>
      </c>
      <c r="J42" s="540">
        <f>SUMIF(123:123,I42,124:124)-SUMIF(123:123,C42,124:124)+100</f>
        <v>100</v>
      </c>
      <c r="K42" s="584">
        <v>2</v>
      </c>
      <c r="L42" s="2144"/>
      <c r="M42" s="2134"/>
      <c r="N42" s="2134"/>
      <c r="O42" s="2143"/>
      <c r="P42" s="3421"/>
      <c r="Q42" s="1573" t="str">
        <f t="shared" si="14"/>
        <v>临街宽度及深度</v>
      </c>
      <c r="R42" s="1574" t="s">
        <v>8</v>
      </c>
      <c r="S42" s="1575">
        <f t="shared" si="10"/>
        <v>100</v>
      </c>
      <c r="T42" s="1574" t="s">
        <v>8</v>
      </c>
      <c r="U42" s="1575">
        <f t="shared" si="11"/>
        <v>100</v>
      </c>
      <c r="V42" s="1574" t="s">
        <v>8</v>
      </c>
      <c r="W42" s="1575">
        <f t="shared" si="12"/>
        <v>100</v>
      </c>
      <c r="X42" s="1568"/>
      <c r="Y42" s="3421"/>
      <c r="Z42" s="1576" t="str">
        <f t="shared" si="13"/>
        <v>临街宽度及深度</v>
      </c>
      <c r="AA42" s="1577">
        <f t="shared" si="3"/>
        <v>1</v>
      </c>
      <c r="AB42" s="1577">
        <f t="shared" si="4"/>
        <v>1</v>
      </c>
      <c r="AC42" s="1577">
        <f t="shared" si="5"/>
        <v>1</v>
      </c>
    </row>
    <row r="43" spans="1:29" s="1220" customFormat="1" ht="20.25" hidden="1">
      <c r="A43" s="600"/>
      <c r="B43" s="1897" t="s">
        <v>2426</v>
      </c>
      <c r="C43" s="3202" t="s">
        <v>3182</v>
      </c>
      <c r="D43" s="255">
        <v>100</v>
      </c>
      <c r="E43" s="3202" t="s">
        <v>3182</v>
      </c>
      <c r="F43" s="540">
        <f>SUMIF(125:125,E43,126:126)-SUMIF(125:125,C43,126:126)+100</f>
        <v>100</v>
      </c>
      <c r="G43" s="3202" t="s">
        <v>3182</v>
      </c>
      <c r="H43" s="540">
        <f>SUMIF(125:125,G43,126:126)-SUMIF(125:125,C43,126:126)+100</f>
        <v>100</v>
      </c>
      <c r="I43" s="3202" t="s">
        <v>3182</v>
      </c>
      <c r="J43" s="540">
        <f>SUMIF(125:125,I43,126:126)-SUMIF(125:125,C43,126:126)+100</f>
        <v>100</v>
      </c>
      <c r="K43" s="584"/>
      <c r="L43" s="2137"/>
      <c r="M43" s="2134"/>
      <c r="N43" s="2134"/>
      <c r="O43" s="2139"/>
      <c r="P43" s="3421"/>
      <c r="Q43" s="1573" t="str">
        <f t="shared" si="14"/>
        <v>宗地开发程度</v>
      </c>
      <c r="R43" s="1569" t="s">
        <v>8</v>
      </c>
      <c r="S43" s="1570">
        <f t="shared" si="10"/>
        <v>100</v>
      </c>
      <c r="T43" s="1569" t="s">
        <v>8</v>
      </c>
      <c r="U43" s="1570">
        <f t="shared" si="11"/>
        <v>100</v>
      </c>
      <c r="V43" s="1569" t="s">
        <v>8</v>
      </c>
      <c r="W43" s="1570">
        <f t="shared" si="12"/>
        <v>100</v>
      </c>
      <c r="X43" s="1571"/>
      <c r="Y43" s="3421"/>
      <c r="Z43" s="1150" t="str">
        <f t="shared" si="13"/>
        <v>宗地开发程度</v>
      </c>
      <c r="AA43" s="1572">
        <f t="shared" si="3"/>
        <v>1</v>
      </c>
      <c r="AB43" s="1572">
        <f t="shared" si="4"/>
        <v>1</v>
      </c>
      <c r="AC43" s="1572">
        <f t="shared" si="5"/>
        <v>1</v>
      </c>
    </row>
    <row r="44" spans="1:29" ht="21" thickBot="1">
      <c r="A44" s="594"/>
      <c r="B44" s="527" t="s">
        <v>554</v>
      </c>
      <c r="C44" s="3201" t="s">
        <v>3183</v>
      </c>
      <c r="D44" s="540">
        <v>100</v>
      </c>
      <c r="E44" s="3201" t="s">
        <v>3183</v>
      </c>
      <c r="F44" s="540">
        <f>SUMIF(127:127,E44,128:128)-SUMIF(127:127,C44,128:128)+100</f>
        <v>100</v>
      </c>
      <c r="G44" s="3201" t="s">
        <v>3183</v>
      </c>
      <c r="H44" s="540">
        <f>SUMIF(127:127,G44,128:128)-SUMIF(127:127,C44,128:128)+100</f>
        <v>100</v>
      </c>
      <c r="I44" s="3201" t="s">
        <v>3183</v>
      </c>
      <c r="J44" s="540">
        <f>SUMIF(127:127,I44,128:128)-SUMIF(127:127,C44,128:128)+100</f>
        <v>100</v>
      </c>
      <c r="K44" s="584">
        <v>2</v>
      </c>
      <c r="L44" s="2144"/>
      <c r="M44" s="2134"/>
      <c r="N44" s="2134"/>
      <c r="O44" s="2143"/>
      <c r="P44" s="3421" t="s">
        <v>549</v>
      </c>
      <c r="Q44" s="1573" t="str">
        <f t="shared" si="14"/>
        <v>工程地质条件</v>
      </c>
      <c r="R44" s="1574" t="s">
        <v>8</v>
      </c>
      <c r="S44" s="1575">
        <f t="shared" si="10"/>
        <v>100</v>
      </c>
      <c r="T44" s="1574" t="s">
        <v>8</v>
      </c>
      <c r="U44" s="1575">
        <f t="shared" si="11"/>
        <v>100</v>
      </c>
      <c r="V44" s="1574" t="s">
        <v>8</v>
      </c>
      <c r="W44" s="1575">
        <f t="shared" si="12"/>
        <v>100</v>
      </c>
      <c r="X44" s="1568"/>
      <c r="Y44" s="3421"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21"/>
      <c r="Q45" s="1573">
        <f t="shared" si="14"/>
        <v>111</v>
      </c>
      <c r="R45" s="1574" t="s">
        <v>8</v>
      </c>
      <c r="S45" s="1575">
        <f t="shared" si="10"/>
        <v>100</v>
      </c>
      <c r="T45" s="1574" t="s">
        <v>8</v>
      </c>
      <c r="U45" s="1575">
        <f t="shared" si="11"/>
        <v>100</v>
      </c>
      <c r="V45" s="1574" t="s">
        <v>8</v>
      </c>
      <c r="W45" s="1575">
        <f t="shared" si="12"/>
        <v>100</v>
      </c>
      <c r="X45" s="1568"/>
      <c r="Y45" s="3421"/>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1"/>
      <c r="Q46" s="1573">
        <f t="shared" si="14"/>
        <v>111</v>
      </c>
      <c r="R46" s="1574" t="s">
        <v>8</v>
      </c>
      <c r="S46" s="1575">
        <f t="shared" si="10"/>
        <v>100</v>
      </c>
      <c r="T46" s="1574" t="s">
        <v>8</v>
      </c>
      <c r="U46" s="1575">
        <f t="shared" si="11"/>
        <v>100</v>
      </c>
      <c r="V46" s="1574" t="s">
        <v>8</v>
      </c>
      <c r="W46" s="1575">
        <f t="shared" si="12"/>
        <v>100</v>
      </c>
      <c r="X46" s="1568"/>
      <c r="Y46" s="3421"/>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1"/>
      <c r="Q47" s="1573">
        <f t="shared" si="14"/>
        <v>111</v>
      </c>
      <c r="R47" s="1578" t="s">
        <v>8</v>
      </c>
      <c r="S47" s="1579">
        <f t="shared" si="10"/>
        <v>100</v>
      </c>
      <c r="T47" s="1578" t="s">
        <v>8</v>
      </c>
      <c r="U47" s="1579">
        <f t="shared" si="11"/>
        <v>100</v>
      </c>
      <c r="V47" s="1578" t="s">
        <v>8</v>
      </c>
      <c r="W47" s="1579">
        <f t="shared" si="12"/>
        <v>100</v>
      </c>
      <c r="X47" s="1580"/>
      <c r="Y47" s="3421"/>
      <c r="Z47" s="1581">
        <f t="shared" si="13"/>
        <v>111</v>
      </c>
      <c r="AA47" s="1577">
        <f t="shared" si="3"/>
        <v>1</v>
      </c>
      <c r="AB47" s="1577">
        <f t="shared" si="4"/>
        <v>1</v>
      </c>
      <c r="AC47" s="1577">
        <f t="shared" si="5"/>
        <v>1</v>
      </c>
    </row>
    <row r="48" spans="1:29" ht="20.25">
      <c r="A48" s="607" t="s">
        <v>555</v>
      </c>
      <c r="B48" s="3513" t="s">
        <v>3147</v>
      </c>
      <c r="C48" s="609" t="s">
        <v>1</v>
      </c>
      <c r="D48" s="610"/>
      <c r="E48" s="611">
        <f>土地案例!L5</f>
        <v>3679</v>
      </c>
      <c r="F48" s="612"/>
      <c r="G48" s="613">
        <f>土地案例!L6</f>
        <v>3683</v>
      </c>
      <c r="H48" s="614"/>
      <c r="I48" s="611">
        <f>土地案例!L7</f>
        <v>3682</v>
      </c>
      <c r="J48" s="614"/>
      <c r="K48" s="1340"/>
      <c r="L48" s="2146"/>
      <c r="M48" s="2134"/>
      <c r="N48" s="2134"/>
      <c r="O48" s="2147"/>
      <c r="P48" s="3384" t="str">
        <f>A48</f>
        <v>成交单价</v>
      </c>
      <c r="Q48" s="3384"/>
      <c r="R48" s="3385">
        <f>E48</f>
        <v>3679</v>
      </c>
      <c r="S48" s="3385"/>
      <c r="T48" s="3385">
        <f>G48</f>
        <v>3683</v>
      </c>
      <c r="U48" s="3385"/>
      <c r="V48" s="3385">
        <f>I48</f>
        <v>3682</v>
      </c>
      <c r="W48" s="3385"/>
      <c r="X48" s="1560"/>
      <c r="Y48" s="1582"/>
      <c r="Z48" s="1560"/>
      <c r="AA48" s="1560"/>
      <c r="AB48" s="1560"/>
      <c r="AC48" s="1560"/>
    </row>
    <row r="49" spans="1:29" ht="21" thickBot="1">
      <c r="A49" s="615" t="s">
        <v>2695</v>
      </c>
      <c r="B49" s="616"/>
      <c r="C49" s="617">
        <f>R50</f>
        <v>3721</v>
      </c>
      <c r="D49" s="618"/>
      <c r="E49" s="617">
        <f>R49</f>
        <v>3718</v>
      </c>
      <c r="F49" s="619"/>
      <c r="G49" s="620">
        <f>T49</f>
        <v>3759</v>
      </c>
      <c r="H49" s="618"/>
      <c r="I49" s="617">
        <f>V49</f>
        <v>3685</v>
      </c>
      <c r="J49" s="618"/>
      <c r="K49" s="1341"/>
      <c r="L49" s="2146"/>
      <c r="M49" s="2134"/>
      <c r="N49" s="2134"/>
      <c r="O49" s="2147"/>
      <c r="P49" s="3384" t="str">
        <f>A49</f>
        <v>比较价格（元/平方米）</v>
      </c>
      <c r="Q49" s="3384"/>
      <c r="R49" s="3386">
        <f>ROUND(PRODUCT(R48,AA9:AA47),0)</f>
        <v>3718</v>
      </c>
      <c r="S49" s="3386"/>
      <c r="T49" s="3386">
        <f>ROUND(PRODUCT(T48,AB9:AB47),0)</f>
        <v>3759</v>
      </c>
      <c r="U49" s="3386"/>
      <c r="V49" s="3386">
        <f>ROUND(PRODUCT(V48,AC9:AC47),0)</f>
        <v>3685</v>
      </c>
      <c r="W49" s="3386"/>
      <c r="X49" s="1560"/>
      <c r="Y49" s="1560"/>
      <c r="Z49" s="1560"/>
      <c r="AA49" s="1560"/>
      <c r="AB49" s="1560"/>
      <c r="AC49" s="1560"/>
    </row>
    <row r="50" spans="1:29" ht="21" thickBot="1">
      <c r="A50" s="621" t="s">
        <v>2936</v>
      </c>
      <c r="B50" s="622"/>
      <c r="C50" s="623">
        <f>R50</f>
        <v>3721</v>
      </c>
      <c r="D50" s="623"/>
      <c r="E50" s="623"/>
      <c r="F50" s="623"/>
      <c r="G50" s="623"/>
      <c r="H50" s="623"/>
      <c r="I50" s="623"/>
      <c r="J50" s="623"/>
      <c r="K50" s="1342"/>
      <c r="L50" s="2146"/>
      <c r="M50" s="2134"/>
      <c r="N50" s="2134"/>
      <c r="O50" s="2147"/>
      <c r="P50" s="3381" t="str">
        <f>A50</f>
        <v>估价对象XX用房的比较价格（楼面单价，元/平方米）</v>
      </c>
      <c r="Q50" s="3382"/>
      <c r="R50" s="3383">
        <f>ROUND(AVERAGE(R49:V49),0)</f>
        <v>3721</v>
      </c>
      <c r="S50" s="3383"/>
      <c r="T50" s="3383"/>
      <c r="U50" s="3383"/>
      <c r="V50" s="3383"/>
      <c r="W50" s="338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1.0600706713780994E-2</v>
      </c>
      <c r="F53" s="627" t="str">
        <f>IF(OR(E53&gt;=0.3,E53&lt;=-0.3),"超过30%","")</f>
        <v/>
      </c>
      <c r="G53" s="626">
        <f>IF(G48&lt;G49,G49/G48-1,G48/G49-1)</f>
        <v>2.0635351615530872E-2</v>
      </c>
      <c r="H53" s="627" t="str">
        <f>IF(OR(G53&gt;=0.3,G53&lt;=-0.3),"超过30%","")</f>
        <v/>
      </c>
      <c r="I53" s="626">
        <f>IF(I48&lt;I49,I49/I48-1,I48/I49-1)</f>
        <v>8.1477457903322836E-4</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1.1027434104357248E-2</v>
      </c>
      <c r="F54" s="627" t="str">
        <f>IF(OR(E54&gt;=0.2,E54&lt;=-0.2),"超过20%","")</f>
        <v/>
      </c>
      <c r="G54" s="626">
        <f>IF(G49&lt;I49,I49/G49-1,G49/I49-1)</f>
        <v>2.0081411126187332E-2</v>
      </c>
      <c r="H54" s="627" t="str">
        <f>IF(OR(G54&gt;=0.2,G54&lt;=-0.2),"超过20%","")</f>
        <v/>
      </c>
      <c r="I54" s="626">
        <f>IF(I49&lt;E49,E49/I49-1,I49/E49-1)</f>
        <v>8.9552238805969964E-3</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1.0872519706441874E-3</v>
      </c>
      <c r="F55" s="627" t="str">
        <f>IF(OR(E55&gt;=0.3,E55&lt;=-0.3),"超过30%","")</f>
        <v/>
      </c>
      <c r="G55" s="626">
        <f>IF(G48&lt;I48,I48/G48-1,G48/I48-1)</f>
        <v>2.7159152634448347E-4</v>
      </c>
      <c r="H55" s="627" t="str">
        <f>IF(OR(G55&gt;=0.3,G55&lt;=-0.3),"超过30%","")</f>
        <v/>
      </c>
      <c r="I55" s="626">
        <f>IF(I48&lt;E48,E48/I48-1,I48/E48-1)</f>
        <v>8.1543897798308507E-4</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2295</v>
      </c>
      <c r="E57" s="631" t="s">
        <v>561</v>
      </c>
      <c r="F57" s="632" t="s">
        <v>562</v>
      </c>
      <c r="G57" s="3410" t="s">
        <v>2283</v>
      </c>
      <c r="H57" s="3411"/>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3721</v>
      </c>
      <c r="C58" s="635">
        <v>1</v>
      </c>
      <c r="D58" s="2230">
        <v>1</v>
      </c>
      <c r="E58" s="635">
        <f>'数据-汇总表'!E8+'数据-汇总表'!E9</f>
        <v>8732.99</v>
      </c>
      <c r="F58" s="636">
        <f t="shared" ref="F58:F67" si="15">ROUND(B58*E58/10000,0)</f>
        <v>3250</v>
      </c>
      <c r="G58" s="3412"/>
      <c r="H58" s="3413"/>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414"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414"/>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414"/>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414"/>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2296</v>
      </c>
      <c r="E68" s="643">
        <f>IF(B48="楼面地价",SUM(E58:E67),'数据-汇总表'!D3)</f>
        <v>5821.99</v>
      </c>
      <c r="F68" s="644">
        <f>IF(B48="楼面地价",SUM(F58:F67),ROUND(C50*E68/10000,0))</f>
        <v>2166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2018-6-1</v>
      </c>
      <c r="D70" s="2801">
        <f>EDATE(C70,-3)</f>
        <v>43160</v>
      </c>
      <c r="E70" s="2801">
        <f t="shared" ref="E70:N70" si="18">EDATE(D70,-3)</f>
        <v>43070</v>
      </c>
      <c r="F70" s="2801">
        <f t="shared" si="18"/>
        <v>42979</v>
      </c>
      <c r="G70" s="2801">
        <f t="shared" si="18"/>
        <v>42887</v>
      </c>
      <c r="H70" s="2801">
        <f t="shared" si="18"/>
        <v>42795</v>
      </c>
      <c r="I70" s="2801">
        <f t="shared" si="18"/>
        <v>42705</v>
      </c>
      <c r="J70" s="2801">
        <f t="shared" si="18"/>
        <v>42614</v>
      </c>
      <c r="K70" s="2801">
        <f t="shared" si="18"/>
        <v>42522</v>
      </c>
      <c r="L70" s="2801">
        <f t="shared" si="18"/>
        <v>42430</v>
      </c>
      <c r="M70" s="2801">
        <f t="shared" si="18"/>
        <v>42339</v>
      </c>
      <c r="N70" s="2801">
        <f t="shared" si="18"/>
        <v>42248</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2018-2</v>
      </c>
      <c r="D72" s="2803" t="str">
        <f>YEAR(D70)&amp;"-"&amp;ROUNDUP(MONTH(D70)/3,0)</f>
        <v>2018-1</v>
      </c>
      <c r="E72" s="2803" t="str">
        <f t="shared" ref="E72:N72" si="19">YEAR(E70)&amp;"-"&amp;ROUNDUP(MONTH(E70)/3,0)</f>
        <v>2017-4</v>
      </c>
      <c r="F72" s="2803" t="str">
        <f t="shared" si="19"/>
        <v>2017-3</v>
      </c>
      <c r="G72" s="2803" t="str">
        <f t="shared" si="19"/>
        <v>2017-2</v>
      </c>
      <c r="H72" s="2803" t="str">
        <f t="shared" si="19"/>
        <v>2017-1</v>
      </c>
      <c r="I72" s="2803" t="str">
        <f t="shared" si="19"/>
        <v>2016-4</v>
      </c>
      <c r="J72" s="2803" t="str">
        <f t="shared" si="19"/>
        <v>2016-3</v>
      </c>
      <c r="K72" s="2803" t="str">
        <f t="shared" si="19"/>
        <v>2016-2</v>
      </c>
      <c r="L72" s="2803" t="str">
        <f t="shared" si="19"/>
        <v>2016-1</v>
      </c>
      <c r="M72" s="2803" t="str">
        <f t="shared" si="19"/>
        <v>2015-4</v>
      </c>
      <c r="N72" s="2803"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北京市平均增长率2.27%</v>
      </c>
      <c r="C73" s="894">
        <v>100</v>
      </c>
      <c r="D73" s="730">
        <v>99</v>
      </c>
      <c r="E73" s="730">
        <v>98</v>
      </c>
      <c r="F73" s="730">
        <v>97</v>
      </c>
      <c r="G73" s="730">
        <v>96</v>
      </c>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189" t="s">
        <v>3146</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101</v>
      </c>
      <c r="E83" s="679">
        <f t="shared" ref="E83:M83" si="21">IF($B$48="单位面积地价",D83+$K13,D83-$K13)</f>
        <v>102</v>
      </c>
      <c r="F83" s="679">
        <f t="shared" si="21"/>
        <v>103</v>
      </c>
      <c r="G83" s="679">
        <f t="shared" si="21"/>
        <v>104</v>
      </c>
      <c r="H83" s="679">
        <f t="shared" si="21"/>
        <v>105</v>
      </c>
      <c r="I83" s="679">
        <f t="shared" si="21"/>
        <v>106</v>
      </c>
      <c r="J83" s="679">
        <f t="shared" si="21"/>
        <v>107</v>
      </c>
      <c r="K83" s="679">
        <f t="shared" si="21"/>
        <v>108</v>
      </c>
      <c r="L83" s="679">
        <f t="shared" si="21"/>
        <v>109</v>
      </c>
      <c r="M83" s="679">
        <f t="shared" si="21"/>
        <v>110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209" t="s">
        <v>3224</v>
      </c>
      <c r="D108" s="3209" t="s">
        <v>3225</v>
      </c>
      <c r="E108" s="3209" t="s">
        <v>3226</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101</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16" t="str">
        <f>项目基本情况!B1</f>
        <v>出让国有建设用地使用权抵押价格预评估</v>
      </c>
      <c r="C37" s="3216"/>
      <c r="D37" s="3216"/>
      <c r="E37" s="3216"/>
      <c r="F37" s="3216"/>
      <c r="G37" s="3216"/>
      <c r="H37" s="3216"/>
      <c r="I37" s="3216"/>
    </row>
    <row r="38" spans="1:9">
      <c r="A38" s="1657"/>
      <c r="B38" s="1657"/>
    </row>
    <row r="39" spans="1:9">
      <c r="A39" s="1655" t="s">
        <v>1901</v>
      </c>
      <c r="B39" s="1655" t="s">
        <v>2048</v>
      </c>
    </row>
    <row r="40" spans="1:9">
      <c r="A40" s="1655"/>
      <c r="B40" s="1655" t="str">
        <f>项目基本情况!B5</f>
        <v>融创</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刘梅、吴薇</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390" t="s">
        <v>521</v>
      </c>
      <c r="D6" s="3391"/>
      <c r="E6" s="3424" t="s">
        <v>522</v>
      </c>
      <c r="F6" s="3425"/>
      <c r="G6" s="3390" t="s">
        <v>523</v>
      </c>
      <c r="H6" s="3391"/>
      <c r="I6" s="3390" t="s">
        <v>524</v>
      </c>
      <c r="J6" s="3391"/>
      <c r="K6" s="514" t="s">
        <v>525</v>
      </c>
      <c r="L6" s="2135"/>
      <c r="M6" s="2136"/>
      <c r="N6" s="2136"/>
      <c r="O6" s="2136"/>
      <c r="P6" s="3392" t="s">
        <v>526</v>
      </c>
      <c r="Q6" s="3393"/>
      <c r="R6" s="3398" t="s">
        <v>522</v>
      </c>
      <c r="S6" s="3399"/>
      <c r="T6" s="3398" t="s">
        <v>523</v>
      </c>
      <c r="U6" s="3399"/>
      <c r="V6" s="3385" t="s">
        <v>524</v>
      </c>
      <c r="W6" s="3385"/>
      <c r="X6" s="1568"/>
      <c r="Y6" s="3398" t="s">
        <v>526</v>
      </c>
      <c r="Z6" s="3399"/>
      <c r="AA6" s="3387" t="s">
        <v>522</v>
      </c>
      <c r="AB6" s="3388" t="s">
        <v>523</v>
      </c>
      <c r="AC6" s="3387" t="s">
        <v>524</v>
      </c>
    </row>
    <row r="7" spans="1:29" ht="15">
      <c r="A7" s="515"/>
      <c r="B7" s="516"/>
      <c r="C7" s="3406" t="s">
        <v>2930</v>
      </c>
      <c r="D7" s="3407"/>
      <c r="E7" s="3426" t="s">
        <v>2931</v>
      </c>
      <c r="F7" s="3427"/>
      <c r="G7" s="3406" t="s">
        <v>2932</v>
      </c>
      <c r="H7" s="3407"/>
      <c r="I7" s="3406" t="s">
        <v>2933</v>
      </c>
      <c r="J7" s="3407"/>
      <c r="K7" s="514"/>
      <c r="L7" s="2135"/>
      <c r="M7" s="2136"/>
      <c r="N7" s="2136"/>
      <c r="O7" s="2136"/>
      <c r="P7" s="3394"/>
      <c r="Q7" s="3395"/>
      <c r="R7" s="3400"/>
      <c r="S7" s="3401"/>
      <c r="T7" s="3400"/>
      <c r="U7" s="3401"/>
      <c r="V7" s="3385"/>
      <c r="W7" s="3385"/>
      <c r="X7" s="1568"/>
      <c r="Y7" s="3400"/>
      <c r="Z7" s="3401"/>
      <c r="AA7" s="3388"/>
      <c r="AB7" s="3388"/>
      <c r="AC7" s="3388"/>
    </row>
    <row r="8" spans="1:29" ht="15.75" thickBot="1">
      <c r="A8" s="517"/>
      <c r="B8" s="518"/>
      <c r="C8" s="3404" t="s">
        <v>2934</v>
      </c>
      <c r="D8" s="3405"/>
      <c r="E8" s="3422" t="s">
        <v>2934</v>
      </c>
      <c r="F8" s="3423"/>
      <c r="G8" s="3404" t="s">
        <v>2934</v>
      </c>
      <c r="H8" s="3405"/>
      <c r="I8" s="3404" t="s">
        <v>2934</v>
      </c>
      <c r="J8" s="3405"/>
      <c r="K8" s="514" t="s">
        <v>527</v>
      </c>
      <c r="L8" s="2135"/>
      <c r="M8" s="2136"/>
      <c r="N8" s="2136"/>
      <c r="O8" s="2136"/>
      <c r="P8" s="3396"/>
      <c r="Q8" s="3397"/>
      <c r="R8" s="3400"/>
      <c r="S8" s="3401"/>
      <c r="T8" s="3402"/>
      <c r="U8" s="3403"/>
      <c r="V8" s="3385"/>
      <c r="W8" s="3385"/>
      <c r="X8" s="1568"/>
      <c r="Y8" s="3402"/>
      <c r="Z8" s="3403"/>
      <c r="AA8" s="3389"/>
      <c r="AB8" s="3389"/>
      <c r="AC8" s="3389"/>
    </row>
    <row r="9" spans="1:29" s="1220" customFormat="1" ht="15.75" thickBot="1">
      <c r="A9" s="2914"/>
      <c r="B9" s="2921" t="s">
        <v>528</v>
      </c>
      <c r="C9" s="519">
        <f>'数据-取费表'!B2</f>
        <v>43276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5" t="s">
        <v>529</v>
      </c>
      <c r="Q9" s="3417"/>
      <c r="R9" s="1569" t="s">
        <v>8</v>
      </c>
      <c r="S9" s="1570">
        <f t="shared" ref="S9:S17" si="0">F9</f>
        <v>0</v>
      </c>
      <c r="T9" s="1569" t="s">
        <v>8</v>
      </c>
      <c r="U9" s="1570">
        <f t="shared" ref="U9:U17" si="1">H9</f>
        <v>0</v>
      </c>
      <c r="V9" s="1569" t="s">
        <v>8</v>
      </c>
      <c r="W9" s="1570">
        <f t="shared" ref="W9:W17" si="2">J9</f>
        <v>0</v>
      </c>
      <c r="X9" s="1571"/>
      <c r="Y9" s="3415" t="s">
        <v>529</v>
      </c>
      <c r="Z9" s="3416"/>
      <c r="AA9" s="1572" t="e">
        <f>D9/F9</f>
        <v>#DIV/0!</v>
      </c>
      <c r="AB9" s="1572" t="e">
        <f>D9/H9</f>
        <v>#DIV/0!</v>
      </c>
      <c r="AC9" s="1572" t="e">
        <f>D9/J9</f>
        <v>#DIV/0!</v>
      </c>
    </row>
    <row r="10" spans="1:29" s="1220" customFormat="1" ht="15.75" thickBot="1">
      <c r="A10" s="2915"/>
      <c r="B10" s="292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5" t="s">
        <v>532</v>
      </c>
      <c r="Q10" s="3416"/>
      <c r="R10" s="1569" t="s">
        <v>8</v>
      </c>
      <c r="S10" s="1570">
        <f t="shared" si="0"/>
        <v>0</v>
      </c>
      <c r="T10" s="1569" t="s">
        <v>8</v>
      </c>
      <c r="U10" s="1570">
        <f t="shared" si="1"/>
        <v>0</v>
      </c>
      <c r="V10" s="1569" t="s">
        <v>8</v>
      </c>
      <c r="W10" s="1570">
        <f t="shared" si="2"/>
        <v>0</v>
      </c>
      <c r="X10" s="1571"/>
      <c r="Y10" s="3415" t="s">
        <v>532</v>
      </c>
      <c r="Z10" s="3416"/>
      <c r="AA10" s="1572" t="e">
        <f t="shared" ref="AA10:AA42" si="3">D10/F10</f>
        <v>#DIV/0!</v>
      </c>
      <c r="AB10" s="1572" t="e">
        <f t="shared" ref="AB10:AB42" si="4">D10/H10</f>
        <v>#DIV/0!</v>
      </c>
      <c r="AC10" s="1572" t="e">
        <f t="shared" ref="AC10:AC42" si="5">D10/J10</f>
        <v>#DIV/0!</v>
      </c>
    </row>
    <row r="11" spans="1:29" s="1220" customFormat="1" ht="15">
      <c r="A11" s="2916"/>
      <c r="B11" s="2923"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4" t="s">
        <v>534</v>
      </c>
      <c r="Q11" s="1151" t="str">
        <f t="shared" ref="Q11:Q17" si="6">B11</f>
        <v>用途</v>
      </c>
      <c r="R11" s="1569" t="s">
        <v>8</v>
      </c>
      <c r="S11" s="1570">
        <f t="shared" si="0"/>
        <v>100</v>
      </c>
      <c r="T11" s="1569" t="s">
        <v>8</v>
      </c>
      <c r="U11" s="1570">
        <f t="shared" si="1"/>
        <v>100</v>
      </c>
      <c r="V11" s="1569" t="s">
        <v>8</v>
      </c>
      <c r="W11" s="1570">
        <f t="shared" si="2"/>
        <v>100</v>
      </c>
      <c r="X11" s="1571"/>
      <c r="Y11" s="3330" t="s">
        <v>535</v>
      </c>
      <c r="Z11" s="1150" t="str">
        <f t="shared" ref="Z11:Z17" si="7">Q11</f>
        <v>用途</v>
      </c>
      <c r="AA11" s="1572">
        <f t="shared" si="3"/>
        <v>1</v>
      </c>
      <c r="AB11" s="1572">
        <f t="shared" si="4"/>
        <v>1</v>
      </c>
      <c r="AC11" s="1572">
        <f t="shared" si="5"/>
        <v>1</v>
      </c>
    </row>
    <row r="12" spans="1:29" s="1338" customFormat="1" ht="27">
      <c r="A12" s="2917"/>
      <c r="B12" s="2922" t="s">
        <v>2759</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84"/>
      <c r="Q12" s="1151" t="str">
        <f t="shared" si="6"/>
        <v>土地使用年限（年）</v>
      </c>
      <c r="R12" s="1569" t="s">
        <v>8</v>
      </c>
      <c r="S12" s="1570">
        <f t="shared" si="0"/>
        <v>100</v>
      </c>
      <c r="T12" s="1569" t="s">
        <v>8</v>
      </c>
      <c r="U12" s="1570">
        <f t="shared" si="1"/>
        <v>100</v>
      </c>
      <c r="V12" s="1569" t="s">
        <v>8</v>
      </c>
      <c r="W12" s="1570">
        <f t="shared" si="2"/>
        <v>100</v>
      </c>
      <c r="X12" s="1571"/>
      <c r="Y12" s="3330"/>
      <c r="Z12" s="1150" t="str">
        <f t="shared" si="7"/>
        <v>土地使用年限（年）</v>
      </c>
      <c r="AA12" s="1572">
        <f t="shared" si="3"/>
        <v>1</v>
      </c>
      <c r="AB12" s="1572">
        <f t="shared" si="4"/>
        <v>1</v>
      </c>
      <c r="AC12" s="1572">
        <f t="shared" si="5"/>
        <v>1</v>
      </c>
    </row>
    <row r="13" spans="1:29" ht="15">
      <c r="A13" s="2918"/>
      <c r="B13" s="2922"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4"/>
      <c r="Q13" s="1151" t="str">
        <f t="shared" si="6"/>
        <v>容积率</v>
      </c>
      <c r="R13" s="1569" t="s">
        <v>8</v>
      </c>
      <c r="S13" s="1570" t="e">
        <f t="shared" si="0"/>
        <v>#N/A</v>
      </c>
      <c r="T13" s="1569" t="s">
        <v>8</v>
      </c>
      <c r="U13" s="1570" t="e">
        <f t="shared" si="1"/>
        <v>#N/A</v>
      </c>
      <c r="V13" s="1569" t="s">
        <v>8</v>
      </c>
      <c r="W13" s="1570" t="e">
        <f t="shared" si="2"/>
        <v>#N/A</v>
      </c>
      <c r="X13" s="1571"/>
      <c r="Y13" s="3330"/>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4"/>
      <c r="Q15" s="1151">
        <f t="shared" si="6"/>
        <v>111</v>
      </c>
      <c r="R15" s="1569" t="s">
        <v>8</v>
      </c>
      <c r="S15" s="1570">
        <f t="shared" si="0"/>
        <v>100</v>
      </c>
      <c r="T15" s="1569" t="s">
        <v>8</v>
      </c>
      <c r="U15" s="1570">
        <f t="shared" si="1"/>
        <v>100</v>
      </c>
      <c r="V15" s="1569" t="s">
        <v>8</v>
      </c>
      <c r="W15" s="1570">
        <f t="shared" si="2"/>
        <v>100</v>
      </c>
      <c r="X15" s="1571"/>
      <c r="Y15" s="3330"/>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4"/>
      <c r="Q16" s="1151">
        <f t="shared" si="6"/>
        <v>111</v>
      </c>
      <c r="R16" s="1569" t="s">
        <v>8</v>
      </c>
      <c r="S16" s="1570">
        <f t="shared" si="0"/>
        <v>100</v>
      </c>
      <c r="T16" s="1569" t="s">
        <v>8</v>
      </c>
      <c r="U16" s="1570">
        <f t="shared" si="1"/>
        <v>100</v>
      </c>
      <c r="V16" s="1569" t="s">
        <v>8</v>
      </c>
      <c r="W16" s="1570">
        <f t="shared" si="2"/>
        <v>100</v>
      </c>
      <c r="X16" s="1571"/>
      <c r="Y16" s="3330"/>
      <c r="Z16" s="1150">
        <f t="shared" si="7"/>
        <v>111</v>
      </c>
      <c r="AA16" s="1572">
        <f t="shared" si="3"/>
        <v>1</v>
      </c>
      <c r="AB16" s="1572">
        <f t="shared" si="4"/>
        <v>1</v>
      </c>
      <c r="AC16" s="1572">
        <f t="shared" si="5"/>
        <v>1</v>
      </c>
    </row>
    <row r="17" spans="1:29" ht="57">
      <c r="A17" s="2912"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18" t="s">
        <v>539</v>
      </c>
      <c r="Q17" s="1573" t="str">
        <f t="shared" si="6"/>
        <v>产业集聚程度</v>
      </c>
      <c r="R17" s="1574" t="s">
        <v>8</v>
      </c>
      <c r="S17" s="1575">
        <f t="shared" si="0"/>
        <v>100</v>
      </c>
      <c r="T17" s="1574" t="s">
        <v>8</v>
      </c>
      <c r="U17" s="1575">
        <f t="shared" si="1"/>
        <v>100</v>
      </c>
      <c r="V17" s="1574" t="s">
        <v>8</v>
      </c>
      <c r="W17" s="1575">
        <f t="shared" si="2"/>
        <v>100</v>
      </c>
      <c r="X17" s="1568"/>
      <c r="Y17" s="3418"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19"/>
      <c r="Q18" s="1573"/>
      <c r="R18" s="1574"/>
      <c r="S18" s="1575"/>
      <c r="T18" s="1574"/>
      <c r="U18" s="1575"/>
      <c r="V18" s="1574"/>
      <c r="W18" s="1575"/>
      <c r="X18" s="1568"/>
      <c r="Y18" s="3419"/>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19"/>
      <c r="Q19" s="1573" t="str">
        <f>B19</f>
        <v>交通便捷度</v>
      </c>
      <c r="R19" s="1574" t="s">
        <v>8</v>
      </c>
      <c r="S19" s="1575">
        <f>F19</f>
        <v>100</v>
      </c>
      <c r="T19" s="1574" t="s">
        <v>8</v>
      </c>
      <c r="U19" s="1575">
        <f>H19</f>
        <v>100</v>
      </c>
      <c r="V19" s="1574" t="s">
        <v>8</v>
      </c>
      <c r="W19" s="1575">
        <f>J19</f>
        <v>100</v>
      </c>
      <c r="X19" s="1568"/>
      <c r="Y19" s="341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19"/>
      <c r="Q20" s="1573"/>
      <c r="R20" s="1574"/>
      <c r="S20" s="1575"/>
      <c r="T20" s="1574"/>
      <c r="U20" s="1575"/>
      <c r="V20" s="1574"/>
      <c r="W20" s="1575"/>
      <c r="X20" s="1568"/>
      <c r="Y20" s="3419"/>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19"/>
      <c r="Q21" s="1573" t="str">
        <f t="shared" ref="Q21:Q35" si="8">B21</f>
        <v>区域土地利用方向</v>
      </c>
      <c r="R21" s="1574" t="s">
        <v>8</v>
      </c>
      <c r="S21" s="1575">
        <f>F21</f>
        <v>100</v>
      </c>
      <c r="T21" s="1574" t="s">
        <v>8</v>
      </c>
      <c r="U21" s="1575">
        <f>H21</f>
        <v>100</v>
      </c>
      <c r="V21" s="1574" t="s">
        <v>8</v>
      </c>
      <c r="W21" s="1575">
        <f>J21</f>
        <v>100</v>
      </c>
      <c r="X21" s="1568"/>
      <c r="Y21" s="341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19"/>
      <c r="Q22" s="1573"/>
      <c r="R22" s="1574"/>
      <c r="S22" s="1575"/>
      <c r="T22" s="1574"/>
      <c r="U22" s="1575"/>
      <c r="V22" s="1574"/>
      <c r="W22" s="1575"/>
      <c r="X22" s="1568"/>
      <c r="Y22" s="3419"/>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19"/>
      <c r="Q23" s="1573" t="str">
        <f t="shared" si="8"/>
        <v>环境状况</v>
      </c>
      <c r="R23" s="1574" t="s">
        <v>8</v>
      </c>
      <c r="S23" s="1575">
        <f>F23</f>
        <v>100</v>
      </c>
      <c r="T23" s="1574" t="s">
        <v>8</v>
      </c>
      <c r="U23" s="1575">
        <f>H23</f>
        <v>100</v>
      </c>
      <c r="V23" s="1574" t="s">
        <v>8</v>
      </c>
      <c r="W23" s="1575">
        <f>J23</f>
        <v>100</v>
      </c>
      <c r="X23" s="1568"/>
      <c r="Y23" s="341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19"/>
      <c r="Q24" s="1573"/>
      <c r="R24" s="1574"/>
      <c r="S24" s="1575"/>
      <c r="T24" s="1574"/>
      <c r="U24" s="1575"/>
      <c r="V24" s="1574"/>
      <c r="W24" s="1575"/>
      <c r="X24" s="1568"/>
      <c r="Y24" s="3419"/>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19"/>
      <c r="Q25" s="1151" t="str">
        <f t="shared" si="8"/>
        <v>公共配套设施</v>
      </c>
      <c r="R25" s="1569" t="s">
        <v>8</v>
      </c>
      <c r="S25" s="1570">
        <f>F25</f>
        <v>100</v>
      </c>
      <c r="T25" s="1569" t="s">
        <v>8</v>
      </c>
      <c r="U25" s="1570">
        <f>H25</f>
        <v>100</v>
      </c>
      <c r="V25" s="1569" t="s">
        <v>8</v>
      </c>
      <c r="W25" s="1570">
        <f>J25</f>
        <v>100</v>
      </c>
      <c r="X25" s="1571"/>
      <c r="Y25" s="3419"/>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19"/>
      <c r="Q26" s="1151"/>
      <c r="R26" s="1569"/>
      <c r="S26" s="1570"/>
      <c r="T26" s="1569"/>
      <c r="U26" s="1570"/>
      <c r="V26" s="1569"/>
      <c r="W26" s="1570"/>
      <c r="X26" s="1571"/>
      <c r="Y26" s="3419"/>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19"/>
      <c r="Q27" s="2580" t="str">
        <f t="shared" ref="Q27" si="9">B27</f>
        <v>基础设施水平</v>
      </c>
      <c r="R27" s="1569" t="s">
        <v>8</v>
      </c>
      <c r="S27" s="1570">
        <f>F27</f>
        <v>100</v>
      </c>
      <c r="T27" s="1569" t="s">
        <v>8</v>
      </c>
      <c r="U27" s="1570">
        <f>H27</f>
        <v>100</v>
      </c>
      <c r="V27" s="1569" t="s">
        <v>8</v>
      </c>
      <c r="W27" s="1570">
        <f>J27</f>
        <v>100</v>
      </c>
      <c r="X27" s="1571"/>
      <c r="Y27" s="3419"/>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19"/>
      <c r="Q28" s="2580"/>
      <c r="R28" s="1569"/>
      <c r="S28" s="1570"/>
      <c r="T28" s="1569"/>
      <c r="U28" s="1570"/>
      <c r="V28" s="1569"/>
      <c r="W28" s="1570"/>
      <c r="X28" s="1571"/>
      <c r="Y28" s="3419"/>
      <c r="Z28" s="2577"/>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1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9"/>
      <c r="Z29" s="1576" t="str">
        <f t="shared" ref="Z29:Z42" si="13">Q29</f>
        <v>临街状况</v>
      </c>
      <c r="AA29" s="1577">
        <f t="shared" si="3"/>
        <v>1</v>
      </c>
      <c r="AB29" s="1577">
        <f t="shared" si="4"/>
        <v>1</v>
      </c>
      <c r="AC29" s="1577">
        <f t="shared" si="5"/>
        <v>1</v>
      </c>
    </row>
    <row r="30" spans="1:29" ht="27">
      <c r="A30" s="532"/>
      <c r="B30" s="922" t="s">
        <v>547</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19"/>
      <c r="Q30" s="1573" t="str">
        <f t="shared" si="8"/>
        <v>毗邻道路的类型与等级</v>
      </c>
      <c r="R30" s="1574" t="s">
        <v>8</v>
      </c>
      <c r="S30" s="1575">
        <f t="shared" si="10"/>
        <v>100</v>
      </c>
      <c r="T30" s="1574" t="s">
        <v>8</v>
      </c>
      <c r="U30" s="1575">
        <f t="shared" si="11"/>
        <v>100</v>
      </c>
      <c r="V30" s="1574" t="s">
        <v>8</v>
      </c>
      <c r="W30" s="1575">
        <f t="shared" si="12"/>
        <v>100</v>
      </c>
      <c r="X30" s="1568"/>
      <c r="Y30" s="341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19"/>
      <c r="Q31" s="1573"/>
      <c r="R31" s="1574"/>
      <c r="S31" s="1575"/>
      <c r="T31" s="1574"/>
      <c r="U31" s="1575"/>
      <c r="V31" s="1574"/>
      <c r="W31" s="1575"/>
      <c r="X31" s="1568"/>
      <c r="Y31" s="3419"/>
      <c r="Z31" s="1576"/>
      <c r="AA31" s="1577">
        <v>1</v>
      </c>
      <c r="AB31" s="1577">
        <v>1</v>
      </c>
      <c r="AC31" s="1577">
        <v>1</v>
      </c>
    </row>
    <row r="32" spans="1:29" ht="15">
      <c r="A32" s="532"/>
      <c r="B32" s="527" t="s">
        <v>548</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19"/>
      <c r="Q32" s="1573" t="str">
        <f t="shared" si="8"/>
        <v>土地级别</v>
      </c>
      <c r="R32" s="1574" t="s">
        <v>8</v>
      </c>
      <c r="S32" s="1575">
        <f t="shared" si="10"/>
        <v>100</v>
      </c>
      <c r="T32" s="1574" t="s">
        <v>8</v>
      </c>
      <c r="U32" s="1575">
        <f t="shared" si="11"/>
        <v>100</v>
      </c>
      <c r="V32" s="1574" t="s">
        <v>8</v>
      </c>
      <c r="W32" s="1575">
        <f t="shared" si="12"/>
        <v>100</v>
      </c>
      <c r="X32" s="1568"/>
      <c r="Y32" s="341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19"/>
      <c r="Q33" s="1573">
        <f t="shared" si="8"/>
        <v>111</v>
      </c>
      <c r="R33" s="1574" t="s">
        <v>8</v>
      </c>
      <c r="S33" s="1575">
        <f t="shared" si="10"/>
        <v>100</v>
      </c>
      <c r="T33" s="1574" t="s">
        <v>8</v>
      </c>
      <c r="U33" s="1575">
        <f t="shared" si="11"/>
        <v>100</v>
      </c>
      <c r="V33" s="1574" t="s">
        <v>8</v>
      </c>
      <c r="W33" s="1575">
        <f t="shared" si="12"/>
        <v>100</v>
      </c>
      <c r="X33" s="1568"/>
      <c r="Y33" s="341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0" t="s">
        <v>549</v>
      </c>
      <c r="Q34" s="1573">
        <f t="shared" si="8"/>
        <v>111</v>
      </c>
      <c r="R34" s="1574" t="s">
        <v>8</v>
      </c>
      <c r="S34" s="1575">
        <f t="shared" si="10"/>
        <v>100</v>
      </c>
      <c r="T34" s="1574" t="s">
        <v>8</v>
      </c>
      <c r="U34" s="1575">
        <f t="shared" si="11"/>
        <v>100</v>
      </c>
      <c r="V34" s="1574" t="s">
        <v>8</v>
      </c>
      <c r="W34" s="1575">
        <f t="shared" si="12"/>
        <v>100</v>
      </c>
      <c r="X34" s="1568"/>
      <c r="Y34" s="3421" t="s">
        <v>549</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1"/>
      <c r="Q35" s="1573">
        <f t="shared" si="8"/>
        <v>111</v>
      </c>
      <c r="R35" s="1578" t="s">
        <v>8</v>
      </c>
      <c r="S35" s="1579">
        <f t="shared" si="10"/>
        <v>100</v>
      </c>
      <c r="T35" s="1578" t="s">
        <v>8</v>
      </c>
      <c r="U35" s="1579">
        <f t="shared" si="11"/>
        <v>100</v>
      </c>
      <c r="V35" s="1578" t="s">
        <v>8</v>
      </c>
      <c r="W35" s="1579">
        <f t="shared" si="12"/>
        <v>100</v>
      </c>
      <c r="X35" s="1580"/>
      <c r="Y35" s="3421"/>
      <c r="Z35" s="1581">
        <f t="shared" si="13"/>
        <v>111</v>
      </c>
      <c r="AA35" s="1577">
        <f t="shared" si="3"/>
        <v>1</v>
      </c>
      <c r="AB35" s="1577">
        <f t="shared" si="4"/>
        <v>1</v>
      </c>
      <c r="AC35" s="1577">
        <f t="shared" si="5"/>
        <v>1</v>
      </c>
    </row>
    <row r="36" spans="1:29" ht="15">
      <c r="A36" s="2909"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1"/>
      <c r="Q36" s="1573" t="str">
        <f>B36</f>
        <v>宗地面积</v>
      </c>
      <c r="R36" s="1574" t="s">
        <v>8</v>
      </c>
      <c r="S36" s="1575" t="e">
        <f t="shared" si="10"/>
        <v>#N/A</v>
      </c>
      <c r="T36" s="1574" t="s">
        <v>8</v>
      </c>
      <c r="U36" s="1575" t="e">
        <f t="shared" si="11"/>
        <v>#N/A</v>
      </c>
      <c r="V36" s="1574" t="s">
        <v>8</v>
      </c>
      <c r="W36" s="1575" t="e">
        <f t="shared" si="12"/>
        <v>#N/A</v>
      </c>
      <c r="X36" s="1568"/>
      <c r="Y36" s="3421"/>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1"/>
      <c r="Q37" s="1573" t="str">
        <f t="shared" ref="Q37:Q42" si="14">B37</f>
        <v>宗地形状</v>
      </c>
      <c r="R37" s="1574" t="s">
        <v>8</v>
      </c>
      <c r="S37" s="1575">
        <f t="shared" si="10"/>
        <v>100</v>
      </c>
      <c r="T37" s="1574" t="s">
        <v>8</v>
      </c>
      <c r="U37" s="1575">
        <f t="shared" si="11"/>
        <v>100</v>
      </c>
      <c r="V37" s="1574" t="s">
        <v>8</v>
      </c>
      <c r="W37" s="1575">
        <f t="shared" si="12"/>
        <v>100</v>
      </c>
      <c r="X37" s="1568"/>
      <c r="Y37" s="3421"/>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1"/>
      <c r="Q38" s="1573" t="str">
        <f t="shared" si="14"/>
        <v>宗地开发程度</v>
      </c>
      <c r="R38" s="1569" t="s">
        <v>8</v>
      </c>
      <c r="S38" s="1570">
        <f t="shared" si="10"/>
        <v>100</v>
      </c>
      <c r="T38" s="1569" t="s">
        <v>8</v>
      </c>
      <c r="U38" s="1570">
        <f t="shared" si="11"/>
        <v>100</v>
      </c>
      <c r="V38" s="1569" t="s">
        <v>8</v>
      </c>
      <c r="W38" s="1570">
        <f t="shared" si="12"/>
        <v>100</v>
      </c>
      <c r="X38" s="1571"/>
      <c r="Y38" s="3421"/>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1" t="s">
        <v>600</v>
      </c>
      <c r="Q39" s="1573" t="str">
        <f t="shared" si="14"/>
        <v>工程地质条件</v>
      </c>
      <c r="R39" s="1574" t="s">
        <v>8</v>
      </c>
      <c r="S39" s="1575">
        <f t="shared" si="10"/>
        <v>100</v>
      </c>
      <c r="T39" s="1574" t="s">
        <v>8</v>
      </c>
      <c r="U39" s="1575">
        <f t="shared" si="11"/>
        <v>100</v>
      </c>
      <c r="V39" s="1574" t="s">
        <v>8</v>
      </c>
      <c r="W39" s="1575">
        <f t="shared" si="12"/>
        <v>100</v>
      </c>
      <c r="X39" s="1568"/>
      <c r="Y39" s="3421"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1"/>
      <c r="Q40" s="1573">
        <f t="shared" si="14"/>
        <v>111</v>
      </c>
      <c r="R40" s="1574" t="s">
        <v>8</v>
      </c>
      <c r="S40" s="1575">
        <f t="shared" si="10"/>
        <v>100</v>
      </c>
      <c r="T40" s="1574" t="s">
        <v>8</v>
      </c>
      <c r="U40" s="1575">
        <f t="shared" si="11"/>
        <v>100</v>
      </c>
      <c r="V40" s="1574" t="s">
        <v>8</v>
      </c>
      <c r="W40" s="1575">
        <f t="shared" si="12"/>
        <v>100</v>
      </c>
      <c r="X40" s="1568"/>
      <c r="Y40" s="342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1"/>
      <c r="Q41" s="1573">
        <f t="shared" si="14"/>
        <v>111</v>
      </c>
      <c r="R41" s="1574" t="s">
        <v>8</v>
      </c>
      <c r="S41" s="1575">
        <f t="shared" si="10"/>
        <v>100</v>
      </c>
      <c r="T41" s="1574" t="s">
        <v>8</v>
      </c>
      <c r="U41" s="1575">
        <f t="shared" si="11"/>
        <v>100</v>
      </c>
      <c r="V41" s="1574" t="s">
        <v>8</v>
      </c>
      <c r="W41" s="1575">
        <f t="shared" si="12"/>
        <v>100</v>
      </c>
      <c r="X41" s="1568"/>
      <c r="Y41" s="342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1"/>
      <c r="Q42" s="1573">
        <f t="shared" si="14"/>
        <v>111</v>
      </c>
      <c r="R42" s="1578" t="s">
        <v>8</v>
      </c>
      <c r="S42" s="1579">
        <f t="shared" si="10"/>
        <v>100</v>
      </c>
      <c r="T42" s="1578" t="s">
        <v>8</v>
      </c>
      <c r="U42" s="1579">
        <f t="shared" si="11"/>
        <v>100</v>
      </c>
      <c r="V42" s="1578" t="s">
        <v>8</v>
      </c>
      <c r="W42" s="1579">
        <f t="shared" si="12"/>
        <v>100</v>
      </c>
      <c r="X42" s="1580"/>
      <c r="Y42" s="3421"/>
      <c r="Z42" s="1581">
        <f t="shared" si="13"/>
        <v>111</v>
      </c>
      <c r="AA42" s="1577">
        <f t="shared" si="3"/>
        <v>1</v>
      </c>
      <c r="AB42" s="1577">
        <f t="shared" si="4"/>
        <v>1</v>
      </c>
      <c r="AC42" s="1577">
        <f t="shared" si="5"/>
        <v>1</v>
      </c>
    </row>
    <row r="43" spans="1:29" ht="15">
      <c r="A43" s="607" t="s">
        <v>555</v>
      </c>
      <c r="B43" s="608" t="s">
        <v>2935</v>
      </c>
      <c r="C43" s="609" t="s">
        <v>1</v>
      </c>
      <c r="D43" s="610"/>
      <c r="E43" s="611"/>
      <c r="F43" s="612"/>
      <c r="G43" s="613"/>
      <c r="H43" s="614"/>
      <c r="I43" s="611"/>
      <c r="J43" s="614"/>
      <c r="K43" s="1340"/>
      <c r="L43" s="2146"/>
      <c r="M43" s="2136"/>
      <c r="N43" s="2136"/>
      <c r="O43" s="2147"/>
      <c r="P43" s="3384" t="str">
        <f>A43</f>
        <v>成交单价</v>
      </c>
      <c r="Q43" s="3384"/>
      <c r="R43" s="3385">
        <f>E43</f>
        <v>0</v>
      </c>
      <c r="S43" s="3385"/>
      <c r="T43" s="3385">
        <f>G43</f>
        <v>0</v>
      </c>
      <c r="U43" s="3385"/>
      <c r="V43" s="3385">
        <f>I43</f>
        <v>0</v>
      </c>
      <c r="W43" s="3385"/>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84" t="str">
        <f>A44</f>
        <v>比较价格（元/平方米）</v>
      </c>
      <c r="Q44" s="3384"/>
      <c r="R44" s="3386" t="e">
        <f>ROUND(PRODUCT(R43,AA9:AA42),0)</f>
        <v>#DIV/0!</v>
      </c>
      <c r="S44" s="3386"/>
      <c r="T44" s="3386" t="e">
        <f>ROUND(PRODUCT(T43,AB9:AB42),0)</f>
        <v>#DIV/0!</v>
      </c>
      <c r="U44" s="3386"/>
      <c r="V44" s="3386" t="e">
        <f>ROUND(PRODUCT(V43,AC9:AC42),0)</f>
        <v>#DIV/0!</v>
      </c>
      <c r="W44" s="3386"/>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381" t="str">
        <f>A45</f>
        <v>估价对象XX用房的比较价格（楼面单价，元/平方米）</v>
      </c>
      <c r="Q45" s="3382"/>
      <c r="R45" s="3383" t="e">
        <f>ROUND(AVERAGE(R44:V44),0)</f>
        <v>#DIV/0!</v>
      </c>
      <c r="S45" s="3383"/>
      <c r="T45" s="3383"/>
      <c r="U45" s="3383"/>
      <c r="V45" s="3383"/>
      <c r="W45" s="338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2295</v>
      </c>
      <c r="E52" s="631" t="s">
        <v>561</v>
      </c>
      <c r="F52" s="1953" t="s">
        <v>562</v>
      </c>
      <c r="G52" s="3428" t="s">
        <v>2286</v>
      </c>
      <c r="H52" s="3429"/>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8732.99</v>
      </c>
      <c r="F53" s="1952" t="e">
        <f t="shared" ref="F53:F62" si="15">ROUND(B53*E53/10000,0)</f>
        <v>#DIV/0!</v>
      </c>
      <c r="G53" s="3430"/>
      <c r="H53" s="3431"/>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32"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32"/>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32"/>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32"/>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2296</v>
      </c>
      <c r="E63" s="643">
        <f>IF(B43="楼面地价",SUM(E53:E62),'数据-汇总表'!D3)</f>
        <v>5821.99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2018-6-1</v>
      </c>
      <c r="D65" s="2801">
        <f>EDATE(C65,-3)</f>
        <v>43160</v>
      </c>
      <c r="E65" s="2801">
        <f t="shared" ref="E65:N65" si="18">EDATE(D65,-3)</f>
        <v>43070</v>
      </c>
      <c r="F65" s="2801">
        <f t="shared" si="18"/>
        <v>42979</v>
      </c>
      <c r="G65" s="2801">
        <f t="shared" si="18"/>
        <v>42887</v>
      </c>
      <c r="H65" s="2801">
        <f t="shared" si="18"/>
        <v>42795</v>
      </c>
      <c r="I65" s="2801">
        <f t="shared" si="18"/>
        <v>42705</v>
      </c>
      <c r="J65" s="2801">
        <f t="shared" si="18"/>
        <v>42614</v>
      </c>
      <c r="K65" s="2801">
        <f t="shared" si="18"/>
        <v>42522</v>
      </c>
      <c r="L65" s="2801">
        <f t="shared" si="18"/>
        <v>42430</v>
      </c>
      <c r="M65" s="2801">
        <f t="shared" si="18"/>
        <v>42339</v>
      </c>
      <c r="N65" s="2801">
        <f t="shared" si="18"/>
        <v>42248</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2018-2</v>
      </c>
      <c r="D67" s="2803" t="str">
        <f t="shared" ref="D67:N67" si="19">YEAR(D65)&amp;"-"&amp;ROUNDUP(MONTH(D65)/3,0)</f>
        <v>2018-1</v>
      </c>
      <c r="E67" s="2803" t="str">
        <f t="shared" si="19"/>
        <v>2017-4</v>
      </c>
      <c r="F67" s="2803" t="str">
        <f t="shared" si="19"/>
        <v>2017-3</v>
      </c>
      <c r="G67" s="2803" t="str">
        <f t="shared" si="19"/>
        <v>2017-2</v>
      </c>
      <c r="H67" s="2803" t="str">
        <f t="shared" si="19"/>
        <v>2017-1</v>
      </c>
      <c r="I67" s="2803" t="str">
        <f t="shared" si="19"/>
        <v>2016-4</v>
      </c>
      <c r="J67" s="2803" t="str">
        <f t="shared" si="19"/>
        <v>2016-3</v>
      </c>
      <c r="K67" s="2803" t="str">
        <f t="shared" si="19"/>
        <v>2016-2</v>
      </c>
      <c r="L67" s="2803" t="str">
        <f t="shared" si="19"/>
        <v>2016-1</v>
      </c>
      <c r="M67" s="2803" t="str">
        <f t="shared" si="19"/>
        <v>2015-4</v>
      </c>
      <c r="N67" s="2803"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北京市平均增长率1.35%</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2937</v>
      </c>
      <c r="G3" s="1039">
        <f>IF(F3="宗地容积率",'数据-汇总表'!I4,IF(F3="估价对象容积率",'数据-汇总表'!I6,'数据-汇总表'!I7))</f>
        <v>1.5</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42"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2767</v>
      </c>
      <c r="X7" s="2929">
        <f>G2</f>
        <v>0</v>
      </c>
      <c r="Y7" s="2929" t="s">
        <v>2768</v>
      </c>
      <c r="Z7" s="2930">
        <f>G3</f>
        <v>1.5</v>
      </c>
      <c r="AA7" s="2194"/>
      <c r="AB7" s="2194"/>
      <c r="AC7" s="2195"/>
      <c r="AD7" s="2931"/>
      <c r="AE7" s="2931"/>
      <c r="AF7" s="2931"/>
      <c r="AG7" s="2931"/>
      <c r="AH7" s="2931"/>
      <c r="AI7" s="2931"/>
      <c r="AJ7" s="2932"/>
    </row>
    <row r="8" spans="1:39" ht="15">
      <c r="A8" s="3443"/>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34" t="s">
        <v>2785</v>
      </c>
      <c r="X8" s="3435"/>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43"/>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33" t="s">
        <v>2781</v>
      </c>
      <c r="X9" s="2933" t="s">
        <v>2782</v>
      </c>
      <c r="Y9" s="3099"/>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43"/>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33"/>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43"/>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33" t="s">
        <v>2783</v>
      </c>
      <c r="X11" s="1048" t="s">
        <v>2768</v>
      </c>
      <c r="Y11" s="1654">
        <f>$G$3</f>
        <v>1.5</v>
      </c>
      <c r="Z11" s="1654">
        <f t="shared" ref="Z11:AJ11" si="3">$G$3</f>
        <v>1.5</v>
      </c>
      <c r="AA11" s="1654">
        <f t="shared" si="3"/>
        <v>1.5</v>
      </c>
      <c r="AB11" s="1654">
        <f t="shared" si="3"/>
        <v>1.5</v>
      </c>
      <c r="AC11" s="1654">
        <f t="shared" si="3"/>
        <v>1.5</v>
      </c>
      <c r="AD11" s="1654">
        <f t="shared" si="3"/>
        <v>1.5</v>
      </c>
      <c r="AE11" s="1654">
        <f t="shared" si="3"/>
        <v>1.5</v>
      </c>
      <c r="AF11" s="1654">
        <f t="shared" si="3"/>
        <v>1.5</v>
      </c>
      <c r="AG11" s="1654">
        <f t="shared" si="3"/>
        <v>1.5</v>
      </c>
      <c r="AH11" s="1654">
        <f t="shared" si="3"/>
        <v>1.5</v>
      </c>
      <c r="AI11" s="1654">
        <f t="shared" si="3"/>
        <v>1.5</v>
      </c>
      <c r="AJ11" s="1654">
        <f t="shared" si="3"/>
        <v>1.5</v>
      </c>
    </row>
    <row r="12" spans="1:39" ht="25.5" thickBot="1">
      <c r="A12" s="3442"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33"/>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44"/>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39">
        <v>12</v>
      </c>
      <c r="S13" s="2928"/>
      <c r="T13" s="2939" t="e">
        <f t="shared" si="0"/>
        <v>#DIV/0!</v>
      </c>
      <c r="U13" s="2928"/>
      <c r="V13" s="2939" t="e">
        <f t="shared" si="1"/>
        <v>#DIV/0!</v>
      </c>
      <c r="W13" s="3433"/>
      <c r="X13" s="2936"/>
      <c r="Y13" s="2935">
        <f>(-0.163*(Y12^2)-0.59*Y12+7617)*(10^(-4))/Y11</f>
        <v>0.50780000000000003</v>
      </c>
      <c r="Z13" s="2935">
        <f t="shared" ref="Z13:AJ13" si="5">(-0.163*(Z12^2)-0.59*Z12+7617)*(10^(-4))/Z11</f>
        <v>0.50780000000000003</v>
      </c>
      <c r="AA13" s="2935">
        <f t="shared" si="5"/>
        <v>0.50780000000000003</v>
      </c>
      <c r="AB13" s="2935">
        <f t="shared" si="5"/>
        <v>0.50780000000000003</v>
      </c>
      <c r="AC13" s="2935">
        <f t="shared" si="5"/>
        <v>0.50780000000000003</v>
      </c>
      <c r="AD13" s="2935">
        <f t="shared" si="5"/>
        <v>0.50780000000000003</v>
      </c>
      <c r="AE13" s="2935">
        <f t="shared" si="5"/>
        <v>0.50780000000000003</v>
      </c>
      <c r="AF13" s="2935">
        <f t="shared" si="5"/>
        <v>0.50780000000000003</v>
      </c>
      <c r="AG13" s="2935">
        <f t="shared" si="5"/>
        <v>0.50780000000000003</v>
      </c>
      <c r="AH13" s="2935">
        <f t="shared" si="5"/>
        <v>0.50780000000000003</v>
      </c>
      <c r="AI13" s="2935">
        <f t="shared" si="5"/>
        <v>0.50780000000000003</v>
      </c>
      <c r="AJ13" s="2935">
        <f t="shared" si="5"/>
        <v>0.50780000000000003</v>
      </c>
    </row>
    <row r="14" spans="1:39" ht="12.75" customHeight="1" thickBot="1">
      <c r="A14" s="3444"/>
      <c r="B14" s="1452"/>
      <c r="C14" s="1453"/>
      <c r="D14" s="1454"/>
      <c r="E14" s="1454"/>
      <c r="F14" s="1455"/>
      <c r="G14" s="1456" t="s">
        <v>948</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45"/>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9">
        <v>14</v>
      </c>
      <c r="S15" s="2928"/>
      <c r="T15" s="2939" t="e">
        <f t="shared" si="0"/>
        <v>#DIV/0!</v>
      </c>
      <c r="U15" s="2928"/>
      <c r="V15" s="2939" t="e">
        <f t="shared" si="1"/>
        <v>#DIV/0!</v>
      </c>
      <c r="W15" s="2191"/>
      <c r="X15" s="2191"/>
      <c r="Y15" s="2191"/>
      <c r="Z15" s="2191"/>
      <c r="AA15" s="2191"/>
      <c r="AB15" s="2191"/>
      <c r="AC15" s="2192"/>
    </row>
    <row r="16" spans="1:39" ht="24">
      <c r="A16" s="3442"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43"/>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ROUND(IF(H19="按公示增长率计算",SUMPRODUCT((地价!A3:A22=YEAR(G19)&amp;"-"&amp;ROUNDUP(MONTH(G19)/3,0))*(地价!X2:AB2=E2)*(地价!X3:AB22)),IF(H19="地价指数",M20/M19,(1+I19)^O19)),4)</f>
        <v>#DIV/0!</v>
      </c>
      <c r="D19" s="1475" t="s">
        <v>957</v>
      </c>
      <c r="E19" s="1058">
        <v>41640</v>
      </c>
      <c r="F19" s="1475" t="s">
        <v>958</v>
      </c>
      <c r="G19" s="1059">
        <f>'数据-取费表'!B2</f>
        <v>43276</v>
      </c>
      <c r="H19" s="1476" t="s">
        <v>2938</v>
      </c>
      <c r="I19" s="2786" t="str">
        <f>IF(H19="季度增幅（自定义）",SUMIF(N21:N24,E2,O21:O24),"")</f>
        <v/>
      </c>
      <c r="J19" s="1472"/>
      <c r="K19" s="1482"/>
      <c r="L19" s="3042" t="s">
        <v>2843</v>
      </c>
      <c r="M19" s="3043">
        <f>ROUND(SUMIF(地价!B2:F2,E2,地价!B22:F22),0)</f>
        <v>0</v>
      </c>
      <c r="N19" s="2788" t="s">
        <v>1676</v>
      </c>
      <c r="O19" s="2787">
        <f>ROUNDDOWN(DATEDIF(E19,G19,"M")/3,0)</f>
        <v>17</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1836</v>
      </c>
      <c r="B20" s="2781" t="s">
        <v>971</v>
      </c>
      <c r="C20" s="2782" t="e">
        <f>ROUND(POWER(1+G20,J20-I20)*(POWER(1+G20,I20)-1)/(POWER(1+G20,J20)-1),4)</f>
        <v>#DIV/0!</v>
      </c>
      <c r="D20" s="2783" t="s">
        <v>972</v>
      </c>
      <c r="E20" s="3096">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4" t="s">
        <v>2844</v>
      </c>
      <c r="M20" s="3045">
        <f>ROUND(SUMPRODUCT((地价!A4:A22=YEAR(G19)&amp;"-"&amp;ROUNDUP(MONTH(G19)/3,0))*(地价!B2:F2=E2)*(地价!B4:F22)),0)</f>
        <v>0</v>
      </c>
      <c r="N20" s="2791" t="s">
        <v>2647</v>
      </c>
      <c r="O20" s="2789" t="s">
        <v>2646</v>
      </c>
      <c r="P20" s="2790" t="s">
        <v>2652</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71">
        <f>SUMPRODUCT((地价!A3:A22=YEAR(G19)&amp;"-"&amp;ROUNDUP(MONTH(G19)/3,0))*(地价!AD2:AH2=N21)*(地价!AD3:AH22))</f>
        <v>1.5699999999999999E-2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SUMPRODUCT((地价!A3:A22=YEAR(G19)&amp;"-"&amp;ROUNDUP(MONTH(G19)/3,0))*(地价!AD2:AH2=N22)*(地价!AD3:AH22))</f>
        <v>1.5699999999999999E-2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SUMPRODUCT((地价!A3:A22=YEAR(G19)&amp;"-"&amp;ROUNDUP(MONTH(G19)/3,0))*(地价!AD2:AH2=N23)*(地价!AD3:AH22))</f>
        <v>2.5000000000000001E-2</v>
      </c>
      <c r="R23" s="2927"/>
      <c r="S23" s="2927"/>
      <c r="T23" s="2927"/>
      <c r="U23" s="2927"/>
      <c r="V23" s="2927"/>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SUMPRODUCT((地价!A3:A22=YEAR(G19)&amp;"-"&amp;ROUNDUP(MONTH(G19)/3,0))*(地价!AD2:AH2=N24)*(地价!AD3:AH22))</f>
        <v>1.35E-2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799" t="s">
        <v>2650</v>
      </c>
      <c r="O25" s="2197"/>
      <c r="P25" s="1542">
        <f>SUMPRODUCT((地价!A3:A22=YEAR(G19)&amp;"-"&amp;ROUNDUP(MONTH(G19)/3,0))*(地价!AD2:AH2=N25)*(地价!AD3:AH22))</f>
        <v>2.2700000000000001E-2</v>
      </c>
      <c r="R25" s="2927"/>
      <c r="S25" s="2927"/>
      <c r="T25" s="2927"/>
      <c r="U25" s="2927"/>
      <c r="V25" s="2927"/>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8" t="s">
        <v>2964</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9"/>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9"/>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0"/>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2252</v>
      </c>
      <c r="G46" s="2433" t="s">
        <v>1014</v>
      </c>
      <c r="H46" s="2416" t="s">
        <v>2420</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24">
      <c r="A48" s="1067" t="s">
        <v>1021</v>
      </c>
      <c r="B48" s="2410" t="str">
        <f>估价对象房地状况!C18</f>
        <v>临支路，1公里内无公共交通，较差</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t="str">
        <f>估价对象房地状况!C19</f>
        <v>较一致</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8" t="s">
        <v>2940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t="str">
        <f>估价对象房地状况!C24</f>
        <v>支路——芷阳二路</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7" t="s">
        <v>2939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估价对象所在区域公共配套设施齐备情况一般</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估价对象所在区域基础设施水平七通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48.75" thickBot="1">
      <c r="A55" s="2443" t="s">
        <v>1028</v>
      </c>
      <c r="B55" s="2414" t="str">
        <f>估价对象房地状况!C20</f>
        <v>贾平凹文化艺术馆、鹦鹉寺公园、西安工程大学、北京大学光华管理学院西安分院，较好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2253</v>
      </c>
      <c r="G57" s="2433" t="s">
        <v>1014</v>
      </c>
      <c r="H57" s="2416" t="s">
        <v>2420</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24">
      <c r="A59" s="1067" t="s">
        <v>1021</v>
      </c>
      <c r="B59" s="2410" t="str">
        <f>估价对象房地状况!C18</f>
        <v>临支路，1公里内无公共交通，较差</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t="str">
        <f>估价对象房地状况!C19</f>
        <v>较一致</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8" t="s">
        <v>2941</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t="str">
        <f>估价对象房地状况!C24</f>
        <v>支路——芷阳二路</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7" t="s">
        <v>2939</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估价对象所在区域公共配套设施齐备情况一般</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估价对象所在区域基础设施水平七通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48.75" thickBot="1">
      <c r="A66" s="2443" t="s">
        <v>1028</v>
      </c>
      <c r="B66" s="2415" t="str">
        <f>估价对象房地状况!C20</f>
        <v>贾平凹文化艺术馆、鹦鹉寺公园、西安工程大学、北京大学光华管理学院西安分院，较好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2254</v>
      </c>
      <c r="G68" s="2433" t="s">
        <v>1014</v>
      </c>
      <c r="H68" s="2416" t="s">
        <v>2420</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1032</v>
      </c>
      <c r="B69" s="2413" t="str">
        <f>估价对象房地状况!C15</f>
        <v>骊山新家园、骊山下的院子，一般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24">
      <c r="A70" s="1067" t="s">
        <v>1033</v>
      </c>
      <c r="B70" s="2410" t="str">
        <f>估价对象房地状况!C18</f>
        <v>临支路，1公里内无公共交通，较差</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t="str">
        <f>估价对象房地状况!C19</f>
        <v>较一致</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t="str">
        <f>估价对象房地状况!C24</f>
        <v>支路——芷阳二路</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估价对象所在区域公共配套设施齐备情况一般</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估价对象所在区域基础设施水平七通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7" t="s">
        <v>2939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48">
      <c r="A76" s="1067" t="s">
        <v>1028</v>
      </c>
      <c r="B76" s="2413" t="str">
        <f>估价对象房地状况!C20</f>
        <v>贾平凹文化艺术馆、鹦鹉寺公园、西安工程大学、北京大学光华管理学院西安分院，较好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2255</v>
      </c>
      <c r="G79" s="2433" t="s">
        <v>1014</v>
      </c>
      <c r="H79" s="2416" t="s">
        <v>2420</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7" t="s">
        <v>2939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6" t="s">
        <v>1633</v>
      </c>
      <c r="B90" s="3446"/>
      <c r="C90" s="3446"/>
      <c r="D90" s="3446"/>
      <c r="E90" s="3446"/>
      <c r="F90" s="3446"/>
      <c r="G90" s="3446"/>
      <c r="H90" s="3446"/>
      <c r="I90" s="3446"/>
      <c r="J90" s="3446"/>
      <c r="K90" s="2452"/>
      <c r="L90" s="2452"/>
      <c r="M90" s="2452"/>
      <c r="N90" s="2452"/>
    </row>
    <row r="91" spans="1:40">
      <c r="A91" s="3447" t="s">
        <v>1443</v>
      </c>
      <c r="B91" s="3447" t="s">
        <v>1634</v>
      </c>
      <c r="C91" s="1140" t="s">
        <v>1635</v>
      </c>
      <c r="D91" s="1141"/>
      <c r="E91" s="1141"/>
      <c r="F91" s="1141"/>
      <c r="G91" s="1141"/>
      <c r="H91" s="1141"/>
      <c r="I91" s="1141"/>
      <c r="J91" s="1142"/>
      <c r="K91" s="1134"/>
      <c r="L91" s="1134"/>
      <c r="M91" s="1134"/>
      <c r="N91" s="1134"/>
    </row>
    <row r="92" spans="1:40">
      <c r="A92" s="3447"/>
      <c r="B92" s="3447"/>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36"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7"/>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6"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37"/>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37"/>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37"/>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37"/>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37"/>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37"/>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37"/>
      <c r="B108" s="3439"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8"/>
      <c r="B109" s="3440"/>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41" t="s">
        <v>1639</v>
      </c>
      <c r="B110" s="3441"/>
      <c r="C110" s="3441"/>
      <c r="D110" s="3441"/>
      <c r="E110" s="3441"/>
      <c r="F110" s="3441"/>
      <c r="G110" s="3441"/>
      <c r="H110" s="3441"/>
      <c r="I110" s="3441"/>
      <c r="J110" s="3441"/>
      <c r="K110" s="2450"/>
      <c r="L110" s="2450"/>
      <c r="M110" s="2450"/>
      <c r="N110" s="2450"/>
    </row>
    <row r="112" spans="1:14" ht="12.75" thickBot="1"/>
    <row r="113" spans="1:13" ht="25.5" thickBot="1">
      <c r="A113" s="1016" t="s">
        <v>895</v>
      </c>
      <c r="B113" s="2453">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47" t="s">
        <v>1007</v>
      </c>
      <c r="B18" s="1154" t="s">
        <v>1446</v>
      </c>
      <c r="C18" s="1131" t="s">
        <v>1447</v>
      </c>
      <c r="D18" s="1132"/>
      <c r="E18" s="1154">
        <v>1</v>
      </c>
      <c r="F18" s="1133" t="s">
        <v>1448</v>
      </c>
      <c r="G18" s="1134"/>
      <c r="H18" s="1105"/>
      <c r="I18" s="1105"/>
    </row>
    <row r="19" spans="1:9" s="1600" customFormat="1" ht="19.5" customHeight="1">
      <c r="A19" s="3447"/>
      <c r="B19" s="3447" t="s">
        <v>1449</v>
      </c>
      <c r="C19" s="1131" t="s">
        <v>1450</v>
      </c>
      <c r="D19" s="1132"/>
      <c r="E19" s="1154">
        <v>0.9</v>
      </c>
      <c r="F19" s="1133" t="s">
        <v>1451</v>
      </c>
      <c r="G19" s="1134"/>
      <c r="H19" s="1105"/>
      <c r="I19" s="1105"/>
    </row>
    <row r="20" spans="1:9" s="1600" customFormat="1" ht="19.5" customHeight="1">
      <c r="A20" s="3447"/>
      <c r="B20" s="3447"/>
      <c r="C20" s="1131" t="s">
        <v>1452</v>
      </c>
      <c r="D20" s="1132"/>
      <c r="E20" s="1154">
        <v>1.1000000000000001</v>
      </c>
      <c r="F20" s="1133" t="s">
        <v>1453</v>
      </c>
      <c r="G20" s="1134"/>
      <c r="H20" s="1105"/>
      <c r="I20" s="1105"/>
    </row>
    <row r="21" spans="1:9" s="1600" customFormat="1" ht="19.5" customHeight="1">
      <c r="A21" s="3447"/>
      <c r="B21" s="3447"/>
      <c r="C21" s="1131" t="s">
        <v>1454</v>
      </c>
      <c r="D21" s="1132"/>
      <c r="E21" s="1154">
        <v>0.8</v>
      </c>
      <c r="F21" s="1133" t="s">
        <v>1455</v>
      </c>
      <c r="G21" s="1134"/>
      <c r="H21" s="1105"/>
      <c r="I21" s="1105"/>
    </row>
    <row r="22" spans="1:9" s="1600" customFormat="1" ht="19.5" customHeight="1">
      <c r="A22" s="3447"/>
      <c r="B22" s="3447"/>
      <c r="C22" s="1131" t="s">
        <v>1456</v>
      </c>
      <c r="D22" s="1132"/>
      <c r="E22" s="1154">
        <v>0.5</v>
      </c>
      <c r="F22" s="1133"/>
      <c r="G22" s="1134"/>
      <c r="H22" s="1105"/>
      <c r="I22" s="1105"/>
    </row>
    <row r="23" spans="1:9" s="1600" customFormat="1" ht="19.5" customHeight="1">
      <c r="A23" s="3447" t="s">
        <v>1029</v>
      </c>
      <c r="B23" s="1154" t="s">
        <v>1446</v>
      </c>
      <c r="C23" s="1131" t="s">
        <v>1457</v>
      </c>
      <c r="D23" s="1132"/>
      <c r="E23" s="1154">
        <v>1</v>
      </c>
      <c r="F23" s="1133" t="s">
        <v>1458</v>
      </c>
      <c r="G23" s="1134"/>
      <c r="H23" s="1105"/>
      <c r="I23" s="1105"/>
    </row>
    <row r="24" spans="1:9" s="1600" customFormat="1" ht="19.5" customHeight="1">
      <c r="A24" s="3447"/>
      <c r="B24" s="3447" t="s">
        <v>1449</v>
      </c>
      <c r="C24" s="1131" t="s">
        <v>1459</v>
      </c>
      <c r="D24" s="1132"/>
      <c r="E24" s="1154">
        <v>0.5</v>
      </c>
      <c r="F24" s="1133"/>
      <c r="G24" s="1134"/>
      <c r="H24" s="1105"/>
      <c r="I24" s="1105"/>
    </row>
    <row r="25" spans="1:9" s="1600" customFormat="1" ht="19.5" customHeight="1">
      <c r="A25" s="3447"/>
      <c r="B25" s="3447"/>
      <c r="C25" s="1131" t="s">
        <v>1460</v>
      </c>
      <c r="D25" s="1132"/>
      <c r="E25" s="1154">
        <v>1.1000000000000001</v>
      </c>
      <c r="F25" s="1133"/>
      <c r="G25" s="1134"/>
      <c r="H25" s="1105"/>
      <c r="I25" s="1105"/>
    </row>
    <row r="26" spans="1:9" s="1600" customFormat="1" ht="19.5" customHeight="1">
      <c r="A26" s="3447"/>
      <c r="B26" s="3447"/>
      <c r="C26" s="1131" t="s">
        <v>1461</v>
      </c>
      <c r="D26" s="1132"/>
      <c r="E26" s="1154">
        <v>1.1000000000000001</v>
      </c>
      <c r="F26" s="1133"/>
      <c r="G26" s="1134"/>
      <c r="H26" s="1105"/>
      <c r="I26" s="1105"/>
    </row>
    <row r="27" spans="1:9" s="1600" customFormat="1" ht="19.5" customHeight="1">
      <c r="A27" s="3447"/>
      <c r="B27" s="3447"/>
      <c r="C27" s="1131" t="s">
        <v>1462</v>
      </c>
      <c r="D27" s="1132"/>
      <c r="E27" s="1154">
        <v>0.9</v>
      </c>
      <c r="F27" s="1133" t="s">
        <v>1463</v>
      </c>
      <c r="G27" s="1134"/>
      <c r="H27" s="1105"/>
      <c r="I27" s="1105"/>
    </row>
    <row r="28" spans="1:9" s="1600" customFormat="1" ht="19.5" customHeight="1">
      <c r="A28" s="3447"/>
      <c r="B28" s="3447"/>
      <c r="C28" s="1131" t="s">
        <v>1464</v>
      </c>
      <c r="D28" s="1132"/>
      <c r="E28" s="1154">
        <v>0.9</v>
      </c>
      <c r="F28" s="1133" t="s">
        <v>1465</v>
      </c>
      <c r="G28" s="1134"/>
      <c r="H28" s="1105"/>
      <c r="I28" s="1105"/>
    </row>
    <row r="29" spans="1:9" s="1600" customFormat="1" ht="19.5" customHeight="1">
      <c r="A29" s="3447"/>
      <c r="B29" s="3447"/>
      <c r="C29" s="1131" t="s">
        <v>1466</v>
      </c>
      <c r="D29" s="1132"/>
      <c r="E29" s="1154">
        <v>0.9</v>
      </c>
      <c r="F29" s="1133" t="s">
        <v>1467</v>
      </c>
      <c r="G29" s="1134"/>
      <c r="H29" s="1105"/>
      <c r="I29" s="1105"/>
    </row>
    <row r="30" spans="1:9" s="1600" customFormat="1" ht="19.5" customHeight="1">
      <c r="A30" s="3447"/>
      <c r="B30" s="3447"/>
      <c r="C30" s="1131" t="s">
        <v>1468</v>
      </c>
      <c r="D30" s="1132"/>
      <c r="E30" s="1154">
        <v>0.9</v>
      </c>
      <c r="F30" s="1133" t="s">
        <v>1469</v>
      </c>
      <c r="G30" s="1134"/>
      <c r="H30" s="1105"/>
      <c r="I30" s="1105"/>
    </row>
    <row r="31" spans="1:9" s="1600" customFormat="1" ht="19.5" customHeight="1">
      <c r="A31" s="3447"/>
      <c r="B31" s="3447"/>
      <c r="C31" s="1131" t="s">
        <v>1470</v>
      </c>
      <c r="D31" s="1132"/>
      <c r="E31" s="1154">
        <v>0.8</v>
      </c>
      <c r="F31" s="1133" t="s">
        <v>1471</v>
      </c>
      <c r="G31" s="1134"/>
      <c r="H31" s="1105"/>
      <c r="I31" s="1105"/>
    </row>
    <row r="32" spans="1:9" s="1600" customFormat="1" ht="19.5" customHeight="1">
      <c r="A32" s="3447"/>
      <c r="B32" s="3447"/>
      <c r="C32" s="1131" t="s">
        <v>1472</v>
      </c>
      <c r="D32" s="1132"/>
      <c r="E32" s="1154">
        <v>0.8</v>
      </c>
      <c r="F32" s="1133" t="s">
        <v>1473</v>
      </c>
      <c r="G32" s="1134"/>
      <c r="H32" s="1105"/>
      <c r="I32" s="1105"/>
    </row>
    <row r="33" spans="1:9" s="1600" customFormat="1" ht="19.5" customHeight="1">
      <c r="A33" s="3447" t="s">
        <v>1474</v>
      </c>
      <c r="B33" s="1154" t="s">
        <v>1446</v>
      </c>
      <c r="C33" s="1131" t="s">
        <v>1475</v>
      </c>
      <c r="D33" s="1132"/>
      <c r="E33" s="1154">
        <v>1</v>
      </c>
      <c r="F33" s="1133" t="s">
        <v>1476</v>
      </c>
      <c r="G33" s="1134"/>
      <c r="H33" s="1105"/>
      <c r="I33" s="1105"/>
    </row>
    <row r="34" spans="1:9" s="1600" customFormat="1" ht="19.5" customHeight="1">
      <c r="A34" s="3447"/>
      <c r="B34" s="1154" t="s">
        <v>1449</v>
      </c>
      <c r="C34" s="1131" t="s">
        <v>1477</v>
      </c>
      <c r="D34" s="1132"/>
      <c r="E34" s="1154">
        <v>1.5</v>
      </c>
      <c r="F34" s="1133" t="s">
        <v>1478</v>
      </c>
      <c r="G34" s="1134"/>
      <c r="H34" s="1105"/>
      <c r="I34" s="1105"/>
    </row>
    <row r="35" spans="1:9" s="1600" customFormat="1" ht="19.5" customHeight="1">
      <c r="A35" s="3447" t="s">
        <v>1432</v>
      </c>
      <c r="B35" s="1154" t="s">
        <v>1446</v>
      </c>
      <c r="C35" s="1131" t="s">
        <v>1479</v>
      </c>
      <c r="D35" s="1132"/>
      <c r="E35" s="1154">
        <v>1</v>
      </c>
      <c r="F35" s="1133" t="s">
        <v>1480</v>
      </c>
      <c r="G35" s="1134"/>
      <c r="H35" s="1105"/>
      <c r="I35" s="1105"/>
    </row>
    <row r="36" spans="1:9" s="1600" customFormat="1" ht="19.5" customHeight="1">
      <c r="A36" s="3447"/>
      <c r="B36" s="3447" t="s">
        <v>1449</v>
      </c>
      <c r="C36" s="1131" t="s">
        <v>1481</v>
      </c>
      <c r="D36" s="1132"/>
      <c r="E36" s="1154">
        <v>1</v>
      </c>
      <c r="F36" s="1133" t="s">
        <v>1482</v>
      </c>
      <c r="G36" s="1134"/>
      <c r="H36" s="1105"/>
      <c r="I36" s="1105"/>
    </row>
    <row r="37" spans="1:9" s="1600" customFormat="1" ht="19.5" customHeight="1">
      <c r="A37" s="3447"/>
      <c r="B37" s="3447"/>
      <c r="C37" s="1131" t="s">
        <v>1483</v>
      </c>
      <c r="D37" s="1132"/>
      <c r="E37" s="1154">
        <v>1.5</v>
      </c>
      <c r="F37" s="1133" t="s">
        <v>1484</v>
      </c>
      <c r="G37" s="1134"/>
      <c r="H37" s="1105"/>
      <c r="I37" s="1105"/>
    </row>
    <row r="38" spans="1:9" s="1600" customFormat="1" ht="19.5" customHeight="1">
      <c r="A38" s="3447"/>
      <c r="B38" s="3447"/>
      <c r="C38" s="1131" t="s">
        <v>1485</v>
      </c>
      <c r="D38" s="1132"/>
      <c r="E38" s="1154">
        <v>1</v>
      </c>
      <c r="F38" s="1133" t="s">
        <v>1486</v>
      </c>
      <c r="G38" s="1134"/>
      <c r="H38" s="1105"/>
      <c r="I38" s="1105"/>
    </row>
    <row r="39" spans="1:9" s="1600" customFormat="1" ht="19.5" customHeight="1">
      <c r="A39" s="3447"/>
      <c r="B39" s="3447"/>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7" t="s">
        <v>1501</v>
      </c>
      <c r="C61" s="1068" t="s">
        <v>1502</v>
      </c>
      <c r="D61" s="1068" t="s">
        <v>1503</v>
      </c>
      <c r="E61" s="1139">
        <v>0.5</v>
      </c>
      <c r="F61" s="1154">
        <v>80</v>
      </c>
      <c r="H61" s="1105">
        <f>SUMIF(C59:C119,基准地价!C8,E59:E119)</f>
        <v>0</v>
      </c>
    </row>
    <row r="62" spans="1:8" s="1105" customFormat="1" ht="24">
      <c r="A62" s="1154">
        <v>2</v>
      </c>
      <c r="B62" s="3447"/>
      <c r="C62" s="1068" t="s">
        <v>1504</v>
      </c>
      <c r="D62" s="1068" t="s">
        <v>1505</v>
      </c>
      <c r="E62" s="1139">
        <v>0.5</v>
      </c>
      <c r="F62" s="1154">
        <v>80</v>
      </c>
    </row>
    <row r="63" spans="1:8" s="1105" customFormat="1" ht="36">
      <c r="A63" s="1154">
        <v>3</v>
      </c>
      <c r="B63" s="3447"/>
      <c r="C63" s="1068" t="s">
        <v>1506</v>
      </c>
      <c r="D63" s="1068" t="s">
        <v>1507</v>
      </c>
      <c r="E63" s="1139">
        <v>0.5</v>
      </c>
      <c r="F63" s="1154">
        <v>80</v>
      </c>
    </row>
    <row r="64" spans="1:8" s="1105" customFormat="1" ht="36">
      <c r="A64" s="1154">
        <v>4</v>
      </c>
      <c r="B64" s="3447"/>
      <c r="C64" s="1068" t="s">
        <v>1508</v>
      </c>
      <c r="D64" s="1068" t="s">
        <v>1509</v>
      </c>
      <c r="E64" s="1139">
        <v>0.4</v>
      </c>
      <c r="F64" s="1154">
        <v>60</v>
      </c>
    </row>
    <row r="65" spans="1:6" s="1105" customFormat="1" ht="36">
      <c r="A65" s="1154">
        <v>5</v>
      </c>
      <c r="B65" s="3447"/>
      <c r="C65" s="1068" t="s">
        <v>1510</v>
      </c>
      <c r="D65" s="1068" t="s">
        <v>1511</v>
      </c>
      <c r="E65" s="1139">
        <v>0.2</v>
      </c>
      <c r="F65" s="1154">
        <v>30</v>
      </c>
    </row>
    <row r="66" spans="1:6" s="1105" customFormat="1" ht="36">
      <c r="A66" s="1154">
        <v>6</v>
      </c>
      <c r="B66" s="3447"/>
      <c r="C66" s="1068" t="s">
        <v>1512</v>
      </c>
      <c r="D66" s="1068" t="s">
        <v>1513</v>
      </c>
      <c r="E66" s="1139">
        <v>0.3</v>
      </c>
      <c r="F66" s="1154">
        <v>50</v>
      </c>
    </row>
    <row r="67" spans="1:6" s="1105" customFormat="1" ht="36">
      <c r="A67" s="1154">
        <v>7</v>
      </c>
      <c r="B67" s="3447"/>
      <c r="C67" s="1068" t="s">
        <v>1514</v>
      </c>
      <c r="D67" s="1068" t="s">
        <v>1515</v>
      </c>
      <c r="E67" s="1139">
        <v>0.2</v>
      </c>
      <c r="F67" s="1154">
        <v>30</v>
      </c>
    </row>
    <row r="68" spans="1:6" s="1105" customFormat="1" ht="36">
      <c r="A68" s="1154">
        <v>8</v>
      </c>
      <c r="B68" s="3447"/>
      <c r="C68" s="1068" t="s">
        <v>1516</v>
      </c>
      <c r="D68" s="1068" t="s">
        <v>1517</v>
      </c>
      <c r="E68" s="1139">
        <v>0.2</v>
      </c>
      <c r="F68" s="1154">
        <v>30</v>
      </c>
    </row>
    <row r="69" spans="1:6" s="1105" customFormat="1" ht="36">
      <c r="A69" s="1154">
        <v>9</v>
      </c>
      <c r="B69" s="3447"/>
      <c r="C69" s="1068" t="s">
        <v>1518</v>
      </c>
      <c r="D69" s="1068" t="s">
        <v>1519</v>
      </c>
      <c r="E69" s="1139">
        <v>0.2</v>
      </c>
      <c r="F69" s="1154">
        <v>30</v>
      </c>
    </row>
    <row r="70" spans="1:6" s="1105" customFormat="1" ht="48">
      <c r="A70" s="1154">
        <v>10</v>
      </c>
      <c r="B70" s="3447"/>
      <c r="C70" s="1068" t="s">
        <v>1520</v>
      </c>
      <c r="D70" s="1068" t="s">
        <v>1521</v>
      </c>
      <c r="E70" s="1139">
        <v>0.2</v>
      </c>
      <c r="F70" s="1154">
        <v>30</v>
      </c>
    </row>
    <row r="71" spans="1:6" s="1105" customFormat="1" ht="48">
      <c r="A71" s="1154">
        <v>11</v>
      </c>
      <c r="B71" s="3447"/>
      <c r="C71" s="1068" t="s">
        <v>1522</v>
      </c>
      <c r="D71" s="1068" t="s">
        <v>1523</v>
      </c>
      <c r="E71" s="1139">
        <v>0.2</v>
      </c>
      <c r="F71" s="1154">
        <v>30</v>
      </c>
    </row>
    <row r="72" spans="1:6" s="1105" customFormat="1" ht="36">
      <c r="A72" s="1154">
        <v>12</v>
      </c>
      <c r="B72" s="3447"/>
      <c r="C72" s="1068" t="s">
        <v>1524</v>
      </c>
      <c r="D72" s="1068" t="s">
        <v>1525</v>
      </c>
      <c r="E72" s="1139">
        <v>0.5</v>
      </c>
      <c r="F72" s="1154">
        <v>80</v>
      </c>
    </row>
    <row r="73" spans="1:6" s="1105" customFormat="1" ht="24">
      <c r="A73" s="1154">
        <v>13</v>
      </c>
      <c r="B73" s="3447"/>
      <c r="C73" s="1068" t="s">
        <v>1526</v>
      </c>
      <c r="D73" s="1068" t="s">
        <v>1527</v>
      </c>
      <c r="E73" s="1139">
        <v>0.4</v>
      </c>
      <c r="F73" s="1154">
        <v>60</v>
      </c>
    </row>
    <row r="74" spans="1:6" s="1105" customFormat="1" ht="24">
      <c r="A74" s="1154">
        <v>14</v>
      </c>
      <c r="B74" s="3447"/>
      <c r="C74" s="1068" t="s">
        <v>1528</v>
      </c>
      <c r="D74" s="1068" t="s">
        <v>1529</v>
      </c>
      <c r="E74" s="1139">
        <v>0.2</v>
      </c>
      <c r="F74" s="1154">
        <v>30</v>
      </c>
    </row>
    <row r="75" spans="1:6" s="1105" customFormat="1" ht="24">
      <c r="A75" s="1154">
        <v>15</v>
      </c>
      <c r="B75" s="3447"/>
      <c r="C75" s="1068" t="s">
        <v>1530</v>
      </c>
      <c r="D75" s="1068" t="s">
        <v>1531</v>
      </c>
      <c r="E75" s="1139">
        <v>0.2</v>
      </c>
      <c r="F75" s="1154">
        <v>30</v>
      </c>
    </row>
    <row r="76" spans="1:6" s="1105" customFormat="1" ht="24">
      <c r="A76" s="1154">
        <v>16</v>
      </c>
      <c r="B76" s="3447" t="s">
        <v>1532</v>
      </c>
      <c r="C76" s="1068" t="s">
        <v>1533</v>
      </c>
      <c r="D76" s="1068" t="s">
        <v>1534</v>
      </c>
      <c r="E76" s="1139">
        <v>0.5</v>
      </c>
      <c r="F76" s="1154">
        <v>80</v>
      </c>
    </row>
    <row r="77" spans="1:6" s="1105" customFormat="1" ht="24">
      <c r="A77" s="1154">
        <v>17</v>
      </c>
      <c r="B77" s="3447"/>
      <c r="C77" s="1068" t="s">
        <v>1535</v>
      </c>
      <c r="D77" s="1068" t="s">
        <v>1536</v>
      </c>
      <c r="E77" s="1139">
        <v>0.5</v>
      </c>
      <c r="F77" s="1154">
        <v>80</v>
      </c>
    </row>
    <row r="78" spans="1:6" s="1105" customFormat="1" ht="24">
      <c r="A78" s="1154">
        <v>18</v>
      </c>
      <c r="B78" s="3447"/>
      <c r="C78" s="1068" t="s">
        <v>1537</v>
      </c>
      <c r="D78" s="1068" t="s">
        <v>1538</v>
      </c>
      <c r="E78" s="1139">
        <v>0.2</v>
      </c>
      <c r="F78" s="1154">
        <v>30</v>
      </c>
    </row>
    <row r="79" spans="1:6" s="1105" customFormat="1" ht="24">
      <c r="A79" s="1154">
        <v>19</v>
      </c>
      <c r="B79" s="3447"/>
      <c r="C79" s="1068" t="s">
        <v>1539</v>
      </c>
      <c r="D79" s="1068" t="s">
        <v>1540</v>
      </c>
      <c r="E79" s="1139">
        <v>0.5</v>
      </c>
      <c r="F79" s="1154">
        <v>80</v>
      </c>
    </row>
    <row r="80" spans="1:6" s="1105" customFormat="1" ht="36">
      <c r="A80" s="1154">
        <v>20</v>
      </c>
      <c r="B80" s="3447"/>
      <c r="C80" s="1068" t="s">
        <v>1541</v>
      </c>
      <c r="D80" s="1068" t="s">
        <v>1542</v>
      </c>
      <c r="E80" s="1139">
        <v>0.2</v>
      </c>
      <c r="F80" s="1154">
        <v>30</v>
      </c>
    </row>
    <row r="81" spans="1:6" s="1105" customFormat="1" ht="36">
      <c r="A81" s="1154">
        <v>21</v>
      </c>
      <c r="B81" s="3447"/>
      <c r="C81" s="1068" t="s">
        <v>1543</v>
      </c>
      <c r="D81" s="1068" t="s">
        <v>1544</v>
      </c>
      <c r="E81" s="1139">
        <v>0.2</v>
      </c>
      <c r="F81" s="1154">
        <v>30</v>
      </c>
    </row>
    <row r="82" spans="1:6" s="1105" customFormat="1" ht="48">
      <c r="A82" s="1154">
        <v>22</v>
      </c>
      <c r="B82" s="3447"/>
      <c r="C82" s="1068" t="s">
        <v>1545</v>
      </c>
      <c r="D82" s="1068" t="s">
        <v>1546</v>
      </c>
      <c r="E82" s="1139">
        <v>0.2</v>
      </c>
      <c r="F82" s="1154">
        <v>30</v>
      </c>
    </row>
    <row r="83" spans="1:6" s="1105" customFormat="1" ht="48">
      <c r="A83" s="1154">
        <v>23</v>
      </c>
      <c r="B83" s="3447"/>
      <c r="C83" s="1068" t="s">
        <v>1547</v>
      </c>
      <c r="D83" s="1068" t="s">
        <v>1548</v>
      </c>
      <c r="E83" s="1139">
        <v>0.2</v>
      </c>
      <c r="F83" s="1154">
        <v>30</v>
      </c>
    </row>
    <row r="84" spans="1:6" s="1105" customFormat="1" ht="36">
      <c r="A84" s="1154">
        <v>24</v>
      </c>
      <c r="B84" s="3447"/>
      <c r="C84" s="1068" t="s">
        <v>1549</v>
      </c>
      <c r="D84" s="1068" t="s">
        <v>1550</v>
      </c>
      <c r="E84" s="1139">
        <v>0.2</v>
      </c>
      <c r="F84" s="1154">
        <v>30</v>
      </c>
    </row>
    <row r="85" spans="1:6" s="1105" customFormat="1" ht="36">
      <c r="A85" s="1154">
        <v>25</v>
      </c>
      <c r="B85" s="3447"/>
      <c r="C85" s="1068" t="s">
        <v>1551</v>
      </c>
      <c r="D85" s="1068" t="s">
        <v>1552</v>
      </c>
      <c r="E85" s="1139">
        <v>0.5</v>
      </c>
      <c r="F85" s="1154">
        <v>80</v>
      </c>
    </row>
    <row r="86" spans="1:6" s="1105" customFormat="1" ht="36">
      <c r="A86" s="1154">
        <v>26</v>
      </c>
      <c r="B86" s="3447"/>
      <c r="C86" s="1068" t="s">
        <v>1553</v>
      </c>
      <c r="D86" s="1068" t="s">
        <v>1554</v>
      </c>
      <c r="E86" s="1139">
        <v>0.2</v>
      </c>
      <c r="F86" s="1154">
        <v>30</v>
      </c>
    </row>
    <row r="87" spans="1:6" s="1105" customFormat="1" ht="36">
      <c r="A87" s="1154">
        <v>27</v>
      </c>
      <c r="B87" s="3447"/>
      <c r="C87" s="1068" t="s">
        <v>1555</v>
      </c>
      <c r="D87" s="1068" t="s">
        <v>1556</v>
      </c>
      <c r="E87" s="1139">
        <v>0.2</v>
      </c>
      <c r="F87" s="1154">
        <v>30</v>
      </c>
    </row>
    <row r="88" spans="1:6" s="1105" customFormat="1" ht="36">
      <c r="A88" s="1154">
        <v>28</v>
      </c>
      <c r="B88" s="3447"/>
      <c r="C88" s="1068" t="s">
        <v>1557</v>
      </c>
      <c r="D88" s="1068" t="s">
        <v>1558</v>
      </c>
      <c r="E88" s="1139">
        <v>0.2</v>
      </c>
      <c r="F88" s="1154">
        <v>30</v>
      </c>
    </row>
    <row r="89" spans="1:6" s="1105" customFormat="1" ht="24">
      <c r="A89" s="1154">
        <v>29</v>
      </c>
      <c r="B89" s="3447"/>
      <c r="C89" s="1068" t="s">
        <v>1559</v>
      </c>
      <c r="D89" s="1068" t="s">
        <v>1560</v>
      </c>
      <c r="E89" s="1139">
        <v>0.2</v>
      </c>
      <c r="F89" s="1154">
        <v>30</v>
      </c>
    </row>
    <row r="90" spans="1:6" s="1105" customFormat="1" ht="24">
      <c r="A90" s="1154">
        <v>30</v>
      </c>
      <c r="B90" s="3447"/>
      <c r="C90" s="1068" t="s">
        <v>1561</v>
      </c>
      <c r="D90" s="1068" t="s">
        <v>1562</v>
      </c>
      <c r="E90" s="1139">
        <v>0.2</v>
      </c>
      <c r="F90" s="1154">
        <v>30</v>
      </c>
    </row>
    <row r="91" spans="1:6" s="1105" customFormat="1" ht="36">
      <c r="A91" s="1154">
        <v>31</v>
      </c>
      <c r="B91" s="3447"/>
      <c r="C91" s="1068" t="s">
        <v>1563</v>
      </c>
      <c r="D91" s="1068" t="s">
        <v>1564</v>
      </c>
      <c r="E91" s="1139">
        <v>0.2</v>
      </c>
      <c r="F91" s="1154">
        <v>30</v>
      </c>
    </row>
    <row r="92" spans="1:6" s="1105" customFormat="1" ht="24">
      <c r="A92" s="1154">
        <v>32</v>
      </c>
      <c r="B92" s="3447" t="s">
        <v>1565</v>
      </c>
      <c r="C92" s="1154" t="s">
        <v>1566</v>
      </c>
      <c r="D92" s="1068" t="s">
        <v>1567</v>
      </c>
      <c r="E92" s="1139">
        <v>0.2</v>
      </c>
      <c r="F92" s="1154">
        <v>30</v>
      </c>
    </row>
    <row r="93" spans="1:6" s="1105" customFormat="1" ht="36">
      <c r="A93" s="1154">
        <v>33</v>
      </c>
      <c r="B93" s="3447"/>
      <c r="C93" s="1154" t="s">
        <v>1568</v>
      </c>
      <c r="D93" s="1068" t="s">
        <v>1569</v>
      </c>
      <c r="E93" s="1139">
        <v>0.2</v>
      </c>
      <c r="F93" s="1154">
        <v>30</v>
      </c>
    </row>
    <row r="94" spans="1:6" s="1105" customFormat="1" ht="48">
      <c r="A94" s="1154">
        <v>34</v>
      </c>
      <c r="B94" s="3447"/>
      <c r="C94" s="1154" t="s">
        <v>1570</v>
      </c>
      <c r="D94" s="1068" t="s">
        <v>1571</v>
      </c>
      <c r="E94" s="1139">
        <v>0.2</v>
      </c>
      <c r="F94" s="1154">
        <v>30</v>
      </c>
    </row>
    <row r="95" spans="1:6" s="1105" customFormat="1" ht="36">
      <c r="A95" s="1154">
        <v>35</v>
      </c>
      <c r="B95" s="3447"/>
      <c r="C95" s="1154" t="s">
        <v>1572</v>
      </c>
      <c r="D95" s="1068" t="s">
        <v>1573</v>
      </c>
      <c r="E95" s="1139">
        <v>0.2</v>
      </c>
      <c r="F95" s="1154">
        <v>30</v>
      </c>
    </row>
    <row r="96" spans="1:6" s="1105" customFormat="1" ht="48">
      <c r="A96" s="1154">
        <v>36</v>
      </c>
      <c r="B96" s="3447"/>
      <c r="C96" s="1068" t="s">
        <v>1574</v>
      </c>
      <c r="D96" s="1068" t="s">
        <v>1575</v>
      </c>
      <c r="E96" s="1139">
        <v>0.2</v>
      </c>
      <c r="F96" s="1154">
        <v>30</v>
      </c>
    </row>
    <row r="97" spans="1:6" s="1105" customFormat="1" ht="36">
      <c r="A97" s="1154">
        <v>37</v>
      </c>
      <c r="B97" s="3447"/>
      <c r="C97" s="1154" t="s">
        <v>1576</v>
      </c>
      <c r="D97" s="1068" t="s">
        <v>1577</v>
      </c>
      <c r="E97" s="1139">
        <v>0.2</v>
      </c>
      <c r="F97" s="1154">
        <v>30</v>
      </c>
    </row>
    <row r="98" spans="1:6" s="1105" customFormat="1" ht="36">
      <c r="A98" s="1154">
        <v>38</v>
      </c>
      <c r="B98" s="3447"/>
      <c r="C98" s="1154" t="s">
        <v>1578</v>
      </c>
      <c r="D98" s="1068" t="s">
        <v>1579</v>
      </c>
      <c r="E98" s="1139">
        <v>0.2</v>
      </c>
      <c r="F98" s="1154">
        <v>30</v>
      </c>
    </row>
    <row r="99" spans="1:6" s="1105" customFormat="1" ht="36">
      <c r="A99" s="1154">
        <v>39</v>
      </c>
      <c r="B99" s="3447" t="s">
        <v>1580</v>
      </c>
      <c r="C99" s="1154" t="s">
        <v>1581</v>
      </c>
      <c r="D99" s="1068" t="s">
        <v>1582</v>
      </c>
      <c r="E99" s="1139">
        <v>0.3</v>
      </c>
      <c r="F99" s="1154">
        <v>50</v>
      </c>
    </row>
    <row r="100" spans="1:6" s="1105" customFormat="1" ht="24">
      <c r="A100" s="1154">
        <v>40</v>
      </c>
      <c r="B100" s="3447"/>
      <c r="C100" s="1154" t="s">
        <v>1583</v>
      </c>
      <c r="D100" s="1068" t="s">
        <v>1584</v>
      </c>
      <c r="E100" s="1139">
        <v>0.2</v>
      </c>
      <c r="F100" s="1154">
        <v>30</v>
      </c>
    </row>
    <row r="101" spans="1:6" s="1105" customFormat="1" ht="36">
      <c r="A101" s="1154">
        <v>41</v>
      </c>
      <c r="B101" s="3447"/>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7" t="s">
        <v>1595</v>
      </c>
      <c r="C105" s="1154" t="s">
        <v>1596</v>
      </c>
      <c r="D105" s="1068" t="s">
        <v>1597</v>
      </c>
      <c r="E105" s="1139">
        <v>0.2</v>
      </c>
      <c r="F105" s="1154">
        <v>30</v>
      </c>
    </row>
    <row r="106" spans="1:6" s="1105" customFormat="1" ht="36">
      <c r="A106" s="1154">
        <v>46</v>
      </c>
      <c r="B106" s="3447"/>
      <c r="C106" s="1154" t="s">
        <v>1598</v>
      </c>
      <c r="D106" s="1068" t="s">
        <v>1599</v>
      </c>
      <c r="E106" s="1139">
        <v>0.2</v>
      </c>
      <c r="F106" s="1154">
        <v>30</v>
      </c>
    </row>
    <row r="107" spans="1:6" s="1105" customFormat="1" ht="36">
      <c r="A107" s="1154">
        <v>47</v>
      </c>
      <c r="B107" s="3447" t="s">
        <v>1600</v>
      </c>
      <c r="C107" s="1154" t="s">
        <v>1601</v>
      </c>
      <c r="D107" s="1068" t="s">
        <v>1602</v>
      </c>
      <c r="E107" s="1139">
        <v>0.3</v>
      </c>
      <c r="F107" s="1154">
        <v>50</v>
      </c>
    </row>
    <row r="108" spans="1:6" s="1105" customFormat="1" ht="36">
      <c r="A108" s="1154">
        <v>48</v>
      </c>
      <c r="B108" s="3447"/>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7" t="s">
        <v>1611</v>
      </c>
      <c r="C111" s="1154" t="s">
        <v>1612</v>
      </c>
      <c r="D111" s="1068" t="s">
        <v>1613</v>
      </c>
      <c r="E111" s="1139">
        <v>0.2</v>
      </c>
      <c r="F111" s="1154">
        <v>30</v>
      </c>
    </row>
    <row r="112" spans="1:6" s="1105" customFormat="1" ht="24">
      <c r="A112" s="1154">
        <v>52</v>
      </c>
      <c r="B112" s="3447"/>
      <c r="C112" s="1154" t="s">
        <v>1614</v>
      </c>
      <c r="D112" s="1068" t="s">
        <v>1615</v>
      </c>
      <c r="E112" s="1139">
        <v>0.2</v>
      </c>
      <c r="F112" s="1154">
        <v>30</v>
      </c>
    </row>
    <row r="113" spans="1:14" s="1105" customFormat="1" ht="24">
      <c r="A113" s="1154">
        <v>53</v>
      </c>
      <c r="B113" s="3447"/>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7" t="s">
        <v>1624</v>
      </c>
      <c r="C116" s="1154" t="s">
        <v>1625</v>
      </c>
      <c r="D116" s="1068" t="s">
        <v>1626</v>
      </c>
      <c r="E116" s="1139">
        <v>0.2</v>
      </c>
      <c r="F116" s="1154">
        <v>30</v>
      </c>
    </row>
    <row r="117" spans="1:14" ht="36">
      <c r="A117" s="1154">
        <v>57</v>
      </c>
      <c r="B117" s="3447"/>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6" t="s">
        <v>1633</v>
      </c>
      <c r="B121" s="3446"/>
      <c r="C121" s="3446"/>
      <c r="D121" s="3446"/>
      <c r="E121" s="3446"/>
      <c r="F121" s="3446"/>
      <c r="G121" s="3446"/>
      <c r="H121" s="3446"/>
      <c r="I121" s="3446"/>
      <c r="J121" s="344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1" t="s">
        <v>1039</v>
      </c>
      <c r="B1" s="3451"/>
      <c r="C1" s="3451"/>
      <c r="D1" s="3451"/>
      <c r="E1" s="3451"/>
      <c r="F1" s="3451"/>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52" t="s">
        <v>1052</v>
      </c>
      <c r="B2" s="3452"/>
      <c r="C2" s="3452"/>
      <c r="D2" s="3452"/>
      <c r="E2" s="3452"/>
      <c r="F2" s="3452"/>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53"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4"/>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5" t="s">
        <v>2081</v>
      </c>
      <c r="B1" s="3455"/>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2952</v>
      </c>
      <c r="B1" s="3106"/>
      <c r="C1" s="3106"/>
      <c r="D1" s="3106"/>
      <c r="E1" s="3106"/>
      <c r="F1" s="3106"/>
    </row>
    <row r="2" spans="1:6" ht="14.25">
      <c r="A2" s="3107" t="s">
        <v>2947</v>
      </c>
      <c r="B2" s="3108" t="e">
        <f ca="1">SUMIF(B7:B14,"&lt;&gt;#ref!",B7:B14)</f>
        <v>#DIV/0!</v>
      </c>
      <c r="C2" s="3107" t="s">
        <v>2948</v>
      </c>
      <c r="D2" s="3106"/>
      <c r="E2" s="3106"/>
      <c r="F2" s="3106"/>
    </row>
    <row r="3" spans="1:6" ht="14.25">
      <c r="A3" s="3107" t="s">
        <v>2982</v>
      </c>
      <c r="B3" s="3108" t="e">
        <f ca="1">ROUND(B2*10000/E3,0)</f>
        <v>#DIV/0!</v>
      </c>
      <c r="C3" s="3107" t="s">
        <v>2080</v>
      </c>
      <c r="D3" s="3107" t="s">
        <v>2949</v>
      </c>
      <c r="E3" s="3108">
        <f ca="1">SUMIF(E7:E14,"&lt;&gt;#ref!",E7:E14)</f>
        <v>0</v>
      </c>
      <c r="F3" s="3106"/>
    </row>
    <row r="4" spans="1:6" ht="14.25">
      <c r="A4" s="3107" t="s">
        <v>2956</v>
      </c>
      <c r="B4" s="3108" t="e">
        <f ca="1">ROUND(B2*10000/E4,0)</f>
        <v>#DIV/0!</v>
      </c>
      <c r="C4" s="3107" t="s">
        <v>2080</v>
      </c>
      <c r="D4" s="3107" t="s">
        <v>2957</v>
      </c>
      <c r="E4" s="3108">
        <f ca="1">SUMIF(F7:F14,"&lt;&gt;#ref!",F7:F14)</f>
        <v>0</v>
      </c>
      <c r="F4" s="3106"/>
    </row>
    <row r="5" spans="1:6" ht="14.25">
      <c r="A5" s="3109"/>
      <c r="B5" s="1883"/>
      <c r="C5" s="1883"/>
      <c r="D5" s="1883"/>
      <c r="E5" s="1883"/>
      <c r="F5" s="3106"/>
    </row>
    <row r="6" spans="1:6" ht="28.5">
      <c r="A6" s="3110" t="s">
        <v>2953</v>
      </c>
      <c r="B6" s="3107" t="s">
        <v>2950</v>
      </c>
      <c r="C6" s="3108"/>
      <c r="D6" s="1883"/>
      <c r="E6" s="3107" t="s">
        <v>2951</v>
      </c>
      <c r="F6" s="3107" t="s">
        <v>2955</v>
      </c>
    </row>
    <row r="7" spans="1:6" ht="14.25">
      <c r="A7" s="260" t="s">
        <v>2954</v>
      </c>
      <c r="B7" s="3111" t="e">
        <f ca="1">SUMIF(INDIRECT("'"&amp;A7&amp;"'"&amp;"!A:A"),"总价",INDIRECT("'"&amp;A7&amp;"'"&amp;"!B:B"))</f>
        <v>#DIV/0!</v>
      </c>
      <c r="C7" s="3107" t="s">
        <v>2948</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2948</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2948</v>
      </c>
      <c r="D9" s="1883"/>
      <c r="E9" s="3112" t="e">
        <f t="shared" ca="1" si="1"/>
        <v>#REF!</v>
      </c>
      <c r="F9" s="3112" t="e">
        <f t="shared" ca="1" si="2"/>
        <v>#REF!</v>
      </c>
    </row>
    <row r="10" spans="1:6" ht="14.25">
      <c r="A10" s="260"/>
      <c r="B10" s="3111" t="e">
        <f t="shared" ca="1" si="0"/>
        <v>#REF!</v>
      </c>
      <c r="C10" s="3107" t="s">
        <v>2948</v>
      </c>
      <c r="D10" s="1883"/>
      <c r="E10" s="3112" t="e">
        <f t="shared" ca="1" si="1"/>
        <v>#REF!</v>
      </c>
      <c r="F10" s="3112" t="e">
        <f t="shared" ca="1" si="2"/>
        <v>#REF!</v>
      </c>
    </row>
    <row r="11" spans="1:6" ht="14.25">
      <c r="A11" s="260"/>
      <c r="B11" s="3111" t="e">
        <f t="shared" ca="1" si="0"/>
        <v>#REF!</v>
      </c>
      <c r="C11" s="3107" t="s">
        <v>2948</v>
      </c>
      <c r="D11" s="1883"/>
      <c r="E11" s="3112" t="e">
        <f t="shared" ca="1" si="1"/>
        <v>#REF!</v>
      </c>
      <c r="F11" s="3112" t="e">
        <f t="shared" ca="1" si="2"/>
        <v>#REF!</v>
      </c>
    </row>
    <row r="12" spans="1:6" ht="14.25">
      <c r="A12" s="260"/>
      <c r="B12" s="3111" t="e">
        <f t="shared" ca="1" si="0"/>
        <v>#REF!</v>
      </c>
      <c r="C12" s="3107" t="s">
        <v>2948</v>
      </c>
      <c r="D12" s="1883"/>
      <c r="E12" s="3112" t="e">
        <f t="shared" ca="1" si="1"/>
        <v>#REF!</v>
      </c>
      <c r="F12" s="3112" t="e">
        <f t="shared" ca="1" si="2"/>
        <v>#REF!</v>
      </c>
    </row>
    <row r="13" spans="1:6" ht="14.25">
      <c r="A13" s="260"/>
      <c r="B13" s="3111" t="e">
        <f t="shared" ca="1" si="0"/>
        <v>#REF!</v>
      </c>
      <c r="C13" s="3107" t="s">
        <v>2948</v>
      </c>
      <c r="D13" s="1883"/>
      <c r="E13" s="3112" t="e">
        <f t="shared" ca="1" si="1"/>
        <v>#REF!</v>
      </c>
      <c r="F13" s="3112" t="e">
        <f t="shared" ca="1" si="2"/>
        <v>#REF!</v>
      </c>
    </row>
    <row r="14" spans="1:6" ht="14.25">
      <c r="A14" s="3105"/>
      <c r="B14" s="3111" t="e">
        <f t="shared" ca="1" si="0"/>
        <v>#REF!</v>
      </c>
      <c r="C14" s="3107" t="s">
        <v>2948</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389" t="s">
        <v>2376</v>
      </c>
      <c r="F1" s="2390">
        <f ca="1">J54</f>
        <v>-1</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57" t="s">
        <v>2465</v>
      </c>
      <c r="C8" s="1827">
        <f ca="1">ROUND(F8*F10*F9*(1-F11)/10000,0)</f>
        <v>0</v>
      </c>
      <c r="D8" s="1824" t="s">
        <v>2536</v>
      </c>
      <c r="E8" s="61" t="s">
        <v>636</v>
      </c>
      <c r="F8" s="785">
        <f ca="1">INDIRECT("'数据-取费表'!u"&amp;$G$1)</f>
        <v>1</v>
      </c>
      <c r="G8" s="1593"/>
      <c r="H8" s="2506" t="s">
        <v>1824</v>
      </c>
      <c r="I8" s="3457" t="s">
        <v>2465</v>
      </c>
      <c r="J8" s="783">
        <f ca="1">ROUND(M8*M10*M9*(1-M11)/10000,0)</f>
        <v>0</v>
      </c>
      <c r="K8" s="341" t="s">
        <v>2536</v>
      </c>
      <c r="L8" s="784" t="s">
        <v>1738</v>
      </c>
      <c r="M8" s="785">
        <f ca="1">INDIRECT("'数据-取费表'!z"&amp;$G$1)</f>
        <v>0</v>
      </c>
    </row>
    <row r="9" spans="1:25" ht="18" customHeight="1">
      <c r="A9" s="2502"/>
      <c r="B9" s="3458"/>
      <c r="C9" s="1828"/>
      <c r="D9" s="1825"/>
      <c r="E9" s="61" t="s">
        <v>637</v>
      </c>
      <c r="F9" s="785">
        <f ca="1">IF(INDIRECT("'数据-取费表'!ah"&amp;$G$1)="",INDIRECT("'数据-取费表'!k"&amp;$G$1),INDIRECT("'数据-取费表'!ah"&amp;$G$1))</f>
        <v>0</v>
      </c>
      <c r="G9" s="1593"/>
      <c r="H9" s="2491"/>
      <c r="I9" s="3458"/>
      <c r="J9" s="788"/>
      <c r="K9" s="789"/>
      <c r="L9" s="784" t="s">
        <v>1739</v>
      </c>
      <c r="M9" s="785">
        <f ca="1">F9</f>
        <v>0</v>
      </c>
    </row>
    <row r="10" spans="1:25" ht="18" customHeight="1">
      <c r="A10" s="2495"/>
      <c r="B10" s="3459"/>
      <c r="C10" s="1828"/>
      <c r="D10" s="1825"/>
      <c r="E10" s="61" t="s">
        <v>638</v>
      </c>
      <c r="F10" s="785">
        <f ca="1">INDIRECT("'数据-取费表'!ai"&amp;$G$1)</f>
        <v>365</v>
      </c>
      <c r="G10" s="1593"/>
      <c r="H10" s="2491"/>
      <c r="I10" s="3459"/>
      <c r="J10" s="788"/>
      <c r="K10" s="789"/>
      <c r="L10" s="784" t="s">
        <v>1740</v>
      </c>
      <c r="M10" s="785">
        <f ca="1">INDIRECT("'数据-取费表'!ai"&amp;$G$1)</f>
        <v>365</v>
      </c>
    </row>
    <row r="11" spans="1:25" ht="18" customHeight="1">
      <c r="A11" s="786"/>
      <c r="B11" s="3460"/>
      <c r="C11" s="1828"/>
      <c r="D11" s="1825"/>
      <c r="E11" s="61" t="s">
        <v>639</v>
      </c>
      <c r="F11" s="794">
        <f ca="1">INDIRECT("'数据-取费表'!w"&amp;$G$1)</f>
        <v>0.1</v>
      </c>
      <c r="G11" s="1593"/>
      <c r="H11" s="2507"/>
      <c r="I11" s="3459"/>
      <c r="J11" s="788"/>
      <c r="K11" s="789"/>
      <c r="L11" s="795" t="s">
        <v>1741</v>
      </c>
      <c r="M11" s="796">
        <f ca="1">INDIRECT("'数据-取费表'!ab"&amp;$G$1)</f>
        <v>0</v>
      </c>
    </row>
    <row r="12" spans="1:25" ht="18" customHeight="1">
      <c r="A12" s="1832" t="s">
        <v>1825</v>
      </c>
      <c r="B12" s="2496" t="s">
        <v>2461</v>
      </c>
      <c r="C12" s="799">
        <f ca="1">ROUND(IF(F12="押一",C8/12*F13,IF(F12="押二",C8/12*2*F13,IF(F12="押三",C8/12*3*F13,C13*F13))),0)</f>
        <v>0</v>
      </c>
      <c r="D12" s="2503" t="s">
        <v>2977</v>
      </c>
      <c r="E12" s="2500" t="s">
        <v>2466</v>
      </c>
      <c r="F12" s="2623"/>
      <c r="G12" s="1593"/>
      <c r="H12" s="2563" t="s">
        <v>1825</v>
      </c>
      <c r="I12" s="2568" t="s">
        <v>2461</v>
      </c>
      <c r="J12" s="783">
        <f ca="1">ROUND(IF(M12="押一",J8/12*M13,IF(M12="押二",J8/12*2*M13,IF(M12="押三",J8/12*3*M13,J13*M13))),0)</f>
        <v>0</v>
      </c>
      <c r="K12" s="2503" t="s">
        <v>2977</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640</v>
      </c>
      <c r="C15" s="792">
        <f ca="1">ROUND(C31*F15,0)</f>
        <v>0</v>
      </c>
      <c r="D15" s="1836" t="s">
        <v>641</v>
      </c>
      <c r="E15" s="795" t="s">
        <v>642</v>
      </c>
      <c r="F15" s="800">
        <f ca="1">INDIRECT("'数据-取费表'!y"&amp;$G$1)</f>
        <v>1</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2071</v>
      </c>
      <c r="I16" s="2233" t="s">
        <v>2827</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2072</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2071</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5.5000000000000007E-2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0.03</v>
      </c>
      <c r="G22" s="1594"/>
      <c r="H22" s="1834" t="s">
        <v>1850</v>
      </c>
      <c r="I22" s="1824" t="s">
        <v>667</v>
      </c>
      <c r="J22" s="54">
        <f ca="1">ROUND(M22*M23/10000,0)</f>
        <v>0</v>
      </c>
      <c r="K22" s="814" t="s">
        <v>668</v>
      </c>
      <c r="L22" s="784" t="s">
        <v>669</v>
      </c>
      <c r="M22" s="640">
        <f>'数据-取费表'!B52</f>
        <v>0.01</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0.03</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74" t="str">
        <f>IF(F25&lt;=1,"单利计息。","复利计息。")&amp;"建造成本、管理费用、销售费用产生的利息。"</f>
        <v>单利计息。建造成本、管理费用、销售费用产生的利息。</v>
      </c>
      <c r="E24" s="1984"/>
      <c r="F24" s="56"/>
      <c r="G24" s="1593"/>
      <c r="H24" s="1833" t="s">
        <v>2072</v>
      </c>
      <c r="I24" s="784" t="s">
        <v>675</v>
      </c>
      <c r="J24" s="53">
        <f ca="1">ROUND(J16*M24,0)</f>
        <v>0</v>
      </c>
      <c r="K24" s="1979" t="s">
        <v>676</v>
      </c>
      <c r="L24" s="784" t="s">
        <v>648</v>
      </c>
      <c r="M24" s="817">
        <f ca="1">INDIRECT("'数据-取费表'!Ak"&amp;$G$1)</f>
        <v>1.4999999999999999E-2</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(建造成本+管理费用)×利率×(建设周期÷2)</v>
      </c>
      <c r="E25" s="784" t="s">
        <v>677</v>
      </c>
      <c r="F25" s="640">
        <f>'数据-取费表'!B20</f>
        <v>1</v>
      </c>
      <c r="G25" s="1594"/>
      <c r="H25" s="803" t="s">
        <v>1878</v>
      </c>
      <c r="I25" s="784" t="s">
        <v>678</v>
      </c>
      <c r="J25" s="53">
        <f ca="1">ROUND(J15*M25,0)</f>
        <v>0</v>
      </c>
      <c r="K25" s="1979" t="s">
        <v>679</v>
      </c>
      <c r="L25" s="784" t="s">
        <v>648</v>
      </c>
      <c r="M25" s="818">
        <f ca="1">INDIRECT("'数据-取费表'!Al"&amp;$G$1)</f>
        <v>2E-3</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6.9999999999999999E-4</v>
      </c>
      <c r="D26" s="2573" t="str">
        <f>IF(F25&lt;=1,"销售费用×利率×(建设周期÷2)","销售费用×((1+利率)^(建设周期÷2)-1)")</f>
        <v>销售费用×利率×(建设周期÷2)</v>
      </c>
      <c r="E26" s="784" t="s">
        <v>681</v>
      </c>
      <c r="F26" s="819">
        <f ca="1">'数据-取费表'!B40</f>
        <v>4.3499999999999997E-2</v>
      </c>
      <c r="G26" s="1594"/>
      <c r="H26" s="803" t="s">
        <v>1879</v>
      </c>
      <c r="I26" s="784" t="s">
        <v>665</v>
      </c>
      <c r="J26" s="53">
        <f ca="1">ROUND(J7*M26,0)</f>
        <v>0</v>
      </c>
      <c r="K26" s="1979" t="s">
        <v>682</v>
      </c>
      <c r="L26" s="784" t="s">
        <v>648</v>
      </c>
      <c r="M26" s="794">
        <f ca="1">INDIRECT("'数据-取费表'!Am"&amp;$G$1)</f>
        <v>0.02</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13" t="s">
        <v>2824</v>
      </c>
      <c r="J27" s="799">
        <f ca="1">J7-J18</f>
        <v>0</v>
      </c>
      <c r="K27" s="1981" t="s">
        <v>699</v>
      </c>
      <c r="L27" s="1983"/>
      <c r="M27" s="820"/>
    </row>
    <row r="28" spans="1:25" ht="18" customHeight="1">
      <c r="A28" s="803" t="s">
        <v>1875</v>
      </c>
      <c r="B28" s="784" t="s">
        <v>2440</v>
      </c>
      <c r="C28" s="53">
        <f ca="1">ROUND((C21+C22)*F28,0)</f>
        <v>0</v>
      </c>
      <c r="D28" s="812" t="s">
        <v>700</v>
      </c>
      <c r="E28" s="795" t="s">
        <v>701</v>
      </c>
      <c r="F28" s="794">
        <f ca="1">INDIRECT("'数据-取费表'!q"&amp;$G$1)</f>
        <v>0.05</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1.5E-3</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2825</v>
      </c>
      <c r="C31" s="2546">
        <f ca="1">ROUND((C21+C22+C25+C28)/(1-F23-C26-C29-C30),0)</f>
        <v>0</v>
      </c>
      <c r="D31" s="2547"/>
      <c r="E31" s="2548"/>
      <c r="F31" s="2549"/>
      <c r="G31" s="1594"/>
      <c r="H31" s="823" t="s">
        <v>1872</v>
      </c>
      <c r="I31" s="3014" t="s">
        <v>2826</v>
      </c>
      <c r="J31" s="825" t="e">
        <f ca="1">ROUND(J28/(1+F45)^F46,0)</f>
        <v>#N/A</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489"/>
      <c r="F32" s="2493"/>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5.5000000000000007E-2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0.01</v>
      </c>
      <c r="G36" s="2064"/>
      <c r="H36" s="2067"/>
      <c r="I36" s="3456"/>
      <c r="J36" s="2081"/>
      <c r="K36" s="2082"/>
      <c r="L36" s="2081"/>
      <c r="M36" s="2081"/>
    </row>
    <row r="37" spans="1:18" ht="18" customHeight="1">
      <c r="A37" s="815"/>
      <c r="B37" s="793"/>
      <c r="C37" s="69"/>
      <c r="D37" s="816"/>
      <c r="E37" s="784" t="s">
        <v>673</v>
      </c>
      <c r="F37" s="785">
        <f ca="1">INDIRECT("'数据-取费表'!r"&amp;$G$1)</f>
        <v>0</v>
      </c>
      <c r="G37" s="2064"/>
      <c r="H37" s="2067"/>
      <c r="I37" s="3456"/>
      <c r="J37" s="2079"/>
      <c r="K37" s="2080"/>
      <c r="L37" s="2079"/>
      <c r="M37" s="2079"/>
    </row>
    <row r="38" spans="1:18" ht="18" customHeight="1">
      <c r="A38" s="803" t="s">
        <v>1877</v>
      </c>
      <c r="B38" s="784" t="s">
        <v>675</v>
      </c>
      <c r="C38" s="53">
        <f ca="1">ROUND(C31*F38,1)</f>
        <v>0</v>
      </c>
      <c r="D38" s="1979" t="s">
        <v>690</v>
      </c>
      <c r="E38" s="784" t="s">
        <v>648</v>
      </c>
      <c r="F38" s="817">
        <f ca="1">INDIRECT("'数据-取费表'!Ak"&amp;$G$1)</f>
        <v>1.4999999999999999E-2</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2E-3</v>
      </c>
      <c r="G39" s="2064"/>
      <c r="H39" s="2079"/>
      <c r="I39" s="2083"/>
      <c r="J39" s="1990"/>
      <c r="K39" s="2084"/>
      <c r="L39" s="2079"/>
      <c r="M39" s="2079"/>
    </row>
    <row r="40" spans="1:18" ht="18" customHeight="1" thickBot="1">
      <c r="A40" s="2562" t="s">
        <v>1879</v>
      </c>
      <c r="B40" s="2548" t="s">
        <v>665</v>
      </c>
      <c r="C40" s="2546">
        <f ca="1">ROUND(C7*F40,1)</f>
        <v>0</v>
      </c>
      <c r="D40" s="2547" t="s">
        <v>682</v>
      </c>
      <c r="E40" s="2548" t="s">
        <v>648</v>
      </c>
      <c r="F40" s="2544">
        <f ca="1">INDIRECT("'数据-取费表'!Am"&amp;$G$1)</f>
        <v>0.02</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23" t="s">
        <v>2965</v>
      </c>
      <c r="F43" s="3124">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40" t="e">
        <f ca="1">ROUND(-PV(F45,F46,C44,0),0)</f>
        <v>#N/A</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25" t="s">
        <v>2968</v>
      </c>
      <c r="F46" s="828" t="e">
        <f ca="1">IF(INDIRECT("'数据-取费表'!af"&amp;$G$1)=0,INDIRECT("'数据-取费表'!ae"&amp;$G$1),INDIRECT("'数据-取费表'!af"&amp;$G$1))</f>
        <v>#N/A</v>
      </c>
      <c r="G46" s="2064"/>
      <c r="H46" s="2064"/>
      <c r="I46" s="2064"/>
      <c r="J46" s="2064"/>
      <c r="K46" s="2085"/>
      <c r="L46" s="2064"/>
      <c r="M46" s="2064"/>
    </row>
    <row r="47" spans="1:18" s="2061" customFormat="1" ht="18" customHeight="1" thickBot="1">
      <c r="A47" s="2086"/>
      <c r="D47" s="2087"/>
      <c r="E47" s="2087"/>
      <c r="F47" s="2087"/>
      <c r="I47" s="2380" t="s">
        <v>2345</v>
      </c>
      <c r="J47" s="2381"/>
      <c r="K47" s="2382"/>
      <c r="L47" s="3167" t="str">
        <f ca="1">IF(M48="住宅",0,IF(L49&gt;J52,L61,J61))</f>
        <v>0</v>
      </c>
      <c r="O47" s="2396" t="s">
        <v>2412</v>
      </c>
      <c r="P47" s="1593"/>
      <c r="Q47" s="1605"/>
      <c r="R47" s="1593"/>
    </row>
    <row r="48" spans="1:18" s="2061" customFormat="1" ht="18" customHeight="1" thickBot="1">
      <c r="A48" s="2086"/>
      <c r="C48" s="2089"/>
      <c r="D48" s="2090"/>
      <c r="E48" s="2090"/>
      <c r="F48" s="2091"/>
      <c r="G48" s="2092"/>
      <c r="I48" s="3157" t="s">
        <v>2346</v>
      </c>
      <c r="J48" s="2383"/>
      <c r="K48" s="3164" t="s">
        <v>2351</v>
      </c>
      <c r="L48" s="3168">
        <f ca="1">INDIRECT("'数据-取费表'!d"&amp;$G$1)</f>
        <v>0</v>
      </c>
      <c r="M48" s="3122"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7" t="s">
        <v>2347</v>
      </c>
      <c r="J49" s="2384"/>
      <c r="K49" s="3165" t="s">
        <v>2353</v>
      </c>
      <c r="L49" s="1910">
        <f ca="1">INDIRECT("'数据-取费表'!f"&amp;$G$1)</f>
        <v>0</v>
      </c>
      <c r="O49" s="2400" t="s">
        <v>2381</v>
      </c>
      <c r="P49" s="2401" t="s">
        <v>2407</v>
      </c>
      <c r="Q49" s="2402" t="e">
        <f ca="1">C41+J31</f>
        <v>#N/A</v>
      </c>
      <c r="R49" s="2401" t="s">
        <v>2382</v>
      </c>
    </row>
    <row r="50" spans="1:18" s="2061" customFormat="1" ht="18" customHeight="1" thickBot="1">
      <c r="A50" s="2086"/>
      <c r="D50" s="2096"/>
      <c r="E50" s="2096"/>
      <c r="F50" s="2090"/>
      <c r="G50" s="2097"/>
      <c r="H50" s="2095"/>
      <c r="I50" s="3127" t="s">
        <v>2348</v>
      </c>
      <c r="J50" s="2385"/>
      <c r="K50" s="3166"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7" t="s">
        <v>2349</v>
      </c>
      <c r="J51" s="3161">
        <f>SUMPRODUCT((I64:I66=J48)*(J63:L63=J49)*(J64:L66))</f>
        <v>0</v>
      </c>
      <c r="K51" s="3166" t="s">
        <v>2355</v>
      </c>
      <c r="L51" s="2386"/>
      <c r="O51" s="2403" t="s">
        <v>2385</v>
      </c>
      <c r="P51" s="2401" t="s">
        <v>2409</v>
      </c>
      <c r="Q51" s="2402">
        <f ca="1">C31</f>
        <v>0</v>
      </c>
      <c r="R51" s="2401" t="s">
        <v>2382</v>
      </c>
    </row>
    <row r="52" spans="1:18" s="2061" customFormat="1" ht="18" customHeight="1" thickBot="1">
      <c r="A52" s="2098"/>
      <c r="F52" s="2087"/>
      <c r="I52" s="3158" t="s">
        <v>2350</v>
      </c>
      <c r="J52" s="3162">
        <f>IF(J50="",J51,J50+J51-YEAR('数据-取费表'!B3))</f>
        <v>0</v>
      </c>
      <c r="K52" s="3127" t="s">
        <v>2356</v>
      </c>
      <c r="L52" s="3169">
        <f ca="1">ROUND(-PV(INDIRECT("'数据-取费表'!h"&amp;$G$1),L49,(C40-C14*J36),0),0)</f>
        <v>0</v>
      </c>
      <c r="O52" s="2403" t="s">
        <v>2386</v>
      </c>
      <c r="P52" s="2401" t="s">
        <v>2387</v>
      </c>
      <c r="Q52" s="2404" t="e">
        <f ca="1">J59</f>
        <v>#VALUE!</v>
      </c>
      <c r="R52" s="2405"/>
    </row>
    <row r="53" spans="1:18" s="2061" customFormat="1" ht="18" customHeight="1" thickBot="1">
      <c r="A53" s="2098"/>
      <c r="F53" s="2087"/>
      <c r="I53" s="3159" t="s">
        <v>2423</v>
      </c>
      <c r="J53" s="2387"/>
      <c r="K53" s="3159" t="s">
        <v>2422</v>
      </c>
      <c r="L53" s="2387"/>
      <c r="O53" s="2403" t="s">
        <v>2388</v>
      </c>
      <c r="P53" s="2401" t="s">
        <v>2389</v>
      </c>
      <c r="Q53" s="2404">
        <f>J53</f>
        <v>0</v>
      </c>
      <c r="R53" s="2405"/>
    </row>
    <row r="54" spans="1:18" s="2061" customFormat="1" ht="29.25" thickBot="1">
      <c r="A54" s="2098"/>
      <c r="I54" s="3160" t="s">
        <v>2983</v>
      </c>
      <c r="J54" s="3163">
        <f ca="1">IF(M48="住宅",MAX(J52,L49-'数据-取费表'!B20),MIN(J52,L49-'数据-取费表'!B20))</f>
        <v>-1</v>
      </c>
      <c r="K54" s="3461"/>
      <c r="L54" s="3462"/>
      <c r="O54" s="2403" t="s">
        <v>2390</v>
      </c>
      <c r="P54" s="2401" t="s">
        <v>2391</v>
      </c>
      <c r="Q54" s="2402">
        <f ca="1">J54</f>
        <v>-1</v>
      </c>
      <c r="R54" s="2401" t="s">
        <v>2392</v>
      </c>
    </row>
    <row r="55" spans="1:18" s="2061" customFormat="1" ht="18" customHeight="1" thickBot="1">
      <c r="A55" s="2098"/>
      <c r="I55" s="31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70"/>
      <c r="K55" s="3171"/>
      <c r="O55" s="2400" t="s">
        <v>2393</v>
      </c>
      <c r="P55" s="2401" t="s">
        <v>2410</v>
      </c>
      <c r="Q55" s="2402" t="e">
        <f ca="1">Q49+Q50</f>
        <v>#N/A</v>
      </c>
      <c r="R55" s="2405" t="s">
        <v>2394</v>
      </c>
    </row>
    <row r="56" spans="1:18" s="2061" customFormat="1" ht="16.5" thickBot="1">
      <c r="A56" s="2098"/>
      <c r="B56" s="2099"/>
      <c r="C56" s="2099"/>
      <c r="I56" s="3172" t="s">
        <v>2357</v>
      </c>
      <c r="J56" s="3102" t="e">
        <f ca="1">ROUND(IF(J48="钢混",J58/J51,1-(1-2%)*(J51-J58)/J51),3)</f>
        <v>#VALUE!</v>
      </c>
      <c r="K56" s="3173" t="s">
        <v>2358</v>
      </c>
      <c r="L56" s="2388"/>
      <c r="O56" s="2406" t="s">
        <v>2413</v>
      </c>
      <c r="P56" s="1593"/>
      <c r="Q56" s="1605"/>
      <c r="R56" s="1593"/>
    </row>
    <row r="57" spans="1:18" s="2061" customFormat="1" ht="43.5" thickBot="1">
      <c r="A57" s="2098"/>
      <c r="B57" s="2099"/>
      <c r="C57" s="2099"/>
      <c r="I57" s="3174" t="s">
        <v>2359</v>
      </c>
      <c r="J57" s="3184" t="s">
        <v>1678</v>
      </c>
      <c r="K57" s="3127" t="s">
        <v>2364</v>
      </c>
      <c r="L57" s="1910">
        <f ca="1">IF(L49&lt;J52,"——",L49-J52)</f>
        <v>0</v>
      </c>
      <c r="O57" s="2397" t="s">
        <v>2377</v>
      </c>
      <c r="P57" s="2398" t="s">
        <v>2378</v>
      </c>
      <c r="Q57" s="2399" t="s">
        <v>2379</v>
      </c>
      <c r="R57" s="2398" t="s">
        <v>2380</v>
      </c>
    </row>
    <row r="58" spans="1:18" s="2061" customFormat="1" ht="29.25" thickBot="1">
      <c r="A58" s="2098"/>
      <c r="B58" s="2099"/>
      <c r="C58" s="2099"/>
      <c r="I58" s="3175" t="s">
        <v>2360</v>
      </c>
      <c r="J58" s="3176" t="str">
        <f ca="1">IF(OR(M48="住宅",J52&lt;L49,J57="是"),"——",J52-L49)</f>
        <v>——</v>
      </c>
      <c r="K58" s="3127" t="s">
        <v>2365</v>
      </c>
      <c r="L58" s="1910">
        <f ca="1">IF(L49&lt;J52,"——",IF(L56="比较法",L50,IF(L56="基准地价",L51,L52)))</f>
        <v>0</v>
      </c>
      <c r="O58" s="2400" t="s">
        <v>2381</v>
      </c>
      <c r="P58" s="2401" t="s">
        <v>2407</v>
      </c>
      <c r="Q58" s="2402" t="e">
        <f ca="1">C41+J31</f>
        <v>#N/A</v>
      </c>
      <c r="R58" s="2401" t="s">
        <v>2382</v>
      </c>
    </row>
    <row r="59" spans="1:18" s="2061" customFormat="1" ht="29.25" thickBot="1">
      <c r="A59" s="2098"/>
      <c r="B59" s="2099"/>
      <c r="C59" s="2099"/>
      <c r="I59" s="3175" t="s">
        <v>2361</v>
      </c>
      <c r="J59" s="3103" t="e">
        <f ca="1">IF(J56&lt;0.4,0.4,J56)</f>
        <v>#VALUE!</v>
      </c>
      <c r="K59" s="3127"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5" t="s">
        <v>2362</v>
      </c>
      <c r="J60" s="3176" t="str">
        <f ca="1">IF(OR(M48="住宅",J52&lt;L49,J57="是"),"——",ROUND(C30*J59,0))</f>
        <v>——</v>
      </c>
      <c r="K60" s="3127"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7" t="s">
        <v>2363</v>
      </c>
      <c r="J61" s="3178" t="str">
        <f ca="1">IF(OR(M48="住宅",J52&lt;L49,J57="是"),"0",ROUND(J60/(1+J53)^J54,0))</f>
        <v>0</v>
      </c>
      <c r="K61" s="3179" t="s">
        <v>2368</v>
      </c>
      <c r="L61" s="3178"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80" t="s">
        <v>2369</v>
      </c>
      <c r="J63" s="3181" t="s">
        <v>2370</v>
      </c>
      <c r="K63" s="3181" t="s">
        <v>2371</v>
      </c>
      <c r="L63" s="3181" t="s">
        <v>2352</v>
      </c>
      <c r="M63" s="3182" t="s">
        <v>2945</v>
      </c>
      <c r="O63" s="2403" t="s">
        <v>2390</v>
      </c>
      <c r="P63" s="2401" t="s">
        <v>2398</v>
      </c>
      <c r="Q63" s="2402">
        <f ca="1">L60</f>
        <v>0</v>
      </c>
      <c r="R63" s="2405" t="s">
        <v>2399</v>
      </c>
    </row>
    <row r="64" spans="1:18" s="2061" customFormat="1" ht="15.75" thickBot="1">
      <c r="A64" s="2098"/>
      <c r="B64" s="2099"/>
      <c r="C64" s="2099"/>
      <c r="I64" s="3180" t="s">
        <v>2372</v>
      </c>
      <c r="J64" s="3181">
        <v>70</v>
      </c>
      <c r="K64" s="3181">
        <v>50</v>
      </c>
      <c r="L64" s="3181">
        <v>80</v>
      </c>
      <c r="M64" s="3183">
        <v>0.02</v>
      </c>
      <c r="O64" s="2400" t="s">
        <v>2393</v>
      </c>
      <c r="P64" s="2401" t="s">
        <v>2410</v>
      </c>
      <c r="Q64" s="2402" t="e">
        <f ca="1">Q58+Q59</f>
        <v>#N/A</v>
      </c>
      <c r="R64" s="2405" t="s">
        <v>2394</v>
      </c>
    </row>
    <row r="65" spans="1:18" s="2061" customFormat="1" ht="16.5" thickBot="1">
      <c r="A65" s="2098"/>
      <c r="B65" s="2099"/>
      <c r="C65" s="2099"/>
      <c r="I65" s="3180" t="s">
        <v>2373</v>
      </c>
      <c r="J65" s="3181">
        <v>50</v>
      </c>
      <c r="K65" s="3181">
        <v>35</v>
      </c>
      <c r="L65" s="3181">
        <v>60</v>
      </c>
      <c r="M65" s="846">
        <v>0</v>
      </c>
      <c r="O65" s="2406" t="s">
        <v>2417</v>
      </c>
      <c r="P65" s="1593"/>
      <c r="Q65" s="1605"/>
      <c r="R65" s="1593"/>
    </row>
    <row r="66" spans="1:18" s="2061" customFormat="1" ht="15.75" thickBot="1">
      <c r="A66" s="2098"/>
      <c r="B66" s="2099"/>
      <c r="C66" s="2099"/>
      <c r="I66" s="3180" t="s">
        <v>2374</v>
      </c>
      <c r="J66" s="3181">
        <v>40</v>
      </c>
      <c r="K66" s="3181">
        <v>30</v>
      </c>
      <c r="L66" s="3181">
        <v>50</v>
      </c>
      <c r="M66" s="3183">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t="e">
        <f ca="1">C41+J31</f>
        <v>#N/A</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#N/A</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69" t="s">
        <v>2578</v>
      </c>
      <c r="C1" s="3469"/>
      <c r="D1" s="3469"/>
      <c r="E1" s="3469"/>
      <c r="F1" s="3469"/>
      <c r="G1" s="3468" t="s">
        <v>2579</v>
      </c>
      <c r="H1" s="3468"/>
      <c r="I1" s="3468"/>
      <c r="J1" s="3468"/>
      <c r="K1" s="3468"/>
      <c r="L1" s="3468"/>
      <c r="N1" s="3468" t="s">
        <v>2580</v>
      </c>
      <c r="O1" s="3468"/>
      <c r="P1" s="3468"/>
      <c r="Q1" s="3468"/>
      <c r="R1" s="2656"/>
      <c r="S1" s="3468" t="s">
        <v>2581</v>
      </c>
      <c r="T1" s="3468"/>
      <c r="U1" s="3468"/>
      <c r="V1" s="3468"/>
      <c r="X1" s="3467" t="s">
        <v>2641</v>
      </c>
      <c r="Y1" s="3468"/>
      <c r="Z1" s="3468"/>
      <c r="AA1" s="3468"/>
      <c r="AB1" s="3468"/>
      <c r="AD1" s="3467" t="s">
        <v>2645</v>
      </c>
      <c r="AE1" s="3468"/>
      <c r="AF1" s="3468"/>
      <c r="AG1" s="3468"/>
      <c r="AH1" s="3468"/>
    </row>
    <row r="2" spans="1:34" s="2758" customFormat="1" ht="14.25" thickBot="1">
      <c r="B2" s="2766" t="s">
        <v>2582</v>
      </c>
      <c r="C2" s="2766" t="s">
        <v>2643</v>
      </c>
      <c r="D2" s="2759" t="s">
        <v>1644</v>
      </c>
      <c r="E2" s="2759" t="s">
        <v>1951</v>
      </c>
      <c r="F2" s="2766" t="s">
        <v>2644</v>
      </c>
      <c r="G2" s="2762"/>
      <c r="H2" s="2761"/>
      <c r="I2" s="2766" t="s">
        <v>2959</v>
      </c>
      <c r="J2" s="2759" t="s">
        <v>2961</v>
      </c>
      <c r="K2" s="2759" t="s">
        <v>2962</v>
      </c>
      <c r="L2" s="2766" t="s">
        <v>2963</v>
      </c>
      <c r="N2" s="2766" t="s">
        <v>2582</v>
      </c>
      <c r="O2" s="2759" t="s">
        <v>2960</v>
      </c>
      <c r="P2" s="2759" t="s">
        <v>1951</v>
      </c>
      <c r="Q2" s="2766" t="s">
        <v>2644</v>
      </c>
      <c r="R2" s="2760"/>
      <c r="S2" s="2766" t="s">
        <v>2582</v>
      </c>
      <c r="T2" s="2759" t="s">
        <v>2960</v>
      </c>
      <c r="U2" s="2759" t="s">
        <v>1951</v>
      </c>
      <c r="V2" s="2766" t="s">
        <v>2644</v>
      </c>
      <c r="X2" s="2766" t="s">
        <v>2582</v>
      </c>
      <c r="Y2" s="2766" t="s">
        <v>2643</v>
      </c>
      <c r="Z2" s="2759" t="s">
        <v>1644</v>
      </c>
      <c r="AA2" s="2759" t="s">
        <v>1951</v>
      </c>
      <c r="AB2" s="2766" t="s">
        <v>2644</v>
      </c>
      <c r="AD2" s="2766" t="s">
        <v>2582</v>
      </c>
      <c r="AE2" s="2766" t="s">
        <v>2643</v>
      </c>
      <c r="AF2" s="2759" t="s">
        <v>1644</v>
      </c>
      <c r="AG2" s="2759" t="s">
        <v>1951</v>
      </c>
      <c r="AH2" s="2766" t="s">
        <v>2644</v>
      </c>
    </row>
    <row r="3" spans="1:34" s="3135" customFormat="1" ht="14.25">
      <c r="A3" s="3147" t="s">
        <v>2972</v>
      </c>
      <c r="B3" s="3136"/>
      <c r="C3" s="3136"/>
      <c r="D3" s="3137"/>
      <c r="E3" s="3137"/>
      <c r="F3" s="3136"/>
      <c r="G3" s="3138"/>
      <c r="H3" s="3139"/>
      <c r="I3" s="3146">
        <f>ROUND(AVERAGE($I7:$I22),2)</f>
        <v>2.4500000000000002</v>
      </c>
      <c r="J3" s="3146">
        <f>ROUND(AVERAGE($J7:$J22),2)</f>
        <v>1.65</v>
      </c>
      <c r="K3" s="3146">
        <f>ROUND(AVERAGE($K7:$K22),2)</f>
        <v>2.71</v>
      </c>
      <c r="L3" s="3146">
        <f>ROUND(AVERAGE($L7:$L22),2)</f>
        <v>1.39</v>
      </c>
      <c r="N3" s="3138"/>
      <c r="O3" s="3140"/>
      <c r="P3" s="3140"/>
      <c r="Q3" s="3140"/>
      <c r="R3" s="3140"/>
      <c r="S3" s="3138"/>
      <c r="T3" s="3140"/>
      <c r="U3" s="3140"/>
      <c r="V3" s="3140"/>
      <c r="W3" s="3143"/>
      <c r="X3" s="3141">
        <f>ROUND(SUMPRODUCT(PRODUCT(1+N3:N$21)),4)</f>
        <v>1.4517</v>
      </c>
      <c r="Y3" s="3141">
        <f>ROUND(SUMPRODUCT(PRODUCT(1+O3:O$21)),4)</f>
        <v>1.2928999999999999</v>
      </c>
      <c r="Z3" s="3141">
        <f t="shared" ref="Z3:Z19" si="0">Y3</f>
        <v>1.2928999999999999</v>
      </c>
      <c r="AA3" s="3141">
        <f>ROUND(SUMPRODUCT(PRODUCT(1+P3:P$21)),4)</f>
        <v>1.5068999999999999</v>
      </c>
      <c r="AB3" s="3141">
        <f>ROUND(SUMPRODUCT(PRODUCT(1+Q3:Q$21)),4)</f>
        <v>1.2557</v>
      </c>
      <c r="AD3" s="3142">
        <f>ROUND(AVERAGE(I3:I$22)/100,4)</f>
        <v>2.2800000000000001E-2</v>
      </c>
      <c r="AE3" s="3142">
        <f>ROUND(AVERAGE(J3:J$22)/100,4)</f>
        <v>1.5699999999999999E-2</v>
      </c>
      <c r="AF3" s="3142">
        <f t="shared" ref="AF3:AF20" si="1">AE3</f>
        <v>1.5699999999999999E-2</v>
      </c>
      <c r="AG3" s="3142">
        <f>ROUND(AVERAGE(K3:K$22)/100,4)</f>
        <v>2.5100000000000001E-2</v>
      </c>
      <c r="AH3" s="3142">
        <f>ROUND(AVERAGE(L3:L$22)/100,4)</f>
        <v>1.35E-2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2979</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5">
        <v>2</v>
      </c>
      <c r="I5" s="3129">
        <v>0</v>
      </c>
      <c r="J5" s="3129">
        <v>0</v>
      </c>
      <c r="K5" s="3129">
        <v>0</v>
      </c>
      <c r="L5" s="3129">
        <v>0</v>
      </c>
      <c r="N5" s="2764">
        <f t="shared" ref="N5" si="6">I5/100</f>
        <v>0</v>
      </c>
      <c r="O5" s="2764">
        <f t="shared" ref="O5" si="7">J5/100</f>
        <v>0</v>
      </c>
      <c r="P5" s="2764">
        <f t="shared" ref="P5" si="8">K5/100</f>
        <v>0</v>
      </c>
      <c r="Q5" s="2764">
        <f t="shared" ref="Q5" si="9">L5/100</f>
        <v>0</v>
      </c>
      <c r="R5" s="3117"/>
      <c r="S5" s="3118"/>
      <c r="T5" s="3117"/>
      <c r="U5" s="3117"/>
      <c r="V5" s="3117"/>
      <c r="W5" s="3145" t="s">
        <v>2973</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63" customFormat="1" ht="13.5" thickBot="1">
      <c r="A6" s="2657" t="s">
        <v>2980</v>
      </c>
      <c r="B6" s="2671">
        <f>B7*(1+N6)</f>
        <v>446.46299999999997</v>
      </c>
      <c r="C6" s="2671">
        <f t="shared" ref="C6" si="12">C7*(1+O6)</f>
        <v>333.27840000000003</v>
      </c>
      <c r="D6" s="2671">
        <f t="shared" ref="D6:D11" si="13">C6</f>
        <v>333.27840000000003</v>
      </c>
      <c r="E6" s="2671">
        <f t="shared" ref="E6" si="14">E7*(1+P6)</f>
        <v>637.28279999999995</v>
      </c>
      <c r="F6" s="2671">
        <f t="shared" ref="F6" si="15">F7*(1+Q6)</f>
        <v>288.68830000000003</v>
      </c>
      <c r="G6" s="3134">
        <v>2018</v>
      </c>
      <c r="H6" s="2661">
        <v>1</v>
      </c>
      <c r="I6" s="2661">
        <v>1.7</v>
      </c>
      <c r="J6" s="2661">
        <v>1.92</v>
      </c>
      <c r="K6" s="2661">
        <v>1.64</v>
      </c>
      <c r="L6" s="2672">
        <v>2.0099999999999998</v>
      </c>
      <c r="M6" s="2665"/>
      <c r="N6" s="2666">
        <f t="shared" ref="N6:N11" si="16">I6/100</f>
        <v>1.7000000000000001E-2</v>
      </c>
      <c r="O6" s="2667">
        <f t="shared" ref="O6" si="17">J6/100</f>
        <v>1.9199999999999998E-2</v>
      </c>
      <c r="P6" s="2667">
        <f t="shared" ref="P6" si="18">K6/100</f>
        <v>1.6399999999999998E-2</v>
      </c>
      <c r="Q6" s="2667">
        <f t="shared" ref="Q6" si="19">L6/100</f>
        <v>2.0099999999999996E-2</v>
      </c>
      <c r="R6" s="2668"/>
      <c r="S6" s="2674">
        <f>B6/B7-1</f>
        <v>1.6999999999999904E-2</v>
      </c>
      <c r="T6" s="2675">
        <f>C6/C7-1</f>
        <v>1.9200000000000106E-2</v>
      </c>
      <c r="U6" s="2675">
        <f>E6/E7-1</f>
        <v>1.639999999999997E-2</v>
      </c>
      <c r="V6" s="2675">
        <f>F6/F7-1</f>
        <v>2.0100000000000007E-2</v>
      </c>
      <c r="W6" s="2665"/>
      <c r="X6" s="2756">
        <f>ROUND(SUMPRODUCT(PRODUCT(1+N6:N$21)),4)</f>
        <v>1.4517</v>
      </c>
      <c r="Y6" s="2756">
        <f>ROUND(SUMPRODUCT(PRODUCT(1+O6:O$21)),4)</f>
        <v>1.2928999999999999</v>
      </c>
      <c r="Z6" s="2756">
        <f t="shared" ref="Z6" si="20">Y6</f>
        <v>1.2928999999999999</v>
      </c>
      <c r="AA6" s="2756">
        <f>ROUND(SUMPRODUCT(PRODUCT(1+P6:P$21)),4)</f>
        <v>1.5068999999999999</v>
      </c>
      <c r="AB6" s="2756">
        <f>ROUND(SUMPRODUCT(PRODUCT(1+Q6:Q$21)),4)</f>
        <v>1.2557</v>
      </c>
      <c r="AC6" s="2665"/>
      <c r="AD6" s="2676">
        <f>ROUND(AVERAGE(I6:I$22)/100,4)</f>
        <v>2.4E-2</v>
      </c>
      <c r="AE6" s="2676">
        <f>ROUND(AVERAGE(J6:J$22)/100,4)</f>
        <v>1.66E-2</v>
      </c>
      <c r="AF6" s="2676">
        <f t="shared" ref="AF6" si="21">AE6</f>
        <v>1.66E-2</v>
      </c>
      <c r="AG6" s="2676">
        <f>ROUND(AVERAGE(K6:K$22)/100,4)</f>
        <v>2.6499999999999999E-2</v>
      </c>
      <c r="AH6" s="2676">
        <f>ROUND(AVERAGE(L6:L$22)/100,4)</f>
        <v>1.43E-2</v>
      </c>
    </row>
    <row r="7" spans="1:34">
      <c r="A7" s="2657" t="s">
        <v>2970</v>
      </c>
      <c r="B7" s="3149">
        <v>439</v>
      </c>
      <c r="C7" s="3149">
        <v>327</v>
      </c>
      <c r="D7" s="3149">
        <f t="shared" si="13"/>
        <v>327</v>
      </c>
      <c r="E7" s="3149">
        <v>627</v>
      </c>
      <c r="F7" s="3150">
        <v>283</v>
      </c>
      <c r="G7" s="3132">
        <v>2017</v>
      </c>
      <c r="H7" s="2658">
        <v>4</v>
      </c>
      <c r="I7" s="2658">
        <v>1.71</v>
      </c>
      <c r="J7" s="2658">
        <v>1.78</v>
      </c>
      <c r="K7" s="2658">
        <v>1.71</v>
      </c>
      <c r="L7" s="2659">
        <v>1.43</v>
      </c>
      <c r="N7" s="2666">
        <f t="shared" si="16"/>
        <v>1.7100000000000001E-2</v>
      </c>
      <c r="O7" s="2667">
        <f t="shared" ref="O7" si="22">J7/100</f>
        <v>1.78E-2</v>
      </c>
      <c r="P7" s="2667">
        <f t="shared" ref="P7" si="23">K7/100</f>
        <v>1.7100000000000001E-2</v>
      </c>
      <c r="Q7" s="2667">
        <f t="shared" ref="Q7" si="24">L7/100</f>
        <v>1.43E-2</v>
      </c>
      <c r="R7" s="2668"/>
      <c r="S7" s="2669"/>
      <c r="T7" s="2670"/>
      <c r="U7" s="2670"/>
      <c r="V7" s="2670"/>
      <c r="X7" s="2756">
        <f>ROUND(SUMPRODUCT(PRODUCT(1+N7:N$21)),4)</f>
        <v>1.4274</v>
      </c>
      <c r="Y7" s="2756">
        <f>ROUND(SUMPRODUCT(PRODUCT(1+O7:O$21)),4)</f>
        <v>1.2685</v>
      </c>
      <c r="Z7" s="2756">
        <f t="shared" si="0"/>
        <v>1.2685</v>
      </c>
      <c r="AA7" s="2756">
        <f>ROUND(SUMPRODUCT(PRODUCT(1+P7:P$21)),4)</f>
        <v>1.4825999999999999</v>
      </c>
      <c r="AB7" s="2756">
        <f>ROUND(SUMPRODUCT(PRODUCT(1+Q7:Q$21)),4)</f>
        <v>1.2309000000000001</v>
      </c>
      <c r="AD7" s="2676">
        <f>ROUND(AVERAGE(I7:I$22)/100,4)</f>
        <v>2.4500000000000001E-2</v>
      </c>
      <c r="AE7" s="2676">
        <f>ROUND(AVERAGE(J7:J$22)/100,4)</f>
        <v>1.6500000000000001E-2</v>
      </c>
      <c r="AF7" s="2676">
        <f t="shared" si="1"/>
        <v>1.6500000000000001E-2</v>
      </c>
      <c r="AG7" s="2676">
        <f>ROUND(AVERAGE(K7:K$22)/100,4)</f>
        <v>2.7099999999999999E-2</v>
      </c>
      <c r="AH7" s="2676">
        <f>ROUND(AVERAGE(L7:L$22)/100,4)</f>
        <v>1.3899999999999999E-2</v>
      </c>
    </row>
    <row r="8" spans="1:34" s="2763" customFormat="1" ht="13.5" thickBot="1">
      <c r="A8" s="2657" t="s">
        <v>2974</v>
      </c>
      <c r="B8" s="2671">
        <f t="shared" ref="B8:C10" si="25">B9*(1+N8)</f>
        <v>431.80730811680002</v>
      </c>
      <c r="C8" s="2671">
        <f t="shared" si="25"/>
        <v>320.57880516480003</v>
      </c>
      <c r="D8" s="2671">
        <f t="shared" si="13"/>
        <v>320.57880516480003</v>
      </c>
      <c r="E8" s="2671">
        <f t="shared" ref="E8:F10" si="26">E9*(1+P8)</f>
        <v>615.96110553196797</v>
      </c>
      <c r="F8" s="2671">
        <f t="shared" si="26"/>
        <v>279.46777300108801</v>
      </c>
      <c r="G8" s="3134"/>
      <c r="H8" s="2661">
        <v>3</v>
      </c>
      <c r="I8" s="2661">
        <v>2.98</v>
      </c>
      <c r="J8" s="2661">
        <v>2.11</v>
      </c>
      <c r="K8" s="2661">
        <v>3.24</v>
      </c>
      <c r="L8" s="2672">
        <v>1.72</v>
      </c>
      <c r="M8" s="2665"/>
      <c r="N8" s="2666">
        <f t="shared" si="16"/>
        <v>2.98E-2</v>
      </c>
      <c r="O8" s="2667">
        <f t="shared" ref="O8:O9" si="27">J8/100</f>
        <v>2.1099999999999997E-2</v>
      </c>
      <c r="P8" s="2667">
        <f t="shared" ref="P8:P9" si="28">K8/100</f>
        <v>3.2400000000000005E-2</v>
      </c>
      <c r="Q8" s="2667">
        <f t="shared" ref="Q8:Q9" si="29">L8/100</f>
        <v>1.72E-2</v>
      </c>
      <c r="R8" s="2668"/>
      <c r="S8" s="2674"/>
      <c r="T8" s="2675"/>
      <c r="U8" s="2675"/>
      <c r="V8" s="2675"/>
      <c r="W8" s="2665"/>
      <c r="X8" s="2756">
        <f>ROUND(SUMPRODUCT(PRODUCT(1+N8:N$21)),4)</f>
        <v>1.4034</v>
      </c>
      <c r="Y8" s="2756">
        <f>ROUND(SUMPRODUCT(PRODUCT(1+O8:O$21)),4)</f>
        <v>1.2463</v>
      </c>
      <c r="Z8" s="2756">
        <f t="shared" si="0"/>
        <v>1.2463</v>
      </c>
      <c r="AA8" s="2756">
        <f>ROUND(SUMPRODUCT(PRODUCT(1+P8:P$21)),4)</f>
        <v>1.4577</v>
      </c>
      <c r="AB8" s="2756">
        <f>ROUND(SUMPRODUCT(PRODUCT(1+Q8:Q$21)),4)</f>
        <v>1.2136</v>
      </c>
      <c r="AC8" s="2665"/>
      <c r="AD8" s="2676">
        <f>ROUND(AVERAGE(I8:I$22)/100,4)</f>
        <v>2.4899999999999999E-2</v>
      </c>
      <c r="AE8" s="2676">
        <f>ROUND(AVERAGE(J8:J$22)/100,4)</f>
        <v>1.6400000000000001E-2</v>
      </c>
      <c r="AF8" s="2676">
        <f t="shared" si="1"/>
        <v>1.6400000000000001E-2</v>
      </c>
      <c r="AG8" s="2676">
        <f>ROUND(AVERAGE(K8:K$22)/100,4)</f>
        <v>2.7799999999999998E-2</v>
      </c>
      <c r="AH8" s="2676">
        <f>ROUND(AVERAGE(L8:L$22)/100,4)</f>
        <v>1.3899999999999999E-2</v>
      </c>
    </row>
    <row r="9" spans="1:34" s="2655" customFormat="1">
      <c r="A9" s="2657" t="s">
        <v>2583</v>
      </c>
      <c r="B9" s="2671">
        <f t="shared" si="25"/>
        <v>419.31181600000002</v>
      </c>
      <c r="C9" s="2671">
        <f t="shared" si="25"/>
        <v>313.95436800000004</v>
      </c>
      <c r="D9" s="2671">
        <f t="shared" si="13"/>
        <v>313.95436800000004</v>
      </c>
      <c r="E9" s="2671">
        <f t="shared" si="26"/>
        <v>596.63028431999999</v>
      </c>
      <c r="F9" s="2671">
        <f t="shared" si="26"/>
        <v>274.74220703999998</v>
      </c>
      <c r="G9" s="3133"/>
      <c r="H9" s="2662">
        <v>2</v>
      </c>
      <c r="I9" s="2662">
        <v>3.4</v>
      </c>
      <c r="J9" s="2662">
        <v>2</v>
      </c>
      <c r="K9" s="2662">
        <v>3.82</v>
      </c>
      <c r="L9" s="2673">
        <v>1.68</v>
      </c>
      <c r="N9" s="2666">
        <f t="shared" si="16"/>
        <v>3.4000000000000002E-2</v>
      </c>
      <c r="O9" s="2667">
        <f t="shared" si="27"/>
        <v>0.02</v>
      </c>
      <c r="P9" s="2667">
        <f t="shared" si="28"/>
        <v>3.8199999999999998E-2</v>
      </c>
      <c r="Q9" s="2667">
        <f t="shared" si="29"/>
        <v>1.6799999999999999E-2</v>
      </c>
      <c r="R9" s="2656"/>
      <c r="S9" s="2660"/>
      <c r="T9" s="2656"/>
      <c r="U9" s="2656"/>
      <c r="V9" s="2656"/>
      <c r="X9" s="2756">
        <f>ROUND(SUMPRODUCT(PRODUCT(1+N9:N$21)),4)</f>
        <v>1.3628</v>
      </c>
      <c r="Y9" s="2756">
        <f>ROUND(SUMPRODUCT(PRODUCT(1+O9:O$21)),4)</f>
        <v>1.2205999999999999</v>
      </c>
      <c r="Z9" s="2756">
        <f t="shared" si="0"/>
        <v>1.2205999999999999</v>
      </c>
      <c r="AA9" s="2756">
        <f>ROUND(SUMPRODUCT(PRODUCT(1+P9:P$21)),4)</f>
        <v>1.4118999999999999</v>
      </c>
      <c r="AB9" s="2756">
        <f>ROUND(SUMPRODUCT(PRODUCT(1+Q9:Q$21)),4)</f>
        <v>1.1930000000000001</v>
      </c>
      <c r="AD9" s="2676">
        <f>ROUND(AVERAGE(I9:I$22)/100,4)</f>
        <v>2.46E-2</v>
      </c>
      <c r="AE9" s="2676">
        <f>ROUND(AVERAGE(J9:J$22)/100,4)</f>
        <v>1.6E-2</v>
      </c>
      <c r="AF9" s="2676">
        <f t="shared" si="1"/>
        <v>1.6E-2</v>
      </c>
      <c r="AG9" s="2676">
        <f>ROUND(AVERAGE(K9:K$22)/100,4)</f>
        <v>2.75E-2</v>
      </c>
      <c r="AH9" s="2676">
        <f>ROUND(AVERAGE(L9:L$22)/100,4)</f>
        <v>1.37E-2</v>
      </c>
    </row>
    <row r="10" spans="1:34" s="2763" customFormat="1" ht="13.5" thickBot="1">
      <c r="A10" s="2657" t="s">
        <v>2584</v>
      </c>
      <c r="B10" s="2671">
        <f t="shared" si="25"/>
        <v>405.524</v>
      </c>
      <c r="C10" s="2671">
        <f t="shared" si="25"/>
        <v>307.79840000000002</v>
      </c>
      <c r="D10" s="2671">
        <f t="shared" si="13"/>
        <v>307.79840000000002</v>
      </c>
      <c r="E10" s="2671">
        <f t="shared" si="26"/>
        <v>574.67759999999998</v>
      </c>
      <c r="F10" s="2671">
        <f t="shared" si="26"/>
        <v>270.20280000000002</v>
      </c>
      <c r="G10" s="3134"/>
      <c r="H10" s="2661">
        <v>1</v>
      </c>
      <c r="I10" s="2661">
        <v>3.45</v>
      </c>
      <c r="J10" s="2661">
        <v>1.92</v>
      </c>
      <c r="K10" s="2661">
        <v>3.92</v>
      </c>
      <c r="L10" s="2672">
        <v>1.58</v>
      </c>
      <c r="M10" s="2665"/>
      <c r="N10" s="2666">
        <f t="shared" si="16"/>
        <v>3.4500000000000003E-2</v>
      </c>
      <c r="O10" s="2667">
        <f t="shared" ref="O10" si="30">J10/100</f>
        <v>1.9199999999999998E-2</v>
      </c>
      <c r="P10" s="2667">
        <f t="shared" ref="P10" si="31">K10/100</f>
        <v>3.9199999999999999E-2</v>
      </c>
      <c r="Q10" s="2667">
        <f t="shared" ref="Q10" si="32">L10/100</f>
        <v>1.5800000000000002E-2</v>
      </c>
      <c r="R10" s="2668"/>
      <c r="S10" s="2674">
        <f>B10/B11-1</f>
        <v>3.4499999999999975E-2</v>
      </c>
      <c r="T10" s="2675">
        <f>C10/C11-1</f>
        <v>1.9200000000000106E-2</v>
      </c>
      <c r="U10" s="2675">
        <f>E10/E11-1</f>
        <v>3.9199999999999902E-2</v>
      </c>
      <c r="V10" s="2675">
        <f>F10/F11-1</f>
        <v>1.5800000000000036E-2</v>
      </c>
      <c r="W10" s="2665"/>
      <c r="X10" s="2756">
        <f>ROUND(SUMPRODUCT(PRODUCT(1+N10:N$21)),4)</f>
        <v>1.3180000000000001</v>
      </c>
      <c r="Y10" s="2756">
        <f>ROUND(SUMPRODUCT(PRODUCT(1+O10:O$21)),4)</f>
        <v>1.1966000000000001</v>
      </c>
      <c r="Z10" s="2756">
        <f t="shared" si="0"/>
        <v>1.1966000000000001</v>
      </c>
      <c r="AA10" s="2756">
        <f>ROUND(SUMPRODUCT(PRODUCT(1+P10:P$21)),4)</f>
        <v>1.36</v>
      </c>
      <c r="AB10" s="2756">
        <f>ROUND(SUMPRODUCT(PRODUCT(1+Q10:Q$21)),4)</f>
        <v>1.1733</v>
      </c>
      <c r="AC10" s="2665"/>
      <c r="AD10" s="2676">
        <f>ROUND(AVERAGE(I10:I$22)/100,4)</f>
        <v>2.3900000000000001E-2</v>
      </c>
      <c r="AE10" s="2676">
        <f>ROUND(AVERAGE(J10:J$22)/100,4)</f>
        <v>1.5699999999999999E-2</v>
      </c>
      <c r="AF10" s="2676">
        <f t="shared" si="1"/>
        <v>1.5699999999999999E-2</v>
      </c>
      <c r="AG10" s="2676">
        <f>ROUND(AVERAGE(K10:K$22)/100,4)</f>
        <v>2.6599999999999999E-2</v>
      </c>
      <c r="AH10" s="2676">
        <f>ROUND(AVERAGE(L10:L$22)/100,4)</f>
        <v>1.34E-2</v>
      </c>
    </row>
    <row r="11" spans="1:34">
      <c r="A11" s="2657" t="s">
        <v>970</v>
      </c>
      <c r="B11" s="2663">
        <v>392</v>
      </c>
      <c r="C11" s="2663">
        <v>302</v>
      </c>
      <c r="D11" s="2663">
        <f t="shared" si="13"/>
        <v>302</v>
      </c>
      <c r="E11" s="2663">
        <v>553</v>
      </c>
      <c r="F11" s="2664">
        <v>266</v>
      </c>
      <c r="G11" s="3466">
        <v>2016</v>
      </c>
      <c r="H11" s="2658">
        <v>4</v>
      </c>
      <c r="I11" s="2658">
        <v>4.5599999999999996</v>
      </c>
      <c r="J11" s="2658">
        <v>2.15</v>
      </c>
      <c r="K11" s="2658">
        <v>5.32</v>
      </c>
      <c r="L11" s="2659">
        <v>1.57</v>
      </c>
      <c r="N11" s="2666">
        <f t="shared" si="16"/>
        <v>4.5599999999999995E-2</v>
      </c>
      <c r="O11" s="2667">
        <f t="shared" ref="O11:Q26" si="33">J11/100</f>
        <v>2.1499999999999998E-2</v>
      </c>
      <c r="P11" s="2667">
        <f t="shared" si="33"/>
        <v>5.3200000000000004E-2</v>
      </c>
      <c r="Q11" s="2667">
        <f t="shared" si="33"/>
        <v>1.5700000000000002E-2</v>
      </c>
      <c r="R11" s="2668"/>
      <c r="S11" s="2669"/>
      <c r="T11" s="2670"/>
      <c r="U11" s="2670"/>
      <c r="V11" s="2670"/>
      <c r="X11" s="2756">
        <f>ROUND(SUMPRODUCT(PRODUCT(1+N11:N$21)),4)</f>
        <v>1.274</v>
      </c>
      <c r="Y11" s="2756">
        <f>ROUND(SUMPRODUCT(PRODUCT(1+O11:O$21)),4)</f>
        <v>1.1740999999999999</v>
      </c>
      <c r="Z11" s="2756">
        <f t="shared" si="0"/>
        <v>1.1740999999999999</v>
      </c>
      <c r="AA11" s="2756">
        <f>ROUND(SUMPRODUCT(PRODUCT(1+P11:P$21)),4)</f>
        <v>1.3087</v>
      </c>
      <c r="AB11" s="2756">
        <f>ROUND(SUMPRODUCT(PRODUCT(1+Q11:Q$21)),4)</f>
        <v>1.1551</v>
      </c>
      <c r="AD11" s="2676">
        <f>ROUND(AVERAGE(I11:I$22)/100,4)</f>
        <v>2.3E-2</v>
      </c>
      <c r="AE11" s="2676">
        <f>ROUND(AVERAGE(J11:J$22)/100,4)</f>
        <v>1.55E-2</v>
      </c>
      <c r="AF11" s="2676">
        <f t="shared" si="1"/>
        <v>1.55E-2</v>
      </c>
      <c r="AG11" s="2676">
        <f>ROUND(AVERAGE(K11:K$22)/100,4)</f>
        <v>2.5600000000000001E-2</v>
      </c>
      <c r="AH11" s="2676">
        <f>ROUND(AVERAGE(L11:L$22)/100,4)</f>
        <v>1.32E-2</v>
      </c>
    </row>
    <row r="12" spans="1:34">
      <c r="A12" s="2657" t="s">
        <v>969</v>
      </c>
      <c r="B12" s="2671">
        <f t="shared" ref="B12:C14" si="34">B11/(1+N11)</f>
        <v>374.90436113236416</v>
      </c>
      <c r="C12" s="2671">
        <f t="shared" si="34"/>
        <v>295.64366128242779</v>
      </c>
      <c r="D12" s="2671">
        <f t="shared" ref="D12:D71" si="35">C12</f>
        <v>295.64366128242779</v>
      </c>
      <c r="E12" s="2671">
        <f t="shared" ref="E12:F14" si="36">E11/(1+P11)</f>
        <v>525.06646410938095</v>
      </c>
      <c r="F12" s="2671">
        <f t="shared" si="36"/>
        <v>261.88835286009646</v>
      </c>
      <c r="G12" s="3464"/>
      <c r="H12" s="2661">
        <v>3</v>
      </c>
      <c r="I12" s="2661">
        <v>4.12</v>
      </c>
      <c r="J12" s="2661">
        <v>2</v>
      </c>
      <c r="K12" s="2661">
        <v>4.79</v>
      </c>
      <c r="L12" s="2672">
        <v>1.97</v>
      </c>
      <c r="N12" s="2666">
        <f t="shared" ref="N12:Q46" si="37">I12/100</f>
        <v>4.1200000000000001E-2</v>
      </c>
      <c r="O12" s="2667">
        <f t="shared" si="33"/>
        <v>0.02</v>
      </c>
      <c r="P12" s="2667">
        <f t="shared" si="33"/>
        <v>4.7899999999999998E-2</v>
      </c>
      <c r="Q12" s="2667">
        <f t="shared" si="33"/>
        <v>1.9699999999999999E-2</v>
      </c>
      <c r="R12" s="2668"/>
      <c r="S12" s="2666"/>
      <c r="T12" s="2667"/>
      <c r="U12" s="2667"/>
      <c r="V12" s="2667"/>
      <c r="X12" s="2756">
        <f>ROUND(SUMPRODUCT(PRODUCT(1+N12:N$21)),4)</f>
        <v>1.2184999999999999</v>
      </c>
      <c r="Y12" s="2756">
        <f>ROUND(SUMPRODUCT(PRODUCT(1+O12:O$21)),4)</f>
        <v>1.1494</v>
      </c>
      <c r="Z12" s="2756">
        <f t="shared" si="0"/>
        <v>1.1494</v>
      </c>
      <c r="AA12" s="2756">
        <f>ROUND(SUMPRODUCT(PRODUCT(1+P12:P$21)),4)</f>
        <v>1.2425999999999999</v>
      </c>
      <c r="AB12" s="2756">
        <f>ROUND(SUMPRODUCT(PRODUCT(1+Q12:Q$21)),4)</f>
        <v>1.1372</v>
      </c>
      <c r="AD12" s="2676">
        <f>ROUND(AVERAGE(I12:I$22)/100,4)</f>
        <v>2.0899999999999998E-2</v>
      </c>
      <c r="AE12" s="2676">
        <f>ROUND(AVERAGE(J12:J$22)/100,4)</f>
        <v>1.49E-2</v>
      </c>
      <c r="AF12" s="2676">
        <f t="shared" si="1"/>
        <v>1.49E-2</v>
      </c>
      <c r="AG12" s="2676">
        <f>ROUND(AVERAGE(K12:K$22)/100,4)</f>
        <v>2.3099999999999999E-2</v>
      </c>
      <c r="AH12" s="2676">
        <f>ROUND(AVERAGE(L12:L$22)/100,4)</f>
        <v>1.2999999999999999E-2</v>
      </c>
    </row>
    <row r="13" spans="1:34">
      <c r="A13" s="2657" t="s">
        <v>959</v>
      </c>
      <c r="B13" s="2671">
        <f t="shared" si="34"/>
        <v>360.06949782209392</v>
      </c>
      <c r="C13" s="2671">
        <f t="shared" si="34"/>
        <v>289.84672674747821</v>
      </c>
      <c r="D13" s="2671">
        <f t="shared" si="35"/>
        <v>289.84672674747821</v>
      </c>
      <c r="E13" s="2671">
        <f t="shared" si="36"/>
        <v>501.06543001181495</v>
      </c>
      <c r="F13" s="2671">
        <f t="shared" si="36"/>
        <v>256.82882500744967</v>
      </c>
      <c r="G13" s="3464"/>
      <c r="H13" s="2662">
        <v>2</v>
      </c>
      <c r="I13" s="2662">
        <v>3.85</v>
      </c>
      <c r="J13" s="2662">
        <v>1.95</v>
      </c>
      <c r="K13" s="2662">
        <v>4.4800000000000004</v>
      </c>
      <c r="L13" s="2673">
        <v>1.41</v>
      </c>
      <c r="N13" s="2666">
        <f t="shared" si="37"/>
        <v>3.85E-2</v>
      </c>
      <c r="O13" s="2667">
        <f t="shared" si="33"/>
        <v>1.95E-2</v>
      </c>
      <c r="P13" s="2667">
        <f t="shared" si="33"/>
        <v>4.4800000000000006E-2</v>
      </c>
      <c r="Q13" s="2667">
        <f t="shared" si="33"/>
        <v>1.41E-2</v>
      </c>
      <c r="R13" s="2668"/>
      <c r="S13" s="2666"/>
      <c r="T13" s="2667"/>
      <c r="U13" s="2667"/>
      <c r="V13" s="2667"/>
      <c r="X13" s="2756">
        <f>ROUND(SUMPRODUCT(PRODUCT(1+N13:N$21)),4)</f>
        <v>1.1702999999999999</v>
      </c>
      <c r="Y13" s="2756">
        <f>ROUND(SUMPRODUCT(PRODUCT(1+O13:O$21)),4)</f>
        <v>1.1269</v>
      </c>
      <c r="Z13" s="2756">
        <f t="shared" si="0"/>
        <v>1.1269</v>
      </c>
      <c r="AA13" s="2756">
        <f>ROUND(SUMPRODUCT(PRODUCT(1+P13:P$21)),4)</f>
        <v>1.1858</v>
      </c>
      <c r="AB13" s="2756">
        <f>ROUND(SUMPRODUCT(PRODUCT(1+Q13:Q$21)),4)</f>
        <v>1.1152</v>
      </c>
      <c r="AD13" s="2676">
        <f>ROUND(AVERAGE(I13:I$22)/100,4)</f>
        <v>1.89E-2</v>
      </c>
      <c r="AE13" s="2676">
        <f>ROUND(AVERAGE(J13:J$22)/100,4)</f>
        <v>1.44E-2</v>
      </c>
      <c r="AF13" s="2676">
        <f t="shared" si="1"/>
        <v>1.44E-2</v>
      </c>
      <c r="AG13" s="2676">
        <f>ROUND(AVERAGE(K13:K$22)/100,4)</f>
        <v>2.06E-2</v>
      </c>
      <c r="AH13" s="2676">
        <f>ROUND(AVERAGE(L13:L$22)/100,4)</f>
        <v>1.23E-2</v>
      </c>
    </row>
    <row r="14" spans="1:34" ht="13.5" thickBot="1">
      <c r="A14" s="2657" t="s">
        <v>968</v>
      </c>
      <c r="B14" s="2671">
        <f t="shared" si="34"/>
        <v>346.720748986128</v>
      </c>
      <c r="C14" s="2671">
        <f t="shared" si="34"/>
        <v>284.30282172386285</v>
      </c>
      <c r="D14" s="2671">
        <f t="shared" si="35"/>
        <v>284.30282172386285</v>
      </c>
      <c r="E14" s="2671">
        <f t="shared" si="36"/>
        <v>479.58023546306947</v>
      </c>
      <c r="F14" s="2671">
        <f t="shared" si="36"/>
        <v>253.25788877571213</v>
      </c>
      <c r="G14" s="3465"/>
      <c r="H14" s="2661">
        <v>1</v>
      </c>
      <c r="I14" s="2661">
        <v>4.09</v>
      </c>
      <c r="J14" s="2661">
        <v>2.93</v>
      </c>
      <c r="K14" s="2661">
        <v>4.54</v>
      </c>
      <c r="L14" s="2672">
        <v>1.48</v>
      </c>
      <c r="N14" s="2666">
        <f t="shared" si="37"/>
        <v>4.0899999999999999E-2</v>
      </c>
      <c r="O14" s="2667">
        <f t="shared" si="33"/>
        <v>2.9300000000000003E-2</v>
      </c>
      <c r="P14" s="2667">
        <f t="shared" si="33"/>
        <v>4.5400000000000003E-2</v>
      </c>
      <c r="Q14" s="2667">
        <f t="shared" si="33"/>
        <v>1.4800000000000001E-2</v>
      </c>
      <c r="R14" s="2668"/>
      <c r="S14" s="2674">
        <f>B14/B15-1</f>
        <v>4.1203450408792808E-2</v>
      </c>
      <c r="T14" s="2675">
        <f>C14/C15-1</f>
        <v>2.6363977342465095E-2</v>
      </c>
      <c r="U14" s="2675">
        <f>E14/E15-1</f>
        <v>4.4837114298626357E-2</v>
      </c>
      <c r="V14" s="2675">
        <f>F14/F15-1</f>
        <v>1.7099954922538574E-2</v>
      </c>
      <c r="X14" s="2756">
        <f>ROUND(SUMPRODUCT(PRODUCT(1+N14:N$21)),4)</f>
        <v>1.1269</v>
      </c>
      <c r="Y14" s="2756">
        <f>ROUND(SUMPRODUCT(PRODUCT(1+O14:O$21)),4)</f>
        <v>1.1052999999999999</v>
      </c>
      <c r="Z14" s="2756">
        <f t="shared" si="0"/>
        <v>1.1052999999999999</v>
      </c>
      <c r="AA14" s="2756">
        <f>ROUND(SUMPRODUCT(PRODUCT(1+P14:P$21)),4)</f>
        <v>1.1349</v>
      </c>
      <c r="AB14" s="2756">
        <f>ROUND(SUMPRODUCT(PRODUCT(1+Q14:Q$21)),4)</f>
        <v>1.0996999999999999</v>
      </c>
      <c r="AD14" s="2676">
        <f>ROUND(AVERAGE(I14:I$22)/100,4)</f>
        <v>1.67E-2</v>
      </c>
      <c r="AE14" s="2676">
        <f>ROUND(AVERAGE(J14:J$22)/100,4)</f>
        <v>1.38E-2</v>
      </c>
      <c r="AF14" s="2676">
        <f t="shared" si="1"/>
        <v>1.38E-2</v>
      </c>
      <c r="AG14" s="2676">
        <f>ROUND(AVERAGE(K14:K$22)/100,4)</f>
        <v>1.7899999999999999E-2</v>
      </c>
      <c r="AH14" s="2676">
        <f>ROUND(AVERAGE(L14:L$22)/100,4)</f>
        <v>1.21E-2</v>
      </c>
    </row>
    <row r="15" spans="1:34" ht="13.5" thickBot="1">
      <c r="A15" s="2657" t="s">
        <v>967</v>
      </c>
      <c r="B15" s="2663">
        <v>333</v>
      </c>
      <c r="C15" s="2663">
        <v>277</v>
      </c>
      <c r="D15" s="2663">
        <f t="shared" si="35"/>
        <v>277</v>
      </c>
      <c r="E15" s="2663">
        <v>459</v>
      </c>
      <c r="F15" s="2664">
        <v>249</v>
      </c>
      <c r="G15" s="3463">
        <v>2015</v>
      </c>
      <c r="H15" s="2677">
        <v>4</v>
      </c>
      <c r="I15" s="2677">
        <v>1.63</v>
      </c>
      <c r="J15" s="2677">
        <v>1.1100000000000001</v>
      </c>
      <c r="K15" s="2677">
        <v>1.77</v>
      </c>
      <c r="L15" s="2678">
        <v>1.89</v>
      </c>
      <c r="N15" s="2679">
        <f t="shared" si="37"/>
        <v>1.6299999999999999E-2</v>
      </c>
      <c r="O15" s="2680">
        <f t="shared" si="33"/>
        <v>1.11E-2</v>
      </c>
      <c r="P15" s="2680">
        <f t="shared" si="33"/>
        <v>1.77E-2</v>
      </c>
      <c r="Q15" s="2680">
        <f t="shared" si="33"/>
        <v>1.89E-2</v>
      </c>
      <c r="R15" s="2668"/>
      <c r="X15" s="2756">
        <f>ROUND(SUMPRODUCT(PRODUCT(1+N15:N$21)),4)</f>
        <v>1.0826</v>
      </c>
      <c r="Y15" s="2756">
        <f>ROUND(SUMPRODUCT(PRODUCT(1+O15:O$21)),4)</f>
        <v>1.0738000000000001</v>
      </c>
      <c r="Z15" s="2756">
        <f t="shared" si="0"/>
        <v>1.0738000000000001</v>
      </c>
      <c r="AA15" s="2756">
        <f>ROUND(SUMPRODUCT(PRODUCT(1+P15:P$21)),4)</f>
        <v>1.0855999999999999</v>
      </c>
      <c r="AB15" s="2756">
        <f>ROUND(SUMPRODUCT(PRODUCT(1+Q15:Q$21)),4)</f>
        <v>1.0837000000000001</v>
      </c>
      <c r="AD15" s="2676">
        <f>ROUND(AVERAGE(I15:I$22)/100,4)</f>
        <v>1.37E-2</v>
      </c>
      <c r="AE15" s="2676">
        <f>ROUND(AVERAGE(J15:J$22)/100,4)</f>
        <v>1.1900000000000001E-2</v>
      </c>
      <c r="AF15" s="2676">
        <f t="shared" si="1"/>
        <v>1.1900000000000001E-2</v>
      </c>
      <c r="AG15" s="2676">
        <f>ROUND(AVERAGE(K15:K$22)/100,4)</f>
        <v>1.4500000000000001E-2</v>
      </c>
      <c r="AH15" s="2676">
        <f>ROUND(AVERAGE(L15:L$22)/100,4)</f>
        <v>1.18E-2</v>
      </c>
    </row>
    <row r="16" spans="1:34">
      <c r="A16" s="2657" t="s">
        <v>966</v>
      </c>
      <c r="B16" s="2671">
        <f t="shared" ref="B16:C18" si="38">B15/(1+N15)</f>
        <v>327.65915576109415</v>
      </c>
      <c r="C16" s="2671">
        <f t="shared" si="38"/>
        <v>273.95905449510434</v>
      </c>
      <c r="D16" s="2671">
        <f t="shared" si="35"/>
        <v>273.95905449510434</v>
      </c>
      <c r="E16" s="2671">
        <f t="shared" ref="E16:F18" si="39">E15/(1+P15)</f>
        <v>451.01699911565294</v>
      </c>
      <c r="F16" s="2671">
        <f t="shared" si="39"/>
        <v>244.38119540681129</v>
      </c>
      <c r="G16" s="3464"/>
      <c r="H16" s="2682">
        <v>3</v>
      </c>
      <c r="I16" s="2682">
        <v>1.65</v>
      </c>
      <c r="J16" s="2682">
        <v>0.92</v>
      </c>
      <c r="K16" s="2682">
        <v>1.88</v>
      </c>
      <c r="L16" s="2683">
        <v>1.26</v>
      </c>
      <c r="N16" s="2666">
        <f t="shared" si="37"/>
        <v>1.6500000000000001E-2</v>
      </c>
      <c r="O16" s="2684">
        <f t="shared" si="33"/>
        <v>9.1999999999999998E-3</v>
      </c>
      <c r="P16" s="2684">
        <f t="shared" si="33"/>
        <v>1.8799999999999997E-2</v>
      </c>
      <c r="Q16" s="2684">
        <f t="shared" si="33"/>
        <v>1.26E-2</v>
      </c>
      <c r="R16" s="2668"/>
      <c r="S16" s="2666"/>
      <c r="T16" s="2667"/>
      <c r="U16" s="2667"/>
      <c r="V16" s="2667"/>
      <c r="X16" s="2756">
        <f>ROUND(SUMPRODUCT(PRODUCT(1+N16:N$21)),4)</f>
        <v>1.0651999999999999</v>
      </c>
      <c r="Y16" s="2756">
        <f>ROUND(SUMPRODUCT(PRODUCT(1+O16:O$21)),4)</f>
        <v>1.0621</v>
      </c>
      <c r="Z16" s="2756">
        <f t="shared" si="0"/>
        <v>1.0621</v>
      </c>
      <c r="AA16" s="2756">
        <f>ROUND(SUMPRODUCT(PRODUCT(1+P16:P$21)),4)</f>
        <v>1.0668</v>
      </c>
      <c r="AB16" s="2756">
        <f>ROUND(SUMPRODUCT(PRODUCT(1+Q16:Q$21)),4)</f>
        <v>1.0636000000000001</v>
      </c>
      <c r="AD16" s="2676">
        <f>ROUND(AVERAGE(I16:I$22)/100,4)</f>
        <v>1.3299999999999999E-2</v>
      </c>
      <c r="AE16" s="2676">
        <f>ROUND(AVERAGE(J16:J$22)/100,4)</f>
        <v>1.2E-2</v>
      </c>
      <c r="AF16" s="2676">
        <f t="shared" si="1"/>
        <v>1.2E-2</v>
      </c>
      <c r="AG16" s="2676">
        <f>ROUND(AVERAGE(K16:K$22)/100,4)</f>
        <v>1.4E-2</v>
      </c>
      <c r="AH16" s="2676">
        <f>ROUND(AVERAGE(L16:L$22)/100,4)</f>
        <v>1.0800000000000001E-2</v>
      </c>
    </row>
    <row r="17" spans="1:34">
      <c r="A17" s="2657" t="s">
        <v>965</v>
      </c>
      <c r="B17" s="2671">
        <f t="shared" si="38"/>
        <v>322.34053690220776</v>
      </c>
      <c r="C17" s="2671">
        <f t="shared" si="38"/>
        <v>271.46160770422546</v>
      </c>
      <c r="D17" s="2671">
        <f t="shared" si="35"/>
        <v>271.46160770422546</v>
      </c>
      <c r="E17" s="2671">
        <f t="shared" si="39"/>
        <v>442.69434542172456</v>
      </c>
      <c r="F17" s="2671">
        <f t="shared" si="39"/>
        <v>241.34030753190925</v>
      </c>
      <c r="G17" s="3464"/>
      <c r="H17" s="2662">
        <v>2</v>
      </c>
      <c r="I17" s="2662">
        <v>0.77</v>
      </c>
      <c r="J17" s="2662">
        <v>0.69</v>
      </c>
      <c r="K17" s="2662">
        <v>0.8</v>
      </c>
      <c r="L17" s="2673">
        <v>0.88</v>
      </c>
      <c r="N17" s="2666">
        <f t="shared" si="37"/>
        <v>7.7000000000000002E-3</v>
      </c>
      <c r="O17" s="2684">
        <f t="shared" si="33"/>
        <v>6.8999999999999999E-3</v>
      </c>
      <c r="P17" s="2684">
        <f t="shared" si="33"/>
        <v>8.0000000000000002E-3</v>
      </c>
      <c r="Q17" s="2684">
        <f t="shared" si="33"/>
        <v>8.8000000000000005E-3</v>
      </c>
      <c r="R17" s="2668"/>
      <c r="S17" s="2666"/>
      <c r="T17" s="2667"/>
      <c r="U17" s="2667"/>
      <c r="V17" s="2667"/>
      <c r="X17" s="2756">
        <f>ROUND(SUMPRODUCT(PRODUCT(1+N17:N$21)),4)</f>
        <v>1.048</v>
      </c>
      <c r="Y17" s="2756">
        <f>ROUND(SUMPRODUCT(PRODUCT(1+O17:O$21)),4)</f>
        <v>1.0524</v>
      </c>
      <c r="Z17" s="2756">
        <f t="shared" si="0"/>
        <v>1.0524</v>
      </c>
      <c r="AA17" s="2756">
        <f>ROUND(SUMPRODUCT(PRODUCT(1+P17:P$21)),4)</f>
        <v>1.0470999999999999</v>
      </c>
      <c r="AB17" s="2756">
        <f>ROUND(SUMPRODUCT(PRODUCT(1+Q17:Q$21)),4)</f>
        <v>1.0504</v>
      </c>
      <c r="AD17" s="2676">
        <f>ROUND(AVERAGE(I17:I$22)/100,4)</f>
        <v>1.2800000000000001E-2</v>
      </c>
      <c r="AE17" s="2676">
        <f>ROUND(AVERAGE(J17:J$22)/100,4)</f>
        <v>1.2500000000000001E-2</v>
      </c>
      <c r="AF17" s="2676">
        <f t="shared" si="1"/>
        <v>1.2500000000000001E-2</v>
      </c>
      <c r="AG17" s="2676">
        <f>ROUND(AVERAGE(K17:K$22)/100,4)</f>
        <v>1.32E-2</v>
      </c>
      <c r="AH17" s="2676">
        <f>ROUND(AVERAGE(L17:L$22)/100,4)</f>
        <v>1.0500000000000001E-2</v>
      </c>
    </row>
    <row r="18" spans="1:34">
      <c r="A18" s="2657" t="s">
        <v>964</v>
      </c>
      <c r="B18" s="2671">
        <f t="shared" si="38"/>
        <v>319.87748030386797</v>
      </c>
      <c r="C18" s="2671">
        <f t="shared" si="38"/>
        <v>269.60135833173649</v>
      </c>
      <c r="D18" s="2671">
        <f t="shared" si="35"/>
        <v>269.60135833173649</v>
      </c>
      <c r="E18" s="2671">
        <f t="shared" si="39"/>
        <v>439.18089823583784</v>
      </c>
      <c r="F18" s="2671">
        <f t="shared" si="39"/>
        <v>239.23503918706311</v>
      </c>
      <c r="G18" s="3465"/>
      <c r="H18" s="2661">
        <v>1</v>
      </c>
      <c r="I18" s="2661">
        <v>0.51</v>
      </c>
      <c r="J18" s="2661">
        <v>0.54</v>
      </c>
      <c r="K18" s="2661">
        <v>0.48</v>
      </c>
      <c r="L18" s="2672">
        <v>0.93</v>
      </c>
      <c r="N18" s="2674">
        <f t="shared" si="37"/>
        <v>5.1000000000000004E-3</v>
      </c>
      <c r="O18" s="2675">
        <f t="shared" si="33"/>
        <v>5.4000000000000003E-3</v>
      </c>
      <c r="P18" s="2675">
        <f t="shared" si="33"/>
        <v>4.7999999999999996E-3</v>
      </c>
      <c r="Q18" s="2675">
        <f t="shared" si="33"/>
        <v>9.300000000000001E-3</v>
      </c>
      <c r="R18" s="2668"/>
      <c r="S18" s="2674">
        <f>B18/B19-1</f>
        <v>5.9040261127922822E-3</v>
      </c>
      <c r="T18" s="2675">
        <f>C18/C19-1</f>
        <v>5.9752176557332781E-3</v>
      </c>
      <c r="U18" s="2675">
        <f>E18/E19-1</f>
        <v>4.9906138119859556E-3</v>
      </c>
      <c r="V18" s="2675">
        <f>F18/F19-1</f>
        <v>9.4305450930933787E-3</v>
      </c>
      <c r="X18" s="2756">
        <f>ROUND(SUMPRODUCT(PRODUCT(1+N18:N$21)),4)</f>
        <v>1.0399</v>
      </c>
      <c r="Y18" s="2756">
        <f>ROUND(SUMPRODUCT(PRODUCT(1+O18:O$21)),4)</f>
        <v>1.0451999999999999</v>
      </c>
      <c r="Z18" s="2756">
        <f t="shared" si="0"/>
        <v>1.0451999999999999</v>
      </c>
      <c r="AA18" s="2756">
        <f>ROUND(SUMPRODUCT(PRODUCT(1+P18:P$21)),4)</f>
        <v>1.0387999999999999</v>
      </c>
      <c r="AB18" s="2756">
        <f>ROUND(SUMPRODUCT(PRODUCT(1+Q18:Q$21)),4)</f>
        <v>1.0411999999999999</v>
      </c>
      <c r="AD18" s="2676">
        <f>ROUND(AVERAGE(I18:I$22)/100,4)</f>
        <v>1.38E-2</v>
      </c>
      <c r="AE18" s="2676">
        <f>ROUND(AVERAGE(J18:J$22)/100,4)</f>
        <v>1.3599999999999999E-2</v>
      </c>
      <c r="AF18" s="2676">
        <f t="shared" si="1"/>
        <v>1.3599999999999999E-2</v>
      </c>
      <c r="AG18" s="2676">
        <f>ROUND(AVERAGE(K18:K$22)/100,4)</f>
        <v>1.4200000000000001E-2</v>
      </c>
      <c r="AH18" s="2676">
        <f>ROUND(AVERAGE(L18:L$22)/100,4)</f>
        <v>1.0800000000000001E-2</v>
      </c>
    </row>
    <row r="19" spans="1:34" ht="13.5" thickBot="1">
      <c r="A19" s="2657" t="s">
        <v>963</v>
      </c>
      <c r="B19" s="2685">
        <v>318</v>
      </c>
      <c r="C19" s="2685">
        <v>268</v>
      </c>
      <c r="D19" s="2685">
        <f t="shared" si="35"/>
        <v>268</v>
      </c>
      <c r="E19" s="2685">
        <v>437</v>
      </c>
      <c r="F19" s="2686">
        <v>237</v>
      </c>
      <c r="G19" s="3463">
        <v>2014</v>
      </c>
      <c r="H19" s="2677">
        <v>4</v>
      </c>
      <c r="I19" s="2677">
        <v>0.21</v>
      </c>
      <c r="J19" s="2677">
        <v>0.41</v>
      </c>
      <c r="K19" s="2677">
        <v>0.12</v>
      </c>
      <c r="L19" s="2678">
        <v>0.89</v>
      </c>
      <c r="N19" s="2666">
        <f t="shared" si="37"/>
        <v>2.0999999999999999E-3</v>
      </c>
      <c r="O19" s="2667">
        <f t="shared" si="33"/>
        <v>4.0999999999999995E-3</v>
      </c>
      <c r="P19" s="2667">
        <f t="shared" si="33"/>
        <v>1.1999999999999999E-3</v>
      </c>
      <c r="Q19" s="2667">
        <f t="shared" si="33"/>
        <v>8.8999999999999999E-3</v>
      </c>
      <c r="R19" s="2668"/>
      <c r="S19" s="2669"/>
      <c r="T19" s="2670"/>
      <c r="U19" s="2670"/>
      <c r="V19" s="2670"/>
      <c r="X19" s="2756">
        <f>ROUND(SUMPRODUCT(PRODUCT(1+N19:N$21)),4)</f>
        <v>1.0347</v>
      </c>
      <c r="Y19" s="2756">
        <f>ROUND(SUMPRODUCT(PRODUCT(1+O19:O$21)),4)</f>
        <v>1.0395000000000001</v>
      </c>
      <c r="Z19" s="2756">
        <f t="shared" si="0"/>
        <v>1.0395000000000001</v>
      </c>
      <c r="AA19" s="2756">
        <f>ROUND(SUMPRODUCT(PRODUCT(1+P19:P$21)),4)</f>
        <v>1.0338000000000001</v>
      </c>
      <c r="AB19" s="2756">
        <f>ROUND(SUMPRODUCT(PRODUCT(1+Q19:Q$21)),4)</f>
        <v>1.0316000000000001</v>
      </c>
      <c r="AD19" s="2676">
        <f>ROUND(AVERAGE(I19:I$22)/100,4)</f>
        <v>1.6E-2</v>
      </c>
      <c r="AE19" s="2676">
        <f>ROUND(AVERAGE(J19:J$22)/100,4)</f>
        <v>1.5599999999999999E-2</v>
      </c>
      <c r="AF19" s="2676">
        <f t="shared" si="1"/>
        <v>1.5599999999999999E-2</v>
      </c>
      <c r="AG19" s="2676">
        <f>ROUND(AVERAGE(K19:K$22)/100,4)</f>
        <v>1.66E-2</v>
      </c>
      <c r="AH19" s="2676">
        <f>ROUND(AVERAGE(L19:L$22)/100,4)</f>
        <v>1.12E-2</v>
      </c>
    </row>
    <row r="20" spans="1:34">
      <c r="A20" s="2657" t="s">
        <v>962</v>
      </c>
      <c r="B20" s="2671">
        <f t="shared" ref="B20:C22" si="40">B19/(1+N19)</f>
        <v>317.33359944117353</v>
      </c>
      <c r="C20" s="2671">
        <f t="shared" si="40"/>
        <v>266.90568668459315</v>
      </c>
      <c r="D20" s="2671">
        <f t="shared" si="35"/>
        <v>266.90568668459315</v>
      </c>
      <c r="E20" s="2671">
        <f t="shared" ref="E20:F22" si="41">E19/(1+P19)</f>
        <v>436.47622852576905</v>
      </c>
      <c r="F20" s="2671">
        <f t="shared" si="41"/>
        <v>234.90930716622066</v>
      </c>
      <c r="G20" s="3464"/>
      <c r="H20" s="2687">
        <v>3</v>
      </c>
      <c r="I20" s="2687">
        <v>0.83</v>
      </c>
      <c r="J20" s="2687">
        <v>1.47</v>
      </c>
      <c r="K20" s="2687">
        <v>0.65</v>
      </c>
      <c r="L20" s="2688">
        <v>0.72</v>
      </c>
      <c r="N20" s="2666">
        <f t="shared" si="37"/>
        <v>8.3000000000000001E-3</v>
      </c>
      <c r="O20" s="2667">
        <f t="shared" si="33"/>
        <v>1.47E-2</v>
      </c>
      <c r="P20" s="2667">
        <f t="shared" si="33"/>
        <v>6.5000000000000006E-3</v>
      </c>
      <c r="Q20" s="2667">
        <f t="shared" si="33"/>
        <v>7.1999999999999998E-3</v>
      </c>
      <c r="R20" s="2668"/>
      <c r="S20" s="2666"/>
      <c r="T20" s="2667"/>
      <c r="U20" s="2667"/>
      <c r="V20" s="2667"/>
      <c r="X20" s="2756">
        <f>ROUND(SUMPRODUCT(PRODUCT(1+N20:N$21)),4)</f>
        <v>1.0325</v>
      </c>
      <c r="Y20" s="2756">
        <f>ROUND(SUMPRODUCT(PRODUCT(1+O20:O$21)),4)</f>
        <v>1.0353000000000001</v>
      </c>
      <c r="Z20" s="2756">
        <f t="shared" ref="Z20:Z21" si="42">Y20</f>
        <v>1.0353000000000001</v>
      </c>
      <c r="AA20" s="2756">
        <f>ROUND(SUMPRODUCT(PRODUCT(1+P20:P$21)),4)</f>
        <v>1.0326</v>
      </c>
      <c r="AB20" s="2756">
        <f>ROUND(SUMPRODUCT(PRODUCT(1+Q20:Q$21)),4)</f>
        <v>1.0225</v>
      </c>
      <c r="AD20" s="2676">
        <f>ROUND(AVERAGE(I20:I$22)/100,4)</f>
        <v>2.07E-2</v>
      </c>
      <c r="AE20" s="2676">
        <f>ROUND(AVERAGE(J20:J$22)/100,4)</f>
        <v>1.95E-2</v>
      </c>
      <c r="AF20" s="2676">
        <f t="shared" si="1"/>
        <v>1.95E-2</v>
      </c>
      <c r="AG20" s="2676">
        <f>ROUND(AVERAGE(K20:K$22)/100,4)</f>
        <v>2.1700000000000001E-2</v>
      </c>
      <c r="AH20" s="2676">
        <f>ROUND(AVERAGE(L20:L$22)/100,4)</f>
        <v>1.2E-2</v>
      </c>
    </row>
    <row r="21" spans="1:34" ht="13.5" thickBot="1">
      <c r="A21" s="2657" t="s">
        <v>961</v>
      </c>
      <c r="B21" s="2671">
        <f t="shared" si="40"/>
        <v>314.72141172386546</v>
      </c>
      <c r="C21" s="2671">
        <f t="shared" si="40"/>
        <v>263.03901319069001</v>
      </c>
      <c r="D21" s="2671">
        <f t="shared" si="35"/>
        <v>263.03901319069001</v>
      </c>
      <c r="E21" s="2671">
        <f t="shared" si="41"/>
        <v>433.65745506782821</v>
      </c>
      <c r="F21" s="2671">
        <f t="shared" si="41"/>
        <v>233.23005080045735</v>
      </c>
      <c r="G21" s="3464"/>
      <c r="H21" s="2677">
        <v>2</v>
      </c>
      <c r="I21" s="2677">
        <v>2.4</v>
      </c>
      <c r="J21" s="2677">
        <v>2.0299999999999998</v>
      </c>
      <c r="K21" s="2677">
        <v>2.59</v>
      </c>
      <c r="L21" s="2678">
        <v>1.52</v>
      </c>
      <c r="N21" s="2666">
        <f t="shared" si="37"/>
        <v>2.4E-2</v>
      </c>
      <c r="O21" s="2667">
        <f t="shared" si="33"/>
        <v>2.0299999999999999E-2</v>
      </c>
      <c r="P21" s="2667">
        <f t="shared" si="33"/>
        <v>2.5899999999999999E-2</v>
      </c>
      <c r="Q21" s="2667">
        <f t="shared" si="33"/>
        <v>1.52E-2</v>
      </c>
      <c r="R21" s="2668"/>
      <c r="S21" s="2666"/>
      <c r="T21" s="2667"/>
      <c r="U21" s="2667"/>
      <c r="V21" s="2667"/>
      <c r="X21" s="2756">
        <f>1+N21</f>
        <v>1.024</v>
      </c>
      <c r="Y21" s="2756">
        <f>1+O21</f>
        <v>1.0203</v>
      </c>
      <c r="Z21" s="2756">
        <f t="shared" si="42"/>
        <v>1.0203</v>
      </c>
      <c r="AA21" s="2756">
        <f>1+P21</f>
        <v>1.0259</v>
      </c>
      <c r="AB21" s="2756">
        <f>1+Q21</f>
        <v>1.0152000000000001</v>
      </c>
      <c r="AD21" s="2676">
        <f>ROUND(AVERAGE(I21:I$22)/100,4)</f>
        <v>2.69E-2</v>
      </c>
      <c r="AE21" s="2676">
        <f>ROUND(AVERAGE(J21:J$22)/100,4)</f>
        <v>2.1899999999999999E-2</v>
      </c>
      <c r="AF21" s="2676">
        <f t="shared" ref="AF21" si="43">AE21</f>
        <v>2.1899999999999999E-2</v>
      </c>
      <c r="AG21" s="2676">
        <f>ROUND(AVERAGE(K21:K$22)/100,4)</f>
        <v>2.9399999999999999E-2</v>
      </c>
      <c r="AH21" s="2676">
        <f>ROUND(AVERAGE(L21:L$22)/100,4)</f>
        <v>1.44E-2</v>
      </c>
    </row>
    <row r="22" spans="1:34" s="2693" customFormat="1" ht="13.5" thickBot="1">
      <c r="A22" s="2689" t="s">
        <v>960</v>
      </c>
      <c r="B22" s="2690">
        <f t="shared" si="40"/>
        <v>307.34512863658733</v>
      </c>
      <c r="C22" s="2690">
        <f t="shared" si="40"/>
        <v>257.80556031626975</v>
      </c>
      <c r="D22" s="2690">
        <f t="shared" si="35"/>
        <v>257.80556031626975</v>
      </c>
      <c r="E22" s="2690">
        <f t="shared" si="41"/>
        <v>422.70928459677179</v>
      </c>
      <c r="F22" s="2690">
        <f t="shared" si="41"/>
        <v>229.73803270336617</v>
      </c>
      <c r="G22" s="3465"/>
      <c r="H22" s="2691">
        <v>1</v>
      </c>
      <c r="I22" s="2691">
        <v>2.97</v>
      </c>
      <c r="J22" s="2691">
        <v>2.34</v>
      </c>
      <c r="K22" s="2691">
        <v>3.28</v>
      </c>
      <c r="L22" s="2692">
        <v>1.36</v>
      </c>
      <c r="N22" s="2694">
        <f t="shared" si="37"/>
        <v>2.9700000000000001E-2</v>
      </c>
      <c r="O22" s="2695">
        <f t="shared" si="33"/>
        <v>2.3399999999999997E-2</v>
      </c>
      <c r="P22" s="2695">
        <f t="shared" si="33"/>
        <v>3.2799999999999996E-2</v>
      </c>
      <c r="Q22" s="2695">
        <f t="shared" si="33"/>
        <v>1.3600000000000001E-2</v>
      </c>
      <c r="R22" s="2696"/>
      <c r="S22" s="2697">
        <f>B22/B23-1</f>
        <v>2.7910129219355539E-2</v>
      </c>
      <c r="T22" s="2698">
        <f>C22/C23-1</f>
        <v>2.3037937762975247E-2</v>
      </c>
      <c r="U22" s="2698">
        <f>E22/E23-1</f>
        <v>3.3519033243940788E-2</v>
      </c>
      <c r="V22" s="2698">
        <f>F22/F23-1</f>
        <v>1.2061818076502862E-2</v>
      </c>
      <c r="W22" s="2765" t="s">
        <v>2642</v>
      </c>
      <c r="X22" s="2767">
        <v>1</v>
      </c>
      <c r="Y22" s="2767">
        <v>1</v>
      </c>
      <c r="Z22" s="2767">
        <v>1</v>
      </c>
      <c r="AA22" s="2767">
        <v>1</v>
      </c>
      <c r="AB22" s="2767">
        <v>1</v>
      </c>
      <c r="AD22" s="3011">
        <f>I22/100</f>
        <v>2.9700000000000001E-2</v>
      </c>
      <c r="AE22" s="3011">
        <f>J22/100</f>
        <v>2.3399999999999997E-2</v>
      </c>
      <c r="AF22" s="3011">
        <f>AE22</f>
        <v>2.3399999999999997E-2</v>
      </c>
      <c r="AG22" s="3011">
        <f>K22/100</f>
        <v>3.2799999999999996E-2</v>
      </c>
      <c r="AH22" s="3011">
        <f>L22/100</f>
        <v>1.3600000000000001E-2</v>
      </c>
    </row>
    <row r="23" spans="1:34" ht="13.5" thickBot="1">
      <c r="A23" s="2657" t="s">
        <v>2585</v>
      </c>
      <c r="B23" s="2663">
        <v>299</v>
      </c>
      <c r="C23" s="2663">
        <v>252</v>
      </c>
      <c r="D23" s="2663">
        <f t="shared" si="35"/>
        <v>252</v>
      </c>
      <c r="E23" s="2663">
        <v>409</v>
      </c>
      <c r="F23" s="2664">
        <v>227</v>
      </c>
      <c r="G23" s="3470">
        <v>2013</v>
      </c>
      <c r="H23" s="2699">
        <v>4</v>
      </c>
      <c r="I23" s="2699">
        <v>1.83</v>
      </c>
      <c r="J23" s="2699">
        <v>1.68</v>
      </c>
      <c r="K23" s="2699">
        <v>1.97</v>
      </c>
      <c r="L23" s="2700">
        <v>0.87</v>
      </c>
      <c r="N23" s="2679">
        <f t="shared" si="37"/>
        <v>1.83E-2</v>
      </c>
      <c r="O23" s="2680">
        <f t="shared" si="33"/>
        <v>1.6799999999999999E-2</v>
      </c>
      <c r="P23" s="2680">
        <f t="shared" si="33"/>
        <v>1.9699999999999999E-2</v>
      </c>
      <c r="Q23" s="2680">
        <f t="shared" si="33"/>
        <v>8.6999999999999994E-3</v>
      </c>
      <c r="R23" s="2668"/>
      <c r="S23" s="2669"/>
      <c r="T23" s="2670"/>
      <c r="U23" s="2670"/>
      <c r="V23" s="2670"/>
      <c r="X23" s="2670"/>
      <c r="Y23" s="2670"/>
      <c r="Z23" s="2670"/>
    </row>
    <row r="24" spans="1:34">
      <c r="A24" s="2657" t="s">
        <v>2586</v>
      </c>
      <c r="B24" s="2671">
        <f t="shared" ref="B24:C26" si="44">B23/(1+N23)</f>
        <v>293.62663262299913</v>
      </c>
      <c r="C24" s="2671">
        <f t="shared" si="44"/>
        <v>247.83634933123525</v>
      </c>
      <c r="D24" s="2671">
        <f t="shared" si="35"/>
        <v>247.83634933123525</v>
      </c>
      <c r="E24" s="2671">
        <f t="shared" ref="E24:F26" si="45">E23/(1+P23)</f>
        <v>401.09836226341076</v>
      </c>
      <c r="F24" s="2671">
        <f t="shared" si="45"/>
        <v>225.04213343908003</v>
      </c>
      <c r="G24" s="3471"/>
      <c r="H24" s="2682">
        <v>3</v>
      </c>
      <c r="I24" s="2682">
        <v>1.86</v>
      </c>
      <c r="J24" s="2682">
        <v>1.72</v>
      </c>
      <c r="K24" s="2682">
        <v>1.98</v>
      </c>
      <c r="L24" s="2683">
        <v>0.88</v>
      </c>
      <c r="N24" s="2666">
        <f t="shared" si="37"/>
        <v>1.8600000000000002E-2</v>
      </c>
      <c r="O24" s="2684">
        <f t="shared" si="33"/>
        <v>1.72E-2</v>
      </c>
      <c r="P24" s="2684">
        <f t="shared" si="33"/>
        <v>1.9799999999999998E-2</v>
      </c>
      <c r="Q24" s="2684">
        <f t="shared" si="33"/>
        <v>8.8000000000000005E-3</v>
      </c>
      <c r="R24" s="2668"/>
      <c r="S24" s="2666"/>
      <c r="T24" s="2667"/>
      <c r="U24" s="2667"/>
      <c r="V24" s="2667"/>
    </row>
    <row r="25" spans="1:34">
      <c r="A25" s="2657" t="s">
        <v>2587</v>
      </c>
      <c r="B25" s="2671">
        <f t="shared" si="44"/>
        <v>288.2649053828776</v>
      </c>
      <c r="C25" s="2671">
        <f t="shared" si="44"/>
        <v>243.64564425013293</v>
      </c>
      <c r="D25" s="2671">
        <f t="shared" si="35"/>
        <v>243.64564425013293</v>
      </c>
      <c r="E25" s="2671">
        <f t="shared" si="45"/>
        <v>393.31080825986544</v>
      </c>
      <c r="F25" s="2671">
        <f t="shared" si="45"/>
        <v>223.07903790551154</v>
      </c>
      <c r="G25" s="3471"/>
      <c r="H25" s="2662">
        <v>2</v>
      </c>
      <c r="I25" s="2662">
        <v>2.04</v>
      </c>
      <c r="J25" s="2662">
        <v>2.33</v>
      </c>
      <c r="K25" s="2662">
        <v>2.0699999999999998</v>
      </c>
      <c r="L25" s="2673">
        <v>0.69</v>
      </c>
      <c r="N25" s="2666">
        <f t="shared" si="37"/>
        <v>2.0400000000000001E-2</v>
      </c>
      <c r="O25" s="2684">
        <f t="shared" si="33"/>
        <v>2.3300000000000001E-2</v>
      </c>
      <c r="P25" s="2684">
        <f t="shared" si="33"/>
        <v>2.07E-2</v>
      </c>
      <c r="Q25" s="2684">
        <f t="shared" si="33"/>
        <v>6.8999999999999999E-3</v>
      </c>
      <c r="R25" s="2668"/>
      <c r="S25" s="2666"/>
      <c r="T25" s="2667"/>
      <c r="U25" s="2667"/>
      <c r="V25" s="2667"/>
      <c r="X25" s="2768"/>
      <c r="Y25" s="2770"/>
    </row>
    <row r="26" spans="1:34">
      <c r="A26" s="2657" t="s">
        <v>2588</v>
      </c>
      <c r="B26" s="2671">
        <f t="shared" si="44"/>
        <v>282.50186729015837</v>
      </c>
      <c r="C26" s="2671">
        <f t="shared" si="44"/>
        <v>238.09796174155468</v>
      </c>
      <c r="D26" s="2671">
        <f t="shared" si="35"/>
        <v>238.09796174155468</v>
      </c>
      <c r="E26" s="2671">
        <f t="shared" si="45"/>
        <v>385.33438646014054</v>
      </c>
      <c r="F26" s="2671">
        <f t="shared" si="45"/>
        <v>221.55034055567739</v>
      </c>
      <c r="G26" s="3472"/>
      <c r="H26" s="2661">
        <v>1</v>
      </c>
      <c r="I26" s="2661">
        <v>1.67</v>
      </c>
      <c r="J26" s="2661">
        <v>1.31</v>
      </c>
      <c r="K26" s="2661">
        <v>1.85</v>
      </c>
      <c r="L26" s="2672">
        <v>0.96</v>
      </c>
      <c r="N26" s="2674">
        <f t="shared" si="37"/>
        <v>1.67E-2</v>
      </c>
      <c r="O26" s="2675">
        <f t="shared" si="33"/>
        <v>1.3100000000000001E-2</v>
      </c>
      <c r="P26" s="2675">
        <f t="shared" si="33"/>
        <v>1.8500000000000003E-2</v>
      </c>
      <c r="Q26" s="2675">
        <f t="shared" si="33"/>
        <v>9.5999999999999992E-3</v>
      </c>
      <c r="R26" s="2668"/>
      <c r="S26" s="2674">
        <f>B26/B27-1</f>
        <v>1.6193767230785472E-2</v>
      </c>
      <c r="T26" s="2675">
        <f>C26/C27-1</f>
        <v>1.7512657015190891E-2</v>
      </c>
      <c r="U26" s="2675">
        <f>E26/E27-1</f>
        <v>1.6713420739157048E-2</v>
      </c>
      <c r="V26" s="2675">
        <f>F26/F27-1</f>
        <v>7.0470025258062563E-3</v>
      </c>
      <c r="X26" s="2769"/>
      <c r="Y26" s="2676"/>
      <c r="Z26" s="2676"/>
    </row>
    <row r="27" spans="1:34" ht="13.5" thickBot="1">
      <c r="A27" s="2657" t="s">
        <v>2589</v>
      </c>
      <c r="B27" s="2701">
        <v>278</v>
      </c>
      <c r="C27" s="2701">
        <v>234</v>
      </c>
      <c r="D27" s="2701">
        <f t="shared" si="35"/>
        <v>234</v>
      </c>
      <c r="E27" s="2701">
        <v>379</v>
      </c>
      <c r="F27" s="2702">
        <v>220</v>
      </c>
      <c r="G27" s="3463">
        <v>2012</v>
      </c>
      <c r="H27" s="2677">
        <v>4</v>
      </c>
      <c r="I27" s="2677">
        <v>0.91</v>
      </c>
      <c r="J27" s="2677">
        <v>0.68</v>
      </c>
      <c r="K27" s="2677">
        <v>0.98</v>
      </c>
      <c r="L27" s="2678">
        <v>0.9</v>
      </c>
      <c r="N27" s="2666">
        <f t="shared" si="37"/>
        <v>9.1000000000000004E-3</v>
      </c>
      <c r="O27" s="2667">
        <f t="shared" si="37"/>
        <v>6.8000000000000005E-3</v>
      </c>
      <c r="P27" s="2667">
        <f t="shared" si="37"/>
        <v>9.7999999999999997E-3</v>
      </c>
      <c r="Q27" s="2667">
        <f t="shared" si="37"/>
        <v>9.0000000000000011E-3</v>
      </c>
      <c r="R27" s="2668"/>
      <c r="S27" s="2669"/>
      <c r="T27" s="2670"/>
      <c r="U27" s="2670"/>
      <c r="V27" s="2670"/>
      <c r="X27" s="2670"/>
      <c r="Y27" s="2670"/>
      <c r="Z27" s="2670"/>
    </row>
    <row r="28" spans="1:34">
      <c r="A28" s="2657" t="s">
        <v>2590</v>
      </c>
      <c r="B28" s="2671">
        <f>B27/(1+N27)</f>
        <v>275.49301357645425</v>
      </c>
      <c r="C28" s="2671">
        <f>C27/(1+O27)</f>
        <v>232.41954707985698</v>
      </c>
      <c r="D28" s="2671">
        <f t="shared" si="35"/>
        <v>232.41954707985698</v>
      </c>
      <c r="E28" s="2671">
        <f t="shared" ref="E28:F30" si="46">E27/(1+P27)</f>
        <v>375.32184591008121</v>
      </c>
      <c r="F28" s="2671">
        <f t="shared" si="46"/>
        <v>218.03766105054513</v>
      </c>
      <c r="G28" s="3464"/>
      <c r="H28" s="2682">
        <v>3</v>
      </c>
      <c r="I28" s="2682">
        <v>0.09</v>
      </c>
      <c r="J28" s="2682">
        <v>0.28999999999999998</v>
      </c>
      <c r="K28" s="2682">
        <v>-0.01</v>
      </c>
      <c r="L28" s="2683">
        <v>0.57999999999999996</v>
      </c>
      <c r="N28" s="2666">
        <f t="shared" si="37"/>
        <v>8.9999999999999998E-4</v>
      </c>
      <c r="O28" s="2667">
        <f t="shared" si="37"/>
        <v>2.8999999999999998E-3</v>
      </c>
      <c r="P28" s="2667">
        <f t="shared" si="37"/>
        <v>-1E-4</v>
      </c>
      <c r="Q28" s="2667">
        <f t="shared" si="37"/>
        <v>5.7999999999999996E-3</v>
      </c>
      <c r="R28" s="2668"/>
      <c r="S28" s="2666"/>
      <c r="T28" s="2667"/>
      <c r="U28" s="2667"/>
      <c r="V28" s="2667"/>
    </row>
    <row r="29" spans="1:34">
      <c r="A29" s="2657" t="s">
        <v>2591</v>
      </c>
      <c r="B29" s="2671">
        <f>B28/(1+N28)</f>
        <v>275.24529281292263</v>
      </c>
      <c r="C29" s="2671">
        <f>C28/(1+O28)</f>
        <v>231.74747938962707</v>
      </c>
      <c r="D29" s="2671">
        <f t="shared" si="35"/>
        <v>231.74747938962707</v>
      </c>
      <c r="E29" s="2671">
        <f t="shared" si="46"/>
        <v>375.35938184826603</v>
      </c>
      <c r="F29" s="2671">
        <f t="shared" si="46"/>
        <v>216.78033510692495</v>
      </c>
      <c r="G29" s="3464"/>
      <c r="H29" s="2662">
        <v>2</v>
      </c>
      <c r="I29" s="2662">
        <v>0.02</v>
      </c>
      <c r="J29" s="2662">
        <v>0.12</v>
      </c>
      <c r="K29" s="2662">
        <v>-0.08</v>
      </c>
      <c r="L29" s="2673">
        <v>1.24</v>
      </c>
      <c r="N29" s="2666">
        <f t="shared" si="37"/>
        <v>2.0000000000000001E-4</v>
      </c>
      <c r="O29" s="2667">
        <f t="shared" si="37"/>
        <v>1.1999999999999999E-3</v>
      </c>
      <c r="P29" s="2667">
        <f t="shared" si="37"/>
        <v>-8.0000000000000004E-4</v>
      </c>
      <c r="Q29" s="2667">
        <f t="shared" si="37"/>
        <v>1.24E-2</v>
      </c>
      <c r="R29" s="2668"/>
      <c r="S29" s="2666"/>
      <c r="T29" s="2667"/>
      <c r="U29" s="2667"/>
      <c r="V29" s="2667"/>
    </row>
    <row r="30" spans="1:34" ht="13.5" thickBot="1">
      <c r="A30" s="2657" t="s">
        <v>2592</v>
      </c>
      <c r="B30" s="2671">
        <f>B29/(1+N29)</f>
        <v>275.19025476197027</v>
      </c>
      <c r="C30" s="2703">
        <v>232</v>
      </c>
      <c r="D30" s="2703">
        <f t="shared" si="35"/>
        <v>232</v>
      </c>
      <c r="E30" s="2671">
        <f t="shared" si="46"/>
        <v>375.65990977608692</v>
      </c>
      <c r="F30" s="2671">
        <f t="shared" si="46"/>
        <v>214.12518283971252</v>
      </c>
      <c r="G30" s="3465"/>
      <c r="H30" s="2661">
        <v>1</v>
      </c>
      <c r="I30" s="2661">
        <v>0.02</v>
      </c>
      <c r="J30" s="2661">
        <v>0.13</v>
      </c>
      <c r="K30" s="2661">
        <v>-0.04</v>
      </c>
      <c r="L30" s="2672">
        <v>0.46</v>
      </c>
      <c r="N30" s="2666">
        <f t="shared" si="37"/>
        <v>2.0000000000000001E-4</v>
      </c>
      <c r="O30" s="2667">
        <f t="shared" si="37"/>
        <v>1.2999999999999999E-3</v>
      </c>
      <c r="P30" s="2667">
        <f t="shared" si="37"/>
        <v>-4.0000000000000002E-4</v>
      </c>
      <c r="Q30" s="2667">
        <f t="shared" si="37"/>
        <v>4.5999999999999999E-3</v>
      </c>
      <c r="R30" s="2668"/>
      <c r="S30" s="2674">
        <f>B30/B31-1</f>
        <v>6.9183549807361189E-4</v>
      </c>
      <c r="T30" s="2675">
        <f>C30/C31-1</f>
        <v>0</v>
      </c>
      <c r="U30" s="2675">
        <f>E30/E31-1</f>
        <v>-9.0449527636460303E-4</v>
      </c>
      <c r="V30" s="2675">
        <f>F30/F31-1</f>
        <v>5.2825485432512753E-3</v>
      </c>
      <c r="X30" s="2676"/>
      <c r="Y30" s="2676"/>
      <c r="Z30" s="2676"/>
    </row>
    <row r="31" spans="1:34" ht="13.5" thickBot="1">
      <c r="A31" s="2657" t="s">
        <v>2593</v>
      </c>
      <c r="B31" s="2663">
        <v>275</v>
      </c>
      <c r="C31" s="2663">
        <v>232</v>
      </c>
      <c r="D31" s="2663">
        <f t="shared" si="35"/>
        <v>232</v>
      </c>
      <c r="E31" s="2663">
        <v>376</v>
      </c>
      <c r="F31" s="2664">
        <v>213</v>
      </c>
      <c r="G31" s="3463">
        <v>2011</v>
      </c>
      <c r="H31" s="2677">
        <v>4</v>
      </c>
      <c r="I31" s="2677">
        <v>-0.2</v>
      </c>
      <c r="J31" s="2677">
        <v>0.04</v>
      </c>
      <c r="K31" s="2677">
        <v>-0.34</v>
      </c>
      <c r="L31" s="2678">
        <v>0.46</v>
      </c>
      <c r="N31" s="2679">
        <f t="shared" si="37"/>
        <v>-2E-3</v>
      </c>
      <c r="O31" s="2680">
        <f t="shared" si="37"/>
        <v>4.0000000000000002E-4</v>
      </c>
      <c r="P31" s="2680">
        <f t="shared" si="37"/>
        <v>-3.4000000000000002E-3</v>
      </c>
      <c r="Q31" s="2680">
        <f t="shared" si="37"/>
        <v>4.5999999999999999E-3</v>
      </c>
      <c r="R31" s="2668"/>
      <c r="S31" s="2669"/>
      <c r="T31" s="2670"/>
      <c r="U31" s="2670"/>
      <c r="V31" s="2670"/>
      <c r="X31" s="2670"/>
      <c r="Y31" s="2670"/>
      <c r="Z31" s="2670"/>
    </row>
    <row r="32" spans="1:34">
      <c r="A32" s="2657" t="s">
        <v>2594</v>
      </c>
      <c r="B32" s="2671">
        <f t="shared" ref="B32:C34" si="47">B31/(1+N31)</f>
        <v>275.55110220440883</v>
      </c>
      <c r="C32" s="2671">
        <f t="shared" si="47"/>
        <v>231.90723710515795</v>
      </c>
      <c r="D32" s="2671">
        <f t="shared" si="35"/>
        <v>231.90723710515795</v>
      </c>
      <c r="E32" s="2671">
        <f t="shared" ref="E32:F34" si="48">E31/(1+P31)</f>
        <v>377.28276138872161</v>
      </c>
      <c r="F32" s="2671">
        <f t="shared" si="48"/>
        <v>212.02468644236512</v>
      </c>
      <c r="G32" s="3464">
        <v>2011</v>
      </c>
      <c r="H32" s="2682">
        <v>3</v>
      </c>
      <c r="I32" s="2682">
        <v>0.13</v>
      </c>
      <c r="J32" s="2682">
        <v>0.75</v>
      </c>
      <c r="K32" s="2682">
        <v>-0.08</v>
      </c>
      <c r="L32" s="2683">
        <v>0.53</v>
      </c>
      <c r="N32" s="2666">
        <f t="shared" si="37"/>
        <v>1.2999999999999999E-3</v>
      </c>
      <c r="O32" s="2684">
        <f t="shared" si="37"/>
        <v>7.4999999999999997E-3</v>
      </c>
      <c r="P32" s="2684">
        <f t="shared" si="37"/>
        <v>-8.0000000000000004E-4</v>
      </c>
      <c r="Q32" s="2684">
        <f t="shared" si="37"/>
        <v>5.3E-3</v>
      </c>
      <c r="R32" s="2668"/>
      <c r="S32" s="2666"/>
      <c r="T32" s="2667"/>
      <c r="U32" s="2667"/>
      <c r="V32" s="2667"/>
    </row>
    <row r="33" spans="1:26">
      <c r="A33" s="2657" t="s">
        <v>2595</v>
      </c>
      <c r="B33" s="2671">
        <f t="shared" si="47"/>
        <v>275.19335084830601</v>
      </c>
      <c r="C33" s="2671">
        <f t="shared" si="47"/>
        <v>230.18088050139744</v>
      </c>
      <c r="D33" s="2671">
        <f t="shared" si="35"/>
        <v>230.18088050139744</v>
      </c>
      <c r="E33" s="2671">
        <f t="shared" si="48"/>
        <v>377.58482925212331</v>
      </c>
      <c r="F33" s="2671">
        <f t="shared" si="48"/>
        <v>210.90687997847917</v>
      </c>
      <c r="G33" s="3464">
        <v>2011</v>
      </c>
      <c r="H33" s="2662">
        <v>2</v>
      </c>
      <c r="I33" s="2662">
        <v>-0.4</v>
      </c>
      <c r="J33" s="2662">
        <v>0.17</v>
      </c>
      <c r="K33" s="2662">
        <v>-0.57999999999999996</v>
      </c>
      <c r="L33" s="2673">
        <v>-0.2</v>
      </c>
      <c r="N33" s="2666">
        <f t="shared" si="37"/>
        <v>-4.0000000000000001E-3</v>
      </c>
      <c r="O33" s="2684">
        <f t="shared" si="37"/>
        <v>1.7000000000000001E-3</v>
      </c>
      <c r="P33" s="2684">
        <f t="shared" si="37"/>
        <v>-5.7999999999999996E-3</v>
      </c>
      <c r="Q33" s="2684">
        <f t="shared" si="37"/>
        <v>-2E-3</v>
      </c>
      <c r="R33" s="2668"/>
      <c r="S33" s="2666"/>
      <c r="T33" s="2667"/>
      <c r="U33" s="2667"/>
      <c r="V33" s="2667"/>
    </row>
    <row r="34" spans="1:26" ht="13.5" thickBot="1">
      <c r="A34" s="2657" t="s">
        <v>2596</v>
      </c>
      <c r="B34" s="2671">
        <f t="shared" si="47"/>
        <v>276.29854502841971</v>
      </c>
      <c r="C34" s="2671">
        <f t="shared" si="47"/>
        <v>229.79023709833027</v>
      </c>
      <c r="D34" s="2671">
        <f t="shared" si="35"/>
        <v>229.79023709833027</v>
      </c>
      <c r="E34" s="2671">
        <f t="shared" si="48"/>
        <v>379.78759731655936</v>
      </c>
      <c r="F34" s="2671">
        <f t="shared" si="48"/>
        <v>211.32953905659235</v>
      </c>
      <c r="G34" s="3465">
        <v>2011</v>
      </c>
      <c r="H34" s="2661">
        <v>1</v>
      </c>
      <c r="I34" s="2661">
        <v>2.65</v>
      </c>
      <c r="J34" s="2661">
        <v>3.76</v>
      </c>
      <c r="K34" s="2661">
        <v>1.89</v>
      </c>
      <c r="L34" s="2672">
        <v>7.95</v>
      </c>
      <c r="N34" s="2674">
        <f t="shared" si="37"/>
        <v>2.6499999999999999E-2</v>
      </c>
      <c r="O34" s="2675">
        <f t="shared" si="37"/>
        <v>3.7599999999999995E-2</v>
      </c>
      <c r="P34" s="2675">
        <f t="shared" si="37"/>
        <v>1.89E-2</v>
      </c>
      <c r="Q34" s="2675">
        <f t="shared" si="37"/>
        <v>7.9500000000000001E-2</v>
      </c>
      <c r="R34" s="2668"/>
      <c r="S34" s="2674">
        <f>B34/B35-1</f>
        <v>2.713213765211786E-2</v>
      </c>
      <c r="T34" s="2675">
        <f>C34/C35-1</f>
        <v>3.9774828499231862E-2</v>
      </c>
      <c r="U34" s="2675">
        <f>E34/E35-1</f>
        <v>1.8197311840641772E-2</v>
      </c>
      <c r="V34" s="2675">
        <f>F34/F35-1</f>
        <v>7.8211933962205826E-2</v>
      </c>
      <c r="X34" s="2676"/>
      <c r="Y34" s="2676"/>
      <c r="Z34" s="2676"/>
    </row>
    <row r="35" spans="1:26" ht="13.5" thickBot="1">
      <c r="A35" s="2657" t="s">
        <v>2597</v>
      </c>
      <c r="B35" s="2663">
        <v>269</v>
      </c>
      <c r="C35" s="2663">
        <v>221</v>
      </c>
      <c r="D35" s="2663">
        <f t="shared" si="35"/>
        <v>221</v>
      </c>
      <c r="E35" s="2663">
        <v>373</v>
      </c>
      <c r="F35" s="2664">
        <v>196</v>
      </c>
      <c r="G35" s="3463">
        <v>2010</v>
      </c>
      <c r="H35" s="2677">
        <v>4</v>
      </c>
      <c r="I35" s="2677">
        <v>5.72</v>
      </c>
      <c r="J35" s="2677">
        <v>6.57</v>
      </c>
      <c r="K35" s="2677">
        <v>5.72</v>
      </c>
      <c r="L35" s="2678">
        <v>2.72</v>
      </c>
      <c r="N35" s="2666">
        <f t="shared" si="37"/>
        <v>5.7200000000000001E-2</v>
      </c>
      <c r="O35" s="2667">
        <f t="shared" si="37"/>
        <v>6.5700000000000008E-2</v>
      </c>
      <c r="P35" s="2667">
        <f t="shared" si="37"/>
        <v>5.7200000000000001E-2</v>
      </c>
      <c r="Q35" s="2667">
        <f t="shared" si="37"/>
        <v>2.7200000000000002E-2</v>
      </c>
      <c r="R35" s="2668"/>
      <c r="S35" s="2669"/>
      <c r="T35" s="2670"/>
      <c r="U35" s="2670"/>
      <c r="V35" s="2670"/>
      <c r="X35" s="2670"/>
      <c r="Y35" s="2670"/>
      <c r="Z35" s="2670"/>
    </row>
    <row r="36" spans="1:26">
      <c r="A36" s="2657" t="s">
        <v>2598</v>
      </c>
      <c r="B36" s="2671">
        <f t="shared" ref="B36:C38" si="49">B35/(1+N35)</f>
        <v>254.44570563753314</v>
      </c>
      <c r="C36" s="2671">
        <f t="shared" si="49"/>
        <v>207.37543398705074</v>
      </c>
      <c r="D36" s="2671">
        <f t="shared" si="35"/>
        <v>207.37543398705074</v>
      </c>
      <c r="E36" s="2671">
        <f t="shared" ref="E36:F38" si="50">E35/(1+P35)</f>
        <v>352.81876655315932</v>
      </c>
      <c r="F36" s="2671">
        <f t="shared" si="50"/>
        <v>190.809968847352</v>
      </c>
      <c r="G36" s="3464">
        <v>2010</v>
      </c>
      <c r="H36" s="2682">
        <v>3</v>
      </c>
      <c r="I36" s="2682">
        <v>4.7300000000000004</v>
      </c>
      <c r="J36" s="2682">
        <v>3.9</v>
      </c>
      <c r="K36" s="2682">
        <v>5.03</v>
      </c>
      <c r="L36" s="2683">
        <v>4.21</v>
      </c>
      <c r="N36" s="2666">
        <f t="shared" si="37"/>
        <v>4.7300000000000002E-2</v>
      </c>
      <c r="O36" s="2667">
        <f t="shared" si="37"/>
        <v>3.9E-2</v>
      </c>
      <c r="P36" s="2667">
        <f t="shared" si="37"/>
        <v>5.0300000000000004E-2</v>
      </c>
      <c r="Q36" s="2667">
        <f t="shared" si="37"/>
        <v>4.2099999999999999E-2</v>
      </c>
      <c r="R36" s="2668"/>
      <c r="S36" s="2666"/>
      <c r="T36" s="2667"/>
      <c r="U36" s="2667"/>
      <c r="V36" s="2667"/>
    </row>
    <row r="37" spans="1:26">
      <c r="A37" s="2657" t="s">
        <v>2599</v>
      </c>
      <c r="B37" s="2671">
        <f t="shared" si="49"/>
        <v>242.95398227588385</v>
      </c>
      <c r="C37" s="2671">
        <f t="shared" si="49"/>
        <v>199.59137053614126</v>
      </c>
      <c r="D37" s="2671">
        <f t="shared" si="35"/>
        <v>199.59137053614126</v>
      </c>
      <c r="E37" s="2671">
        <f t="shared" si="50"/>
        <v>335.92189522342125</v>
      </c>
      <c r="F37" s="2671">
        <f t="shared" si="50"/>
        <v>183.10139991109489</v>
      </c>
      <c r="G37" s="3464">
        <v>2010</v>
      </c>
      <c r="H37" s="2662">
        <v>2</v>
      </c>
      <c r="I37" s="2662">
        <v>4.6900000000000004</v>
      </c>
      <c r="J37" s="2662">
        <v>3.55</v>
      </c>
      <c r="K37" s="2662">
        <v>5.07</v>
      </c>
      <c r="L37" s="2673">
        <v>4.2300000000000004</v>
      </c>
      <c r="N37" s="2666">
        <f t="shared" si="37"/>
        <v>4.6900000000000004E-2</v>
      </c>
      <c r="O37" s="2667">
        <f t="shared" si="37"/>
        <v>3.5499999999999997E-2</v>
      </c>
      <c r="P37" s="2667">
        <f t="shared" si="37"/>
        <v>5.0700000000000002E-2</v>
      </c>
      <c r="Q37" s="2667">
        <f t="shared" si="37"/>
        <v>4.2300000000000004E-2</v>
      </c>
      <c r="R37" s="2668"/>
      <c r="S37" s="2666"/>
      <c r="T37" s="2667"/>
      <c r="U37" s="2667"/>
      <c r="V37" s="2667"/>
    </row>
    <row r="38" spans="1:26" ht="13.5" thickBot="1">
      <c r="A38" s="2657" t="s">
        <v>2600</v>
      </c>
      <c r="B38" s="2671">
        <f t="shared" si="49"/>
        <v>232.06990378821649</v>
      </c>
      <c r="C38" s="2671">
        <f t="shared" si="49"/>
        <v>192.74878854286936</v>
      </c>
      <c r="D38" s="2671">
        <f t="shared" si="35"/>
        <v>192.74878854286936</v>
      </c>
      <c r="E38" s="2671">
        <f t="shared" si="50"/>
        <v>319.71247284992984</v>
      </c>
      <c r="F38" s="2671">
        <f t="shared" si="50"/>
        <v>175.67053622862409</v>
      </c>
      <c r="G38" s="3465">
        <v>2010</v>
      </c>
      <c r="H38" s="2661">
        <v>1</v>
      </c>
      <c r="I38" s="2661">
        <v>5.4</v>
      </c>
      <c r="J38" s="2661">
        <v>3.2</v>
      </c>
      <c r="K38" s="2661">
        <v>6.16</v>
      </c>
      <c r="L38" s="2672">
        <v>4.51</v>
      </c>
      <c r="N38" s="2666">
        <f t="shared" si="37"/>
        <v>5.4000000000000006E-2</v>
      </c>
      <c r="O38" s="2667">
        <f t="shared" si="37"/>
        <v>3.2000000000000001E-2</v>
      </c>
      <c r="P38" s="2667">
        <f t="shared" si="37"/>
        <v>6.1600000000000002E-2</v>
      </c>
      <c r="Q38" s="2667">
        <f t="shared" si="37"/>
        <v>4.5100000000000001E-2</v>
      </c>
      <c r="R38" s="2668"/>
      <c r="S38" s="2674">
        <f>B38/B39-1</f>
        <v>5.4863199037347599E-2</v>
      </c>
      <c r="T38" s="2675">
        <f>C38/C39-1</f>
        <v>3.0742184721226584E-2</v>
      </c>
      <c r="U38" s="2675">
        <f>E38/E39-1</f>
        <v>6.2167683886810154E-2</v>
      </c>
      <c r="V38" s="2675">
        <f>F38/F39-1</f>
        <v>4.5657953741810031E-2</v>
      </c>
      <c r="X38" s="2676"/>
      <c r="Y38" s="2676"/>
      <c r="Z38" s="2676"/>
    </row>
    <row r="39" spans="1:26" ht="13.5" thickBot="1">
      <c r="A39" s="2657" t="s">
        <v>2601</v>
      </c>
      <c r="B39" s="2663">
        <v>220</v>
      </c>
      <c r="C39" s="2663">
        <v>187</v>
      </c>
      <c r="D39" s="2663">
        <f t="shared" si="35"/>
        <v>187</v>
      </c>
      <c r="E39" s="2663">
        <v>301</v>
      </c>
      <c r="F39" s="2664">
        <v>168</v>
      </c>
      <c r="G39" s="3463">
        <v>2009</v>
      </c>
      <c r="H39" s="2677">
        <v>4</v>
      </c>
      <c r="I39" s="2677">
        <v>2.2999999999999998</v>
      </c>
      <c r="J39" s="2677">
        <v>1.04</v>
      </c>
      <c r="K39" s="2677">
        <v>2.84</v>
      </c>
      <c r="L39" s="2678">
        <v>0.67</v>
      </c>
      <c r="N39" s="2679">
        <f t="shared" si="37"/>
        <v>2.3E-2</v>
      </c>
      <c r="O39" s="2680">
        <f t="shared" si="37"/>
        <v>1.04E-2</v>
      </c>
      <c r="P39" s="2680">
        <f t="shared" si="37"/>
        <v>2.8399999999999998E-2</v>
      </c>
      <c r="Q39" s="2680">
        <f t="shared" si="37"/>
        <v>6.7000000000000002E-3</v>
      </c>
      <c r="R39" s="2668"/>
      <c r="S39" s="2669"/>
      <c r="T39" s="2670"/>
      <c r="U39" s="2670"/>
      <c r="V39" s="2670"/>
      <c r="X39" s="2670"/>
      <c r="Y39" s="2670"/>
      <c r="Z39" s="2670"/>
    </row>
    <row r="40" spans="1:26">
      <c r="A40" s="2657" t="s">
        <v>2602</v>
      </c>
      <c r="B40" s="2671">
        <f t="shared" ref="B40:C42" si="51">B39/(1+N39)</f>
        <v>215.05376344086022</v>
      </c>
      <c r="C40" s="2671">
        <f t="shared" si="51"/>
        <v>185.0752177355503</v>
      </c>
      <c r="D40" s="2671">
        <f t="shared" si="35"/>
        <v>185.0752177355503</v>
      </c>
      <c r="E40" s="2671">
        <f t="shared" ref="E40:F42" si="52">E39/(1+P39)</f>
        <v>292.68767016725008</v>
      </c>
      <c r="F40" s="2671">
        <f t="shared" si="52"/>
        <v>166.88189132810174</v>
      </c>
      <c r="G40" s="3464">
        <v>2009</v>
      </c>
      <c r="H40" s="2682">
        <v>3</v>
      </c>
      <c r="I40" s="2682">
        <v>2.1</v>
      </c>
      <c r="J40" s="2682">
        <v>1.86</v>
      </c>
      <c r="K40" s="2682">
        <v>2.29</v>
      </c>
      <c r="L40" s="2683">
        <v>0.85</v>
      </c>
      <c r="N40" s="2666">
        <f t="shared" si="37"/>
        <v>2.1000000000000001E-2</v>
      </c>
      <c r="O40" s="2684">
        <f t="shared" si="37"/>
        <v>1.8600000000000002E-2</v>
      </c>
      <c r="P40" s="2684">
        <f t="shared" si="37"/>
        <v>2.29E-2</v>
      </c>
      <c r="Q40" s="2684">
        <f t="shared" si="37"/>
        <v>8.5000000000000006E-3</v>
      </c>
      <c r="R40" s="2668"/>
      <c r="S40" s="2666"/>
      <c r="T40" s="2667"/>
      <c r="U40" s="2667"/>
      <c r="V40" s="2667"/>
    </row>
    <row r="41" spans="1:26">
      <c r="A41" s="2657" t="s">
        <v>2603</v>
      </c>
      <c r="B41" s="2671">
        <f t="shared" si="51"/>
        <v>210.630522469011</v>
      </c>
      <c r="C41" s="2671">
        <f t="shared" si="51"/>
        <v>181.69567812247232</v>
      </c>
      <c r="D41" s="2671">
        <f t="shared" si="35"/>
        <v>181.69567812247232</v>
      </c>
      <c r="E41" s="2671">
        <f t="shared" si="52"/>
        <v>286.13517466736738</v>
      </c>
      <c r="F41" s="2671">
        <f t="shared" si="52"/>
        <v>165.47535084591149</v>
      </c>
      <c r="G41" s="3464">
        <v>2009</v>
      </c>
      <c r="H41" s="2662">
        <v>2</v>
      </c>
      <c r="I41" s="2662">
        <v>0.86</v>
      </c>
      <c r="J41" s="2662">
        <v>-1.1299999999999999</v>
      </c>
      <c r="K41" s="2662">
        <v>1.79</v>
      </c>
      <c r="L41" s="2673">
        <v>-2.0699999999999998</v>
      </c>
      <c r="N41" s="2666">
        <f t="shared" si="37"/>
        <v>8.6E-3</v>
      </c>
      <c r="O41" s="2684">
        <f t="shared" si="37"/>
        <v>-1.1299999999999999E-2</v>
      </c>
      <c r="P41" s="2684">
        <f t="shared" si="37"/>
        <v>1.7899999999999999E-2</v>
      </c>
      <c r="Q41" s="2684">
        <f t="shared" si="37"/>
        <v>-2.07E-2</v>
      </c>
      <c r="R41" s="2668"/>
      <c r="S41" s="2666"/>
      <c r="T41" s="2667"/>
      <c r="U41" s="2667"/>
      <c r="V41" s="2667"/>
    </row>
    <row r="42" spans="1:26">
      <c r="A42" s="2657" t="s">
        <v>2604</v>
      </c>
      <c r="B42" s="2671">
        <f t="shared" si="51"/>
        <v>208.83454537875372</v>
      </c>
      <c r="C42" s="2671">
        <f t="shared" si="51"/>
        <v>183.77230517090351</v>
      </c>
      <c r="D42" s="2671">
        <f t="shared" si="35"/>
        <v>183.77230517090351</v>
      </c>
      <c r="E42" s="2671">
        <f t="shared" si="52"/>
        <v>281.10342338870947</v>
      </c>
      <c r="F42" s="2671">
        <f t="shared" si="52"/>
        <v>168.97309388942256</v>
      </c>
      <c r="G42" s="3465">
        <v>2009</v>
      </c>
      <c r="H42" s="2661">
        <v>1</v>
      </c>
      <c r="I42" s="2661">
        <v>-2.64</v>
      </c>
      <c r="J42" s="2661">
        <v>-2.5299999999999998</v>
      </c>
      <c r="K42" s="2661">
        <v>-3.02</v>
      </c>
      <c r="L42" s="2672">
        <v>1.52</v>
      </c>
      <c r="N42" s="2674">
        <f t="shared" si="37"/>
        <v>-2.64E-2</v>
      </c>
      <c r="O42" s="2675">
        <f t="shared" si="37"/>
        <v>-2.53E-2</v>
      </c>
      <c r="P42" s="2675">
        <f t="shared" si="37"/>
        <v>-3.0200000000000001E-2</v>
      </c>
      <c r="Q42" s="2675">
        <f t="shared" si="37"/>
        <v>1.52E-2</v>
      </c>
      <c r="R42" s="2668"/>
      <c r="S42" s="2674">
        <f>B42/B43-1</f>
        <v>-2.4137638417038754E-2</v>
      </c>
      <c r="T42" s="2675">
        <f>C42/C43-1</f>
        <v>-2.248773845264096E-2</v>
      </c>
      <c r="U42" s="2675">
        <f>E42/E43-1</f>
        <v>-2.7323794502735366E-2</v>
      </c>
      <c r="V42" s="2675">
        <f>F42/F43-1</f>
        <v>1.7910204153148035E-2</v>
      </c>
      <c r="X42" s="2676"/>
      <c r="Y42" s="2676"/>
      <c r="Z42" s="2676"/>
    </row>
    <row r="43" spans="1:26" ht="13.5" thickBot="1">
      <c r="A43" s="2657" t="s">
        <v>2605</v>
      </c>
      <c r="B43" s="2701">
        <v>214</v>
      </c>
      <c r="C43" s="2701">
        <v>188</v>
      </c>
      <c r="D43" s="2701">
        <f t="shared" si="35"/>
        <v>188</v>
      </c>
      <c r="E43" s="2701">
        <v>289</v>
      </c>
      <c r="F43" s="2702">
        <v>166</v>
      </c>
      <c r="G43" s="3463">
        <v>2008</v>
      </c>
      <c r="H43" s="2677">
        <v>4</v>
      </c>
      <c r="I43" s="2677">
        <v>1.73</v>
      </c>
      <c r="J43" s="2677">
        <v>0.03</v>
      </c>
      <c r="K43" s="2677">
        <v>2.59</v>
      </c>
      <c r="L43" s="2678">
        <v>-1.66</v>
      </c>
      <c r="N43" s="2666">
        <f t="shared" si="37"/>
        <v>1.7299999999999999E-2</v>
      </c>
      <c r="O43" s="2667">
        <f t="shared" si="37"/>
        <v>2.9999999999999997E-4</v>
      </c>
      <c r="P43" s="2667">
        <f t="shared" si="37"/>
        <v>2.5899999999999999E-2</v>
      </c>
      <c r="Q43" s="2667">
        <f t="shared" si="37"/>
        <v>-1.66E-2</v>
      </c>
      <c r="R43" s="2668"/>
      <c r="S43" s="2669"/>
      <c r="T43" s="2670"/>
      <c r="U43" s="2670"/>
      <c r="V43" s="2670"/>
      <c r="X43" s="2670"/>
      <c r="Y43" s="2670"/>
      <c r="Z43" s="2670"/>
    </row>
    <row r="44" spans="1:26">
      <c r="A44" s="2657" t="s">
        <v>2606</v>
      </c>
      <c r="B44" s="2671">
        <f t="shared" ref="B44:C46" si="53">B43/(1+N43)</f>
        <v>210.36075887152265</v>
      </c>
      <c r="C44" s="2671">
        <f t="shared" si="53"/>
        <v>187.94361691492554</v>
      </c>
      <c r="D44" s="2671">
        <f t="shared" si="35"/>
        <v>187.94361691492554</v>
      </c>
      <c r="E44" s="2671">
        <f t="shared" ref="E44:F46" si="54">E43/(1+P43)</f>
        <v>281.70386977288234</v>
      </c>
      <c r="F44" s="2671">
        <f t="shared" si="54"/>
        <v>168.80211511083994</v>
      </c>
      <c r="G44" s="3464">
        <v>2008</v>
      </c>
      <c r="H44" s="2682">
        <v>3</v>
      </c>
      <c r="I44" s="2682">
        <v>1.96</v>
      </c>
      <c r="J44" s="2682">
        <v>2.36</v>
      </c>
      <c r="K44" s="2682">
        <v>1.82</v>
      </c>
      <c r="L44" s="2683">
        <v>2.2200000000000002</v>
      </c>
      <c r="N44" s="2666">
        <f t="shared" si="37"/>
        <v>1.9599999999999999E-2</v>
      </c>
      <c r="O44" s="2667">
        <f t="shared" si="37"/>
        <v>2.3599999999999999E-2</v>
      </c>
      <c r="P44" s="2667">
        <f t="shared" si="37"/>
        <v>1.8200000000000001E-2</v>
      </c>
      <c r="Q44" s="2667">
        <f t="shared" si="37"/>
        <v>2.2200000000000001E-2</v>
      </c>
      <c r="R44" s="2668"/>
      <c r="S44" s="2666"/>
      <c r="T44" s="2667"/>
      <c r="U44" s="2667"/>
      <c r="V44" s="2667"/>
    </row>
    <row r="45" spans="1:26">
      <c r="A45" s="2657" t="s">
        <v>2607</v>
      </c>
      <c r="B45" s="2671">
        <f t="shared" si="53"/>
        <v>206.31694671589116</v>
      </c>
      <c r="C45" s="2671">
        <f t="shared" si="53"/>
        <v>183.61041121036101</v>
      </c>
      <c r="D45" s="2671">
        <f t="shared" si="35"/>
        <v>183.61041121036101</v>
      </c>
      <c r="E45" s="2671">
        <f t="shared" si="54"/>
        <v>276.66850301795557</v>
      </c>
      <c r="F45" s="2671">
        <f t="shared" si="54"/>
        <v>165.1360938278614</v>
      </c>
      <c r="G45" s="3464">
        <v>2008</v>
      </c>
      <c r="H45" s="2662">
        <v>2</v>
      </c>
      <c r="I45" s="2662">
        <v>4.93</v>
      </c>
      <c r="J45" s="2662">
        <v>7.38</v>
      </c>
      <c r="K45" s="2662">
        <v>3.98</v>
      </c>
      <c r="L45" s="2673">
        <v>6.86</v>
      </c>
      <c r="N45" s="2666">
        <f t="shared" si="37"/>
        <v>4.9299999999999997E-2</v>
      </c>
      <c r="O45" s="2667">
        <f t="shared" si="37"/>
        <v>7.3800000000000004E-2</v>
      </c>
      <c r="P45" s="2667">
        <f t="shared" si="37"/>
        <v>3.9800000000000002E-2</v>
      </c>
      <c r="Q45" s="2667">
        <f t="shared" si="37"/>
        <v>6.8600000000000008E-2</v>
      </c>
      <c r="R45" s="2668"/>
      <c r="S45" s="2666"/>
      <c r="T45" s="2667"/>
      <c r="U45" s="2667"/>
      <c r="V45" s="2667"/>
    </row>
    <row r="46" spans="1:26" s="2707" customFormat="1" ht="13.5" thickBot="1">
      <c r="A46" s="2657" t="s">
        <v>2608</v>
      </c>
      <c r="B46" s="2704">
        <f t="shared" si="53"/>
        <v>196.62341248059772</v>
      </c>
      <c r="C46" s="2704">
        <f t="shared" si="53"/>
        <v>170.99125648199012</v>
      </c>
      <c r="D46" s="2704">
        <f t="shared" si="35"/>
        <v>170.99125648199012</v>
      </c>
      <c r="E46" s="2704">
        <f t="shared" si="54"/>
        <v>266.07857570490052</v>
      </c>
      <c r="F46" s="2704">
        <f t="shared" si="54"/>
        <v>154.53499328828505</v>
      </c>
      <c r="G46" s="3465">
        <v>2008</v>
      </c>
      <c r="H46" s="2705">
        <v>1</v>
      </c>
      <c r="I46" s="2705">
        <v>4.1399999999999997</v>
      </c>
      <c r="J46" s="2705">
        <v>3.45</v>
      </c>
      <c r="K46" s="2705">
        <v>4.95</v>
      </c>
      <c r="L46" s="2706">
        <v>4.82</v>
      </c>
      <c r="N46" s="2708">
        <f t="shared" si="37"/>
        <v>4.1399999999999999E-2</v>
      </c>
      <c r="O46" s="2709">
        <f t="shared" si="37"/>
        <v>3.4500000000000003E-2</v>
      </c>
      <c r="P46" s="2709">
        <f t="shared" si="37"/>
        <v>4.9500000000000002E-2</v>
      </c>
      <c r="Q46" s="2709">
        <f t="shared" si="37"/>
        <v>4.82E-2</v>
      </c>
      <c r="R46" s="2710"/>
      <c r="S46" s="2708">
        <f>B46/B47-1</f>
        <v>4.5869215322328349E-2</v>
      </c>
      <c r="T46" s="2709">
        <f>C46/C47-1</f>
        <v>3.6310645345394743E-2</v>
      </c>
      <c r="U46" s="2709">
        <f>E46/E47-1</f>
        <v>4.7553447657088688E-2</v>
      </c>
      <c r="V46" s="2709">
        <f>F46/F47-1</f>
        <v>4.4155360055980086E-2</v>
      </c>
      <c r="X46" s="2711"/>
      <c r="Y46" s="2711"/>
      <c r="Z46" s="2711"/>
    </row>
    <row r="47" spans="1:26" ht="13.5" thickBot="1">
      <c r="A47" s="2657" t="s">
        <v>2609</v>
      </c>
      <c r="B47" s="2663">
        <v>188</v>
      </c>
      <c r="C47" s="2663">
        <v>165</v>
      </c>
      <c r="D47" s="2663">
        <f t="shared" si="35"/>
        <v>165</v>
      </c>
      <c r="E47" s="2663">
        <v>254</v>
      </c>
      <c r="F47" s="2664">
        <v>148</v>
      </c>
      <c r="G47" s="3463">
        <v>2007</v>
      </c>
      <c r="H47" s="2712">
        <v>4</v>
      </c>
      <c r="I47" s="2712">
        <v>5.51</v>
      </c>
      <c r="J47" s="2712">
        <v>4.8899999999999997</v>
      </c>
      <c r="K47" s="2712">
        <v>6.43</v>
      </c>
      <c r="L47" s="2713">
        <v>5.36</v>
      </c>
      <c r="N47" s="2714">
        <f t="shared" ref="N47:O50" si="55">B47/B48-1</f>
        <v>4.1339718365245526E-2</v>
      </c>
      <c r="O47" s="2715">
        <f t="shared" si="55"/>
        <v>4.0324492593776018E-2</v>
      </c>
      <c r="P47" s="2715">
        <f t="shared" ref="P47:Q50" si="56">E47/E48-1</f>
        <v>6.1625555347990968E-2</v>
      </c>
      <c r="Q47" s="2715">
        <f t="shared" si="56"/>
        <v>4.6757569250590603E-2</v>
      </c>
      <c r="R47" s="2668"/>
      <c r="S47" s="2669"/>
      <c r="T47" s="2670"/>
      <c r="U47" s="2670"/>
      <c r="V47" s="2670"/>
      <c r="X47" s="2670"/>
      <c r="Y47" s="2670"/>
      <c r="Z47" s="2670"/>
    </row>
    <row r="48" spans="1:26">
      <c r="A48" s="2657" t="s">
        <v>2610</v>
      </c>
      <c r="B48" s="2671">
        <f t="shared" ref="B48:C50" si="57">B49+(B$47-B$51)*I48/SUM(I$47:I$50)</f>
        <v>180.5366651097618</v>
      </c>
      <c r="C48" s="2671">
        <f t="shared" si="57"/>
        <v>158.60435967302453</v>
      </c>
      <c r="D48" s="2671">
        <f t="shared" si="35"/>
        <v>158.60435967302453</v>
      </c>
      <c r="E48" s="2671">
        <f t="shared" ref="E48:F50" si="58">E49+(E$47-E$51)*K48/SUM(K$47:K$50)</f>
        <v>239.25573260785075</v>
      </c>
      <c r="F48" s="2671">
        <f t="shared" si="58"/>
        <v>141.38899430740037</v>
      </c>
      <c r="G48" s="3464">
        <v>2007</v>
      </c>
      <c r="H48" s="2682">
        <v>3</v>
      </c>
      <c r="I48" s="2682">
        <v>8.65</v>
      </c>
      <c r="J48" s="2682">
        <v>8.06</v>
      </c>
      <c r="K48" s="2682">
        <v>9.94</v>
      </c>
      <c r="L48" s="2683">
        <v>5.8</v>
      </c>
      <c r="N48" s="2714">
        <f t="shared" si="55"/>
        <v>6.940217571740015E-2</v>
      </c>
      <c r="O48" s="2715">
        <f t="shared" si="55"/>
        <v>7.1197482471153428E-2</v>
      </c>
      <c r="P48" s="2715">
        <f t="shared" si="56"/>
        <v>0.10529679922579582</v>
      </c>
      <c r="Q48" s="2715">
        <f t="shared" si="56"/>
        <v>5.3292245059512133E-2</v>
      </c>
      <c r="R48" s="2668"/>
      <c r="S48" s="2666"/>
      <c r="T48" s="2667"/>
      <c r="U48" s="2667"/>
      <c r="V48" s="2667"/>
      <c r="X48" s="2716"/>
      <c r="Y48" s="2716"/>
      <c r="Z48" s="2716"/>
    </row>
    <row r="49" spans="1:26">
      <c r="A49" s="2657" t="s">
        <v>2611</v>
      </c>
      <c r="B49" s="2671">
        <f t="shared" si="57"/>
        <v>168.82017748715555</v>
      </c>
      <c r="C49" s="2671">
        <f t="shared" si="57"/>
        <v>148.06267029972753</v>
      </c>
      <c r="D49" s="2671">
        <f t="shared" si="35"/>
        <v>148.06267029972753</v>
      </c>
      <c r="E49" s="2671">
        <f t="shared" si="58"/>
        <v>216.46288379323747</v>
      </c>
      <c r="F49" s="2671">
        <f t="shared" si="58"/>
        <v>134.23529411764704</v>
      </c>
      <c r="G49" s="3464">
        <v>2007</v>
      </c>
      <c r="H49" s="2662">
        <v>2</v>
      </c>
      <c r="I49" s="2662">
        <v>3.67</v>
      </c>
      <c r="J49" s="2662">
        <v>2.3199999999999998</v>
      </c>
      <c r="K49" s="2662">
        <v>5.0199999999999996</v>
      </c>
      <c r="L49" s="2673">
        <v>6.71</v>
      </c>
      <c r="N49" s="2714">
        <f t="shared" si="55"/>
        <v>3.0339138143848032E-2</v>
      </c>
      <c r="O49" s="2715">
        <f t="shared" si="55"/>
        <v>2.0922341588790472E-2</v>
      </c>
      <c r="P49" s="2715">
        <f t="shared" si="56"/>
        <v>5.6164796592717003E-2</v>
      </c>
      <c r="Q49" s="2715">
        <f t="shared" si="56"/>
        <v>6.5704536723887319E-2</v>
      </c>
      <c r="R49" s="2668"/>
      <c r="S49" s="2666"/>
      <c r="T49" s="2667"/>
      <c r="U49" s="2667"/>
      <c r="V49" s="2667"/>
      <c r="X49" s="2716"/>
      <c r="Y49" s="2716"/>
      <c r="Z49" s="2716"/>
    </row>
    <row r="50" spans="1:26">
      <c r="A50" s="2657" t="s">
        <v>2612</v>
      </c>
      <c r="B50" s="2671">
        <f t="shared" si="57"/>
        <v>163.84913591779542</v>
      </c>
      <c r="C50" s="2671">
        <f t="shared" si="57"/>
        <v>145.0283378746594</v>
      </c>
      <c r="D50" s="2671">
        <f t="shared" si="35"/>
        <v>145.0283378746594</v>
      </c>
      <c r="E50" s="2671">
        <f t="shared" si="58"/>
        <v>204.95180722891567</v>
      </c>
      <c r="F50" s="2671">
        <f t="shared" si="58"/>
        <v>125.95920303605313</v>
      </c>
      <c r="G50" s="3465">
        <v>2007</v>
      </c>
      <c r="H50" s="2661">
        <v>1</v>
      </c>
      <c r="I50" s="2661">
        <v>3.58</v>
      </c>
      <c r="J50" s="2661">
        <v>3.08</v>
      </c>
      <c r="K50" s="2661">
        <v>4.34</v>
      </c>
      <c r="L50" s="2672">
        <v>3.21</v>
      </c>
      <c r="N50" s="2717">
        <f t="shared" si="55"/>
        <v>3.0497710174814063E-2</v>
      </c>
      <c r="O50" s="2718">
        <f t="shared" si="55"/>
        <v>2.8569772160704998E-2</v>
      </c>
      <c r="P50" s="2718">
        <f t="shared" si="56"/>
        <v>5.1034908866234296E-2</v>
      </c>
      <c r="Q50" s="2718">
        <f t="shared" si="56"/>
        <v>3.245248390207478E-2</v>
      </c>
      <c r="R50" s="2668"/>
      <c r="S50" s="2674">
        <f>B50/B51-1</f>
        <v>3.0497710174814063E-2</v>
      </c>
      <c r="T50" s="2675">
        <f>C50/C51-1</f>
        <v>2.8569772160704998E-2</v>
      </c>
      <c r="U50" s="2675">
        <f>E50/E51-1</f>
        <v>5.1034908866234296E-2</v>
      </c>
      <c r="V50" s="2675">
        <f>F50/F51-1</f>
        <v>3.245248390207478E-2</v>
      </c>
      <c r="X50" s="2716"/>
      <c r="Y50" s="2716"/>
      <c r="Z50" s="2716"/>
    </row>
    <row r="51" spans="1:26" ht="13.5" thickBot="1">
      <c r="A51" s="2657" t="s">
        <v>2613</v>
      </c>
      <c r="B51" s="2685">
        <v>159</v>
      </c>
      <c r="C51" s="2685">
        <v>141</v>
      </c>
      <c r="D51" s="2685">
        <f t="shared" si="35"/>
        <v>141</v>
      </c>
      <c r="E51" s="2685">
        <v>195</v>
      </c>
      <c r="F51" s="2686">
        <v>122</v>
      </c>
      <c r="G51" s="3463">
        <v>2006</v>
      </c>
      <c r="H51" s="2677">
        <v>4</v>
      </c>
      <c r="I51" s="2677">
        <v>3.79</v>
      </c>
      <c r="J51" s="2677">
        <v>2.21</v>
      </c>
      <c r="K51" s="2677">
        <v>5.65</v>
      </c>
      <c r="L51" s="2678">
        <v>5.41</v>
      </c>
      <c r="N51" s="2714">
        <f t="shared" ref="N51:O54" si="59">I51/SUM(I$51:I$54)*(B$51/B$55-1)</f>
        <v>7.245466462748526E-2</v>
      </c>
      <c r="O51" s="2715">
        <f t="shared" si="59"/>
        <v>2.3237230038062766E-2</v>
      </c>
      <c r="P51" s="2715">
        <f t="shared" ref="P51:Q54" si="60">K51/SUM(K$51:K$54)*(E$51/E$55-1)</f>
        <v>0.16146893866323722</v>
      </c>
      <c r="Q51" s="2715">
        <f t="shared" si="60"/>
        <v>5.0755230321793784E-2</v>
      </c>
      <c r="R51" s="2668"/>
      <c r="S51" s="2669"/>
      <c r="T51" s="2670"/>
      <c r="U51" s="2670"/>
      <c r="V51" s="2670"/>
      <c r="X51" s="2716"/>
      <c r="Y51" s="2716"/>
      <c r="Z51" s="2716"/>
    </row>
    <row r="52" spans="1:26">
      <c r="A52" s="2657" t="s">
        <v>2614</v>
      </c>
      <c r="B52" s="2671">
        <f t="shared" ref="B52:C54" si="61">B53+(B$51-B$55)*I52/SUM(I$51:I$54)</f>
        <v>149.00125628140702</v>
      </c>
      <c r="C52" s="2671">
        <f t="shared" si="61"/>
        <v>137.95592286501378</v>
      </c>
      <c r="D52" s="2671">
        <f t="shared" si="35"/>
        <v>137.95592286501378</v>
      </c>
      <c r="E52" s="2671">
        <f t="shared" ref="E52:F54" si="62">E53+(E$51-E$55)*K52/SUM(K$51:K$54)</f>
        <v>169.97231450719823</v>
      </c>
      <c r="F52" s="2671">
        <f t="shared" si="62"/>
        <v>116.21390374331551</v>
      </c>
      <c r="G52" s="3464">
        <v>2006</v>
      </c>
      <c r="H52" s="2682">
        <v>3</v>
      </c>
      <c r="I52" s="2682">
        <v>0.92</v>
      </c>
      <c r="J52" s="2682">
        <v>1.08</v>
      </c>
      <c r="K52" s="2682">
        <v>0.73</v>
      </c>
      <c r="L52" s="2683">
        <v>1.08</v>
      </c>
      <c r="N52" s="2714">
        <f t="shared" si="59"/>
        <v>1.7587939698492462E-2</v>
      </c>
      <c r="O52" s="2715">
        <f t="shared" si="59"/>
        <v>1.1355750425840628E-2</v>
      </c>
      <c r="P52" s="2715">
        <f t="shared" si="60"/>
        <v>2.0862358446754544E-2</v>
      </c>
      <c r="Q52" s="2715">
        <f t="shared" si="60"/>
        <v>1.0132282578103011E-2</v>
      </c>
      <c r="R52" s="2668"/>
      <c r="S52" s="2666"/>
      <c r="T52" s="2667"/>
      <c r="U52" s="2667"/>
      <c r="V52" s="2667"/>
      <c r="X52" s="2716"/>
      <c r="Y52" s="2716"/>
      <c r="Z52" s="2716"/>
    </row>
    <row r="53" spans="1:26">
      <c r="A53" s="2657" t="s">
        <v>2615</v>
      </c>
      <c r="B53" s="2671">
        <f t="shared" si="61"/>
        <v>146.57412060301507</v>
      </c>
      <c r="C53" s="2671">
        <f t="shared" si="61"/>
        <v>136.46831955922866</v>
      </c>
      <c r="D53" s="2671">
        <f t="shared" si="35"/>
        <v>136.46831955922866</v>
      </c>
      <c r="E53" s="2671">
        <f t="shared" si="62"/>
        <v>166.73864894795128</v>
      </c>
      <c r="F53" s="2671">
        <f t="shared" si="62"/>
        <v>115.05882352941177</v>
      </c>
      <c r="G53" s="3464">
        <v>2006</v>
      </c>
      <c r="H53" s="2662">
        <v>2</v>
      </c>
      <c r="I53" s="2662">
        <v>0.96</v>
      </c>
      <c r="J53" s="2662">
        <v>0.25</v>
      </c>
      <c r="K53" s="2662">
        <v>1.9</v>
      </c>
      <c r="L53" s="2673">
        <v>0.95</v>
      </c>
      <c r="N53" s="2714">
        <f t="shared" si="59"/>
        <v>1.8352632728861701E-2</v>
      </c>
      <c r="O53" s="2715">
        <f t="shared" si="59"/>
        <v>2.6286459319075526E-3</v>
      </c>
      <c r="P53" s="2715">
        <f t="shared" si="60"/>
        <v>5.4299289107991269E-2</v>
      </c>
      <c r="Q53" s="2715">
        <f t="shared" si="60"/>
        <v>8.9126559714794995E-3</v>
      </c>
      <c r="R53" s="2668"/>
      <c r="S53" s="2666"/>
      <c r="T53" s="2667"/>
      <c r="U53" s="2667"/>
      <c r="V53" s="2667"/>
      <c r="X53" s="2716"/>
      <c r="Y53" s="2716"/>
      <c r="Z53" s="2716"/>
    </row>
    <row r="54" spans="1:26">
      <c r="A54" s="2657" t="s">
        <v>2616</v>
      </c>
      <c r="B54" s="2671">
        <f t="shared" si="61"/>
        <v>144.04145728643215</v>
      </c>
      <c r="C54" s="2671">
        <f t="shared" si="61"/>
        <v>136.12396694214877</v>
      </c>
      <c r="D54" s="2671">
        <f t="shared" si="35"/>
        <v>136.12396694214877</v>
      </c>
      <c r="E54" s="2671">
        <f t="shared" si="62"/>
        <v>158.32225913621264</v>
      </c>
      <c r="F54" s="2671">
        <f t="shared" si="62"/>
        <v>114.04278074866311</v>
      </c>
      <c r="G54" s="3465">
        <v>2006</v>
      </c>
      <c r="H54" s="2661">
        <v>1</v>
      </c>
      <c r="I54" s="2661">
        <v>2.29</v>
      </c>
      <c r="J54" s="2661">
        <v>3.72</v>
      </c>
      <c r="K54" s="2661">
        <v>0.75</v>
      </c>
      <c r="L54" s="2672">
        <v>0.04</v>
      </c>
      <c r="N54" s="2717">
        <f t="shared" si="59"/>
        <v>4.3778675988638847E-2</v>
      </c>
      <c r="O54" s="2718">
        <f t="shared" si="59"/>
        <v>3.9114251466784385E-2</v>
      </c>
      <c r="P54" s="2718">
        <f t="shared" si="60"/>
        <v>2.1433929911049188E-2</v>
      </c>
      <c r="Q54" s="2718">
        <f t="shared" si="60"/>
        <v>3.7526972511492629E-4</v>
      </c>
      <c r="R54" s="2668"/>
      <c r="S54" s="2674">
        <f>B54/B55-1</f>
        <v>4.3778675988638716E-2</v>
      </c>
      <c r="T54" s="2675">
        <f>C54/C55-1</f>
        <v>3.91142514667846E-2</v>
      </c>
      <c r="U54" s="2675">
        <f>E54/E55-1</f>
        <v>2.143392991104931E-2</v>
      </c>
      <c r="V54" s="2675">
        <f>F54/F55-1</f>
        <v>3.7526972511492396E-4</v>
      </c>
      <c r="X54" s="2716"/>
      <c r="Y54" s="2716"/>
      <c r="Z54" s="2716"/>
    </row>
    <row r="55" spans="1:26" ht="13.5" thickBot="1">
      <c r="A55" s="2657" t="s">
        <v>2617</v>
      </c>
      <c r="B55" s="2685">
        <v>138</v>
      </c>
      <c r="C55" s="2685">
        <v>131</v>
      </c>
      <c r="D55" s="2685">
        <f t="shared" si="35"/>
        <v>131</v>
      </c>
      <c r="E55" s="2685">
        <v>155</v>
      </c>
      <c r="F55" s="2686">
        <v>114</v>
      </c>
      <c r="G55" s="3463">
        <v>2005</v>
      </c>
      <c r="H55" s="2677">
        <v>4</v>
      </c>
      <c r="I55" s="2677">
        <v>3.29</v>
      </c>
      <c r="J55" s="2677">
        <v>1.44</v>
      </c>
      <c r="K55" s="2677">
        <v>0.66</v>
      </c>
      <c r="L55" s="2678">
        <v>7.78</v>
      </c>
      <c r="N55" s="2714">
        <f t="shared" ref="N55:O58" si="63">I55/SUM(I$55:I$58)*(B$55/B$59-1)</f>
        <v>9.9404603216919935E-2</v>
      </c>
      <c r="O55" s="2715">
        <f t="shared" si="63"/>
        <v>4.7636550760861554E-2</v>
      </c>
      <c r="P55" s="2715">
        <f t="shared" ref="P55:Q58" si="64">K55/SUM(K$55:K$58)*(E$55/E$59-1)</f>
        <v>8.3756345177664976E-2</v>
      </c>
      <c r="Q55" s="2715">
        <f t="shared" si="64"/>
        <v>5.2148766661559584E-2</v>
      </c>
      <c r="R55" s="2668"/>
      <c r="S55" s="2669"/>
      <c r="T55" s="2670"/>
      <c r="U55" s="2670"/>
      <c r="V55" s="2670"/>
      <c r="X55" s="2716"/>
      <c r="Y55" s="2716"/>
      <c r="Z55" s="2716"/>
    </row>
    <row r="56" spans="1:26">
      <c r="A56" s="2657" t="s">
        <v>2618</v>
      </c>
      <c r="B56" s="2671">
        <f t="shared" ref="B56:C58" si="65">B57+(B$55-B$59)*I56/SUM(I$55:I$58)</f>
        <v>125.9720430107527</v>
      </c>
      <c r="C56" s="2671">
        <f t="shared" si="65"/>
        <v>125.1883408071749</v>
      </c>
      <c r="D56" s="2671">
        <f t="shared" si="35"/>
        <v>125.1883408071749</v>
      </c>
      <c r="E56" s="2671">
        <f t="shared" ref="E56:F58" si="66">E57+(E$55-E$59)*K56/SUM(K$55:K$58)</f>
        <v>144.61421319796952</v>
      </c>
      <c r="F56" s="2671">
        <f t="shared" si="66"/>
        <v>108.42008196721311</v>
      </c>
      <c r="G56" s="3464">
        <v>2005</v>
      </c>
      <c r="H56" s="2682">
        <v>3</v>
      </c>
      <c r="I56" s="2682">
        <v>0.46</v>
      </c>
      <c r="J56" s="2682">
        <v>0.32</v>
      </c>
      <c r="K56" s="2682">
        <v>0.42</v>
      </c>
      <c r="L56" s="2683">
        <v>0.64</v>
      </c>
      <c r="N56" s="2714">
        <f t="shared" si="63"/>
        <v>1.3898515951301874E-2</v>
      </c>
      <c r="O56" s="2715">
        <f t="shared" si="63"/>
        <v>1.0585900169080346E-2</v>
      </c>
      <c r="P56" s="2715">
        <f t="shared" si="64"/>
        <v>5.3299492385786795E-2</v>
      </c>
      <c r="Q56" s="2715">
        <f t="shared" si="64"/>
        <v>4.2898728359123568E-3</v>
      </c>
      <c r="R56" s="2668"/>
      <c r="S56" s="2666"/>
      <c r="T56" s="2667"/>
      <c r="U56" s="2667"/>
      <c r="V56" s="2667"/>
      <c r="X56" s="2716"/>
      <c r="Y56" s="2716"/>
      <c r="Z56" s="2716"/>
    </row>
    <row r="57" spans="1:26">
      <c r="A57" s="2657" t="s">
        <v>2619</v>
      </c>
      <c r="B57" s="2671">
        <f t="shared" si="65"/>
        <v>124.29032258064517</v>
      </c>
      <c r="C57" s="2671">
        <f t="shared" si="65"/>
        <v>123.8968609865471</v>
      </c>
      <c r="D57" s="2671">
        <f t="shared" si="35"/>
        <v>123.8968609865471</v>
      </c>
      <c r="E57" s="2671">
        <f t="shared" si="66"/>
        <v>138.00507614213197</v>
      </c>
      <c r="F57" s="2671">
        <f t="shared" si="66"/>
        <v>107.96106557377048</v>
      </c>
      <c r="G57" s="3464">
        <v>2005</v>
      </c>
      <c r="H57" s="2662">
        <v>2</v>
      </c>
      <c r="I57" s="2662">
        <v>0.47</v>
      </c>
      <c r="J57" s="2662">
        <v>0.1</v>
      </c>
      <c r="K57" s="2662">
        <v>0.52</v>
      </c>
      <c r="L57" s="2673">
        <v>0.79</v>
      </c>
      <c r="N57" s="2714">
        <f t="shared" si="63"/>
        <v>1.420065760241713E-2</v>
      </c>
      <c r="O57" s="2715">
        <f t="shared" si="63"/>
        <v>3.3080938028376083E-3</v>
      </c>
      <c r="P57" s="2715">
        <f t="shared" si="64"/>
        <v>6.598984771573603E-2</v>
      </c>
      <c r="Q57" s="2715">
        <f t="shared" si="64"/>
        <v>5.2953117818293153E-3</v>
      </c>
      <c r="R57" s="2668"/>
      <c r="S57" s="2666"/>
      <c r="T57" s="2667"/>
      <c r="U57" s="2667"/>
      <c r="V57" s="2667"/>
      <c r="X57" s="2716"/>
      <c r="Y57" s="2716"/>
      <c r="Z57" s="2716"/>
    </row>
    <row r="58" spans="1:26">
      <c r="A58" s="2657" t="s">
        <v>2620</v>
      </c>
      <c r="B58" s="2671">
        <f t="shared" si="65"/>
        <v>122.57204301075269</v>
      </c>
      <c r="C58" s="2671">
        <f t="shared" si="65"/>
        <v>123.4932735426009</v>
      </c>
      <c r="D58" s="2671">
        <f t="shared" si="35"/>
        <v>123.4932735426009</v>
      </c>
      <c r="E58" s="2671">
        <f t="shared" si="66"/>
        <v>129.82233502538071</v>
      </c>
      <c r="F58" s="2671">
        <f t="shared" si="66"/>
        <v>107.39446721311475</v>
      </c>
      <c r="G58" s="3465">
        <v>2005</v>
      </c>
      <c r="H58" s="2661">
        <v>1</v>
      </c>
      <c r="I58" s="2661">
        <v>0.43</v>
      </c>
      <c r="J58" s="2661">
        <v>0.37</v>
      </c>
      <c r="K58" s="2661">
        <v>0.37</v>
      </c>
      <c r="L58" s="2672">
        <v>0.55000000000000004</v>
      </c>
      <c r="N58" s="2717">
        <f t="shared" si="63"/>
        <v>1.2992090997956099E-2</v>
      </c>
      <c r="O58" s="2718">
        <f t="shared" si="63"/>
        <v>1.2239947070499151E-2</v>
      </c>
      <c r="P58" s="2718">
        <f t="shared" si="64"/>
        <v>4.6954314720812178E-2</v>
      </c>
      <c r="Q58" s="2718">
        <f t="shared" si="64"/>
        <v>3.6866094683621815E-3</v>
      </c>
      <c r="R58" s="2668"/>
      <c r="S58" s="2674">
        <f>B58/B59-1</f>
        <v>1.2992090997956174E-2</v>
      </c>
      <c r="T58" s="2675">
        <f>C58/C59-1</f>
        <v>1.2239947070499246E-2</v>
      </c>
      <c r="U58" s="2675">
        <f>E58/E59-1</f>
        <v>4.695431472081224E-2</v>
      </c>
      <c r="V58" s="2675">
        <f>F58/F59-1</f>
        <v>3.6866094683620787E-3</v>
      </c>
      <c r="X58" s="2716"/>
      <c r="Y58" s="2716"/>
      <c r="Z58" s="2716"/>
    </row>
    <row r="59" spans="1:26" ht="13.5" thickBot="1">
      <c r="A59" s="2657" t="s">
        <v>2621</v>
      </c>
      <c r="B59" s="2701">
        <v>121</v>
      </c>
      <c r="C59" s="2701">
        <v>122</v>
      </c>
      <c r="D59" s="2701">
        <f t="shared" si="35"/>
        <v>122</v>
      </c>
      <c r="E59" s="2701">
        <v>124</v>
      </c>
      <c r="F59" s="2702">
        <v>107</v>
      </c>
      <c r="G59" s="3463">
        <v>2004</v>
      </c>
      <c r="H59" s="2677">
        <v>4</v>
      </c>
      <c r="I59" s="2677">
        <v>0.33</v>
      </c>
      <c r="J59" s="2677">
        <v>0.5</v>
      </c>
      <c r="K59" s="2677">
        <v>0.5</v>
      </c>
      <c r="L59" s="2678">
        <v>0</v>
      </c>
      <c r="N59" s="2714">
        <f t="shared" ref="N59:O62" si="67">I59/SUM(I$59:I$62)*(B$59/B$63-1)</f>
        <v>1.3391770148526898E-2</v>
      </c>
      <c r="O59" s="2715">
        <f t="shared" si="67"/>
        <v>1.063264221158958E-2</v>
      </c>
      <c r="P59" s="2715">
        <f t="shared" ref="P59:Q62" si="68">K59/SUM(K$59:K$62)*(E$59/E$63-1)</f>
        <v>2.2244466688911134E-2</v>
      </c>
      <c r="Q59" s="2715">
        <f t="shared" si="68"/>
        <v>0</v>
      </c>
      <c r="R59" s="2668"/>
      <c r="S59" s="2669"/>
      <c r="T59" s="2670"/>
      <c r="U59" s="2670"/>
      <c r="V59" s="2670"/>
      <c r="X59" s="2716"/>
      <c r="Y59" s="2716"/>
      <c r="Z59" s="2716"/>
    </row>
    <row r="60" spans="1:26">
      <c r="A60" s="2657" t="s">
        <v>2622</v>
      </c>
      <c r="B60" s="2671">
        <f t="shared" ref="B60:C62" si="69">B61+(B$59-B$63)*I60/SUM(I$59:I$62)</f>
        <v>119.51351351351352</v>
      </c>
      <c r="C60" s="2671">
        <f t="shared" si="69"/>
        <v>120.7878787878788</v>
      </c>
      <c r="D60" s="2671">
        <f t="shared" si="35"/>
        <v>120.7878787878788</v>
      </c>
      <c r="E60" s="2671">
        <f t="shared" ref="E60:F62" si="70">E61+(E$59-E$63)*K60/SUM(K$59:K$62)</f>
        <v>121.5975975975976</v>
      </c>
      <c r="F60" s="2671">
        <f t="shared" si="70"/>
        <v>107</v>
      </c>
      <c r="G60" s="3464">
        <v>2004</v>
      </c>
      <c r="H60" s="2682">
        <v>3</v>
      </c>
      <c r="I60" s="2682">
        <v>0.56000000000000005</v>
      </c>
      <c r="J60" s="2682">
        <v>0.8</v>
      </c>
      <c r="K60" s="2682">
        <v>0.83</v>
      </c>
      <c r="L60" s="2683">
        <v>0.06</v>
      </c>
      <c r="N60" s="2714">
        <f t="shared" si="67"/>
        <v>2.2725428130833527E-2</v>
      </c>
      <c r="O60" s="2715">
        <f t="shared" si="67"/>
        <v>1.7012227538543329E-2</v>
      </c>
      <c r="P60" s="2715">
        <f t="shared" si="68"/>
        <v>3.6925814703592477E-2</v>
      </c>
      <c r="Q60" s="2715">
        <f t="shared" si="68"/>
        <v>2.8846153846153744E-2</v>
      </c>
      <c r="R60" s="2668"/>
      <c r="S60" s="2666"/>
      <c r="T60" s="2667"/>
      <c r="U60" s="2667"/>
      <c r="V60" s="2667"/>
      <c r="X60" s="2716"/>
      <c r="Y60" s="2716"/>
      <c r="Z60" s="2716"/>
    </row>
    <row r="61" spans="1:26">
      <c r="A61" s="2657" t="s">
        <v>2623</v>
      </c>
      <c r="B61" s="2671">
        <f t="shared" si="69"/>
        <v>116.99099099099099</v>
      </c>
      <c r="C61" s="2671">
        <f t="shared" si="69"/>
        <v>118.84848484848486</v>
      </c>
      <c r="D61" s="2671">
        <f t="shared" si="35"/>
        <v>118.84848484848486</v>
      </c>
      <c r="E61" s="2671">
        <f t="shared" si="70"/>
        <v>117.60960960960961</v>
      </c>
      <c r="F61" s="2671">
        <f t="shared" si="70"/>
        <v>104</v>
      </c>
      <c r="G61" s="3464">
        <v>2004</v>
      </c>
      <c r="H61" s="2662">
        <v>2</v>
      </c>
      <c r="I61" s="2662">
        <v>1</v>
      </c>
      <c r="J61" s="2662">
        <v>1.5</v>
      </c>
      <c r="K61" s="2662">
        <v>1.5</v>
      </c>
      <c r="L61" s="2673">
        <v>0</v>
      </c>
      <c r="N61" s="2714">
        <f t="shared" si="67"/>
        <v>4.0581121662202721E-2</v>
      </c>
      <c r="O61" s="2715">
        <f t="shared" si="67"/>
        <v>3.1897926634768738E-2</v>
      </c>
      <c r="P61" s="2715">
        <f t="shared" si="68"/>
        <v>6.6733400066733395E-2</v>
      </c>
      <c r="Q61" s="2715">
        <f t="shared" si="68"/>
        <v>0</v>
      </c>
      <c r="R61" s="2668"/>
      <c r="S61" s="2666"/>
      <c r="T61" s="2667"/>
      <c r="U61" s="2667"/>
      <c r="V61" s="2667"/>
      <c r="X61" s="2716"/>
      <c r="Y61" s="2716"/>
      <c r="Z61" s="2716"/>
    </row>
    <row r="62" spans="1:26" s="2707" customFormat="1" ht="13.5" thickBot="1">
      <c r="A62" s="2657" t="s">
        <v>2624</v>
      </c>
      <c r="B62" s="2704">
        <f t="shared" si="69"/>
        <v>112.48648648648648</v>
      </c>
      <c r="C62" s="2704">
        <f t="shared" si="69"/>
        <v>115.21212121212122</v>
      </c>
      <c r="D62" s="2704">
        <f t="shared" si="35"/>
        <v>115.21212121212122</v>
      </c>
      <c r="E62" s="2704">
        <f t="shared" si="70"/>
        <v>110.4024024024024</v>
      </c>
      <c r="F62" s="2704">
        <f t="shared" si="70"/>
        <v>104</v>
      </c>
      <c r="G62" s="3465">
        <v>2004</v>
      </c>
      <c r="H62" s="2705">
        <v>1</v>
      </c>
      <c r="I62" s="2705">
        <v>0.33</v>
      </c>
      <c r="J62" s="2705">
        <v>0.5</v>
      </c>
      <c r="K62" s="2705">
        <v>0.5</v>
      </c>
      <c r="L62" s="2706">
        <v>0</v>
      </c>
      <c r="N62" s="2719">
        <f t="shared" si="67"/>
        <v>1.3391770148526898E-2</v>
      </c>
      <c r="O62" s="2720">
        <f t="shared" si="67"/>
        <v>1.063264221158958E-2</v>
      </c>
      <c r="P62" s="2720">
        <f t="shared" si="68"/>
        <v>2.2244466688911134E-2</v>
      </c>
      <c r="Q62" s="2720">
        <f t="shared" si="68"/>
        <v>0</v>
      </c>
      <c r="R62" s="2710"/>
      <c r="S62" s="2708">
        <f>B62/B63-1</f>
        <v>1.3391770148526883E-2</v>
      </c>
      <c r="T62" s="2709">
        <f>C62/C63-1</f>
        <v>1.063264221158966E-2</v>
      </c>
      <c r="U62" s="2709">
        <f>E62/E63-1</f>
        <v>2.2244466688911224E-2</v>
      </c>
      <c r="V62" s="2709">
        <f>F62/F63-1</f>
        <v>0</v>
      </c>
      <c r="X62" s="2721"/>
      <c r="Y62" s="2721"/>
      <c r="Z62" s="2721"/>
    </row>
    <row r="63" spans="1:26" ht="13.5" thickBot="1">
      <c r="A63" s="2657" t="s">
        <v>2625</v>
      </c>
      <c r="B63" s="2722">
        <v>111</v>
      </c>
      <c r="C63" s="2722">
        <v>114</v>
      </c>
      <c r="D63" s="2722">
        <f t="shared" si="35"/>
        <v>114</v>
      </c>
      <c r="E63" s="2722">
        <v>108</v>
      </c>
      <c r="F63" s="2723">
        <v>104</v>
      </c>
      <c r="G63" s="3463">
        <v>2003</v>
      </c>
      <c r="H63" s="2712">
        <v>4</v>
      </c>
      <c r="I63" s="2724"/>
      <c r="J63" s="2724"/>
      <c r="K63" s="2724"/>
      <c r="L63" s="2724"/>
      <c r="N63" s="2725"/>
      <c r="O63" s="2724"/>
      <c r="P63" s="2724"/>
      <c r="Q63" s="2724"/>
      <c r="S63" s="2725"/>
      <c r="T63" s="2724"/>
      <c r="U63" s="2724"/>
      <c r="V63" s="2724"/>
      <c r="X63" s="2716"/>
      <c r="Y63" s="2716"/>
      <c r="Z63" s="2716"/>
    </row>
    <row r="64" spans="1:26">
      <c r="A64" s="2657" t="s">
        <v>2626</v>
      </c>
      <c r="B64" s="2726">
        <f t="shared" ref="B64:C66" si="71">B65+(B$63-B$67)/4</f>
        <v>109.75</v>
      </c>
      <c r="C64" s="2726">
        <f t="shared" si="71"/>
        <v>112.25</v>
      </c>
      <c r="D64" s="2726">
        <f t="shared" si="35"/>
        <v>112.25</v>
      </c>
      <c r="E64" s="2726">
        <f t="shared" ref="E64:F66" si="72">E65+(E$63-E$67)/4</f>
        <v>107.25</v>
      </c>
      <c r="F64" s="2726">
        <f t="shared" si="72"/>
        <v>103.5</v>
      </c>
      <c r="G64" s="3464">
        <v>2003</v>
      </c>
      <c r="H64" s="2682">
        <v>3</v>
      </c>
      <c r="I64" s="2724"/>
      <c r="J64" s="2724"/>
      <c r="K64" s="2724"/>
      <c r="L64" s="2724"/>
      <c r="X64" s="2716"/>
      <c r="Y64" s="2716"/>
      <c r="Z64" s="2716"/>
    </row>
    <row r="65" spans="1:26">
      <c r="A65" s="2657" t="s">
        <v>2627</v>
      </c>
      <c r="B65" s="2726">
        <f t="shared" si="71"/>
        <v>108.5</v>
      </c>
      <c r="C65" s="2726">
        <f t="shared" si="71"/>
        <v>110.5</v>
      </c>
      <c r="D65" s="2726">
        <f t="shared" si="35"/>
        <v>110.5</v>
      </c>
      <c r="E65" s="2726">
        <f t="shared" si="72"/>
        <v>106.5</v>
      </c>
      <c r="F65" s="2726">
        <f t="shared" si="72"/>
        <v>103</v>
      </c>
      <c r="G65" s="3464">
        <v>2003</v>
      </c>
      <c r="H65" s="2662">
        <v>2</v>
      </c>
      <c r="I65" s="2724"/>
      <c r="J65" s="2724"/>
      <c r="K65" s="2724"/>
      <c r="L65" s="2724"/>
      <c r="X65" s="2716"/>
      <c r="Y65" s="2716"/>
      <c r="Z65" s="2716"/>
    </row>
    <row r="66" spans="1:26" ht="13.5" thickBot="1">
      <c r="A66" s="2657" t="s">
        <v>2628</v>
      </c>
      <c r="B66" s="2726">
        <f t="shared" si="71"/>
        <v>107.25</v>
      </c>
      <c r="C66" s="2726">
        <f t="shared" si="71"/>
        <v>108.75</v>
      </c>
      <c r="D66" s="2726">
        <f t="shared" si="35"/>
        <v>108.75</v>
      </c>
      <c r="E66" s="2726">
        <f t="shared" si="72"/>
        <v>105.75</v>
      </c>
      <c r="F66" s="2726">
        <f t="shared" si="72"/>
        <v>102.5</v>
      </c>
      <c r="G66" s="3465">
        <v>2003</v>
      </c>
      <c r="H66" s="2727">
        <v>1</v>
      </c>
      <c r="I66" s="2724"/>
      <c r="J66" s="2724"/>
      <c r="K66" s="2724"/>
      <c r="L66" s="2724"/>
      <c r="S66" s="2666"/>
      <c r="T66" s="2667"/>
      <c r="U66" s="2667"/>
      <c r="X66" s="2716"/>
      <c r="Y66" s="2716"/>
      <c r="Z66" s="2716"/>
    </row>
    <row r="67" spans="1:26" ht="13.5" thickBot="1">
      <c r="A67" s="2657" t="s">
        <v>2629</v>
      </c>
      <c r="B67" s="2728">
        <v>106</v>
      </c>
      <c r="C67" s="2728">
        <v>107</v>
      </c>
      <c r="D67" s="2728">
        <f t="shared" si="35"/>
        <v>107</v>
      </c>
      <c r="E67" s="2728">
        <v>105</v>
      </c>
      <c r="F67" s="2729">
        <v>102</v>
      </c>
      <c r="G67" s="3463">
        <v>2002</v>
      </c>
      <c r="H67" s="2677">
        <v>4</v>
      </c>
      <c r="I67" s="2724"/>
      <c r="J67" s="2724"/>
      <c r="K67" s="2724"/>
      <c r="L67" s="2724"/>
      <c r="N67" s="2725"/>
      <c r="O67" s="2724"/>
      <c r="P67" s="2724"/>
      <c r="Q67" s="2724"/>
      <c r="S67" s="2725"/>
      <c r="T67" s="2724"/>
      <c r="U67" s="2724"/>
      <c r="V67" s="2724"/>
      <c r="X67" s="2716"/>
      <c r="Y67" s="2716"/>
      <c r="Z67" s="2716"/>
    </row>
    <row r="68" spans="1:26">
      <c r="A68" s="2657" t="s">
        <v>2630</v>
      </c>
      <c r="B68" s="2726">
        <f t="shared" ref="B68:C70" si="73">B69+(B$67-B$71)/4</f>
        <v>105</v>
      </c>
      <c r="C68" s="2726">
        <f t="shared" si="73"/>
        <v>106</v>
      </c>
      <c r="D68" s="2726">
        <f t="shared" si="35"/>
        <v>106</v>
      </c>
      <c r="E68" s="2726">
        <f t="shared" ref="E68:F70" si="74">E69+(E$67-E$71)/4</f>
        <v>104.5</v>
      </c>
      <c r="F68" s="2726">
        <f t="shared" si="74"/>
        <v>101.5</v>
      </c>
      <c r="G68" s="3464">
        <v>2002</v>
      </c>
      <c r="H68" s="2682">
        <v>3</v>
      </c>
      <c r="I68" s="2724"/>
      <c r="J68" s="2724"/>
      <c r="K68" s="2724"/>
      <c r="L68" s="2724"/>
      <c r="X68" s="2716"/>
      <c r="Y68" s="2716"/>
      <c r="Z68" s="2716"/>
    </row>
    <row r="69" spans="1:26">
      <c r="A69" s="2657" t="s">
        <v>2631</v>
      </c>
      <c r="B69" s="2726">
        <f t="shared" si="73"/>
        <v>104</v>
      </c>
      <c r="C69" s="2726">
        <f t="shared" si="73"/>
        <v>105</v>
      </c>
      <c r="D69" s="2726">
        <f t="shared" si="35"/>
        <v>105</v>
      </c>
      <c r="E69" s="2726">
        <f t="shared" si="74"/>
        <v>104</v>
      </c>
      <c r="F69" s="2726">
        <f t="shared" si="74"/>
        <v>101</v>
      </c>
      <c r="G69" s="3464">
        <v>2002</v>
      </c>
      <c r="H69" s="2662">
        <v>2</v>
      </c>
      <c r="I69" s="2724"/>
      <c r="J69" s="2724"/>
      <c r="K69" s="2724"/>
      <c r="L69" s="2724"/>
      <c r="X69" s="2716"/>
      <c r="Y69" s="2716"/>
      <c r="Z69" s="2716"/>
    </row>
    <row r="70" spans="1:26" s="2693" customFormat="1" ht="13.5" thickBot="1">
      <c r="A70" s="2689" t="s">
        <v>2632</v>
      </c>
      <c r="B70" s="2730">
        <f t="shared" si="73"/>
        <v>103</v>
      </c>
      <c r="C70" s="2730">
        <f t="shared" si="73"/>
        <v>104</v>
      </c>
      <c r="D70" s="2730">
        <f t="shared" si="35"/>
        <v>104</v>
      </c>
      <c r="E70" s="2730">
        <f t="shared" si="74"/>
        <v>103.5</v>
      </c>
      <c r="F70" s="2730">
        <f t="shared" si="74"/>
        <v>100.5</v>
      </c>
      <c r="G70" s="3465">
        <v>2002</v>
      </c>
      <c r="H70" s="2731">
        <v>1</v>
      </c>
      <c r="I70" s="2732"/>
      <c r="J70" s="2732"/>
      <c r="K70" s="2732"/>
      <c r="L70" s="2732"/>
      <c r="N70" s="2733"/>
      <c r="S70" s="2733"/>
      <c r="X70" s="2734"/>
      <c r="Y70" s="2734"/>
      <c r="Z70" s="2734"/>
    </row>
    <row r="71" spans="1:26" ht="13.5" thickBot="1">
      <c r="B71" s="2735">
        <v>102</v>
      </c>
      <c r="C71" s="2736">
        <v>103</v>
      </c>
      <c r="D71" s="2736">
        <f t="shared" si="35"/>
        <v>103</v>
      </c>
      <c r="E71" s="2736">
        <v>103</v>
      </c>
      <c r="F71" s="2737">
        <v>100</v>
      </c>
      <c r="I71" s="2724"/>
      <c r="J71" s="2724"/>
      <c r="K71" s="2724"/>
      <c r="L71" s="2724"/>
      <c r="N71" s="2725"/>
      <c r="O71" s="2724"/>
      <c r="P71" s="2724"/>
      <c r="Q71" s="2724"/>
      <c r="S71" s="2725"/>
      <c r="T71" s="2724"/>
      <c r="U71" s="2724"/>
      <c r="V71" s="2724"/>
      <c r="X71" s="2670"/>
      <c r="Y71" s="2670"/>
      <c r="Z71" s="2670"/>
    </row>
    <row r="73" spans="1:26" s="2739" customFormat="1">
      <c r="A73" s="2738" t="s">
        <v>2633</v>
      </c>
      <c r="G73" s="2740"/>
      <c r="N73" s="2740"/>
      <c r="S73" s="2740"/>
    </row>
    <row r="74" spans="1:26" s="2739" customFormat="1">
      <c r="A74" s="2739" t="s">
        <v>2634</v>
      </c>
      <c r="G74" s="2740"/>
      <c r="N74" s="2740"/>
      <c r="S74" s="2740"/>
    </row>
    <row r="75" spans="1:26" s="2739" customFormat="1">
      <c r="A75" s="2739" t="s">
        <v>2635</v>
      </c>
      <c r="G75" s="2740"/>
      <c r="I75" s="2741"/>
      <c r="J75" s="2741"/>
      <c r="K75" s="2741"/>
      <c r="L75" s="2741"/>
      <c r="N75" s="2742"/>
      <c r="O75" s="2741"/>
      <c r="P75" s="2741"/>
      <c r="Q75" s="2741"/>
      <c r="S75" s="2742"/>
      <c r="T75" s="2741"/>
      <c r="U75" s="2741"/>
      <c r="V75" s="2741"/>
    </row>
    <row r="76" spans="1:26" s="2739" customFormat="1">
      <c r="A76" s="2739" t="s">
        <v>2636</v>
      </c>
      <c r="G76" s="2740"/>
      <c r="N76" s="2740"/>
      <c r="S76" s="2740"/>
    </row>
    <row r="83" spans="7:22" ht="13.5" thickBot="1"/>
    <row r="84" spans="7:22">
      <c r="G84" s="2665"/>
      <c r="S84" s="2743" t="s">
        <v>2637</v>
      </c>
      <c r="T84" s="2744" t="s">
        <v>2638</v>
      </c>
      <c r="U84" s="2744" t="s">
        <v>2639</v>
      </c>
      <c r="V84" s="2744" t="s">
        <v>2640</v>
      </c>
    </row>
    <row r="85" spans="7:22">
      <c r="G85" s="2665"/>
      <c r="N85" s="2669"/>
      <c r="O85" s="2670"/>
      <c r="P85" s="2670"/>
      <c r="Q85" s="2670"/>
      <c r="S85" s="2745">
        <v>2006</v>
      </c>
      <c r="T85" s="2746">
        <v>15.1</v>
      </c>
      <c r="U85" s="2746">
        <v>7.43</v>
      </c>
      <c r="V85" s="2746">
        <v>26.26</v>
      </c>
    </row>
    <row r="86" spans="7:22">
      <c r="G86" s="2665"/>
      <c r="N86" s="2669"/>
      <c r="O86" s="2670"/>
      <c r="P86" s="2670"/>
      <c r="Q86" s="2670"/>
      <c r="S86" s="2748">
        <v>2005</v>
      </c>
      <c r="T86" s="2747">
        <v>13.9</v>
      </c>
      <c r="U86" s="2747">
        <v>7.49</v>
      </c>
      <c r="V86" s="2747">
        <v>24.92</v>
      </c>
    </row>
    <row r="87" spans="7:22">
      <c r="G87" s="2665"/>
      <c r="N87" s="2669"/>
      <c r="O87" s="2670"/>
      <c r="P87" s="2670"/>
      <c r="Q87" s="2670"/>
      <c r="S87" s="2745">
        <v>2004</v>
      </c>
      <c r="T87" s="2746">
        <v>9.48</v>
      </c>
      <c r="U87" s="2746">
        <v>7.2</v>
      </c>
      <c r="V87" s="2746">
        <v>14.68</v>
      </c>
    </row>
    <row r="88" spans="7:22">
      <c r="G88" s="2665"/>
      <c r="N88" s="2669"/>
      <c r="O88" s="2670"/>
      <c r="P88" s="2670"/>
      <c r="Q88" s="2670"/>
      <c r="S88" s="2748">
        <v>2003</v>
      </c>
      <c r="T88" s="2747">
        <v>4.5</v>
      </c>
      <c r="U88" s="2747">
        <v>6.12</v>
      </c>
      <c r="V88" s="2747">
        <v>2.34</v>
      </c>
    </row>
    <row r="89" spans="7:22" ht="13.5" thickBot="1">
      <c r="G89" s="2665"/>
      <c r="N89" s="2669"/>
      <c r="O89" s="2670"/>
      <c r="P89" s="2670"/>
      <c r="Q89" s="2670"/>
      <c r="S89" s="2749">
        <v>2002</v>
      </c>
      <c r="T89" s="2750">
        <v>3.59</v>
      </c>
      <c r="U89" s="2750">
        <v>4.54</v>
      </c>
      <c r="V89" s="2750">
        <v>2.5499999999999998</v>
      </c>
    </row>
    <row r="90" spans="7:22">
      <c r="G90" s="2665"/>
      <c r="N90" s="2669"/>
      <c r="O90" s="2670"/>
      <c r="P90" s="2670"/>
      <c r="Q90" s="2670"/>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c r="S100" s="2665"/>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2473</v>
      </c>
      <c r="B1" s="3474"/>
      <c r="C1" s="3475"/>
      <c r="D1" s="3476">
        <f>SUM(I10,I15,I20,I21,I23)</f>
        <v>0</v>
      </c>
      <c r="E1" s="3476"/>
      <c r="F1" s="3476"/>
      <c r="G1" s="3476"/>
      <c r="H1" s="3476"/>
      <c r="I1" s="3477"/>
    </row>
    <row r="2" spans="1:9">
      <c r="A2" s="3478" t="s">
        <v>2474</v>
      </c>
      <c r="B2" s="3479" t="s">
        <v>2475</v>
      </c>
      <c r="C2" s="3479"/>
      <c r="D2" s="2509" t="s">
        <v>2476</v>
      </c>
      <c r="E2" s="2509" t="s">
        <v>2477</v>
      </c>
      <c r="F2" s="2509" t="s">
        <v>2478</v>
      </c>
      <c r="G2" s="2509" t="s">
        <v>2479</v>
      </c>
      <c r="H2" s="2509" t="s">
        <v>2480</v>
      </c>
      <c r="I2" s="2510" t="s">
        <v>2481</v>
      </c>
    </row>
    <row r="3" spans="1:9">
      <c r="A3" s="3478"/>
      <c r="B3" s="3479" t="s">
        <v>2482</v>
      </c>
      <c r="C3" s="3479"/>
      <c r="D3" s="2511"/>
      <c r="E3" s="2509"/>
      <c r="F3" s="2512"/>
      <c r="G3" s="2512"/>
      <c r="H3" s="2513"/>
      <c r="I3" s="2514">
        <f>ROUND(D3*E3*F3*G3*H3/10000,0)</f>
        <v>0</v>
      </c>
    </row>
    <row r="4" spans="1:9">
      <c r="A4" s="3478"/>
      <c r="B4" s="3479" t="s">
        <v>2483</v>
      </c>
      <c r="C4" s="3479"/>
      <c r="D4" s="2511"/>
      <c r="E4" s="2509"/>
      <c r="F4" s="2512"/>
      <c r="G4" s="2512"/>
      <c r="H4" s="2513"/>
      <c r="I4" s="2514">
        <f t="shared" ref="I4:I9" si="0">ROUND(D4*E4*F4*G4*H4/10000,0)</f>
        <v>0</v>
      </c>
    </row>
    <row r="5" spans="1:9">
      <c r="A5" s="3478"/>
      <c r="B5" s="3479" t="s">
        <v>2484</v>
      </c>
      <c r="C5" s="3479"/>
      <c r="D5" s="2511"/>
      <c r="E5" s="2509"/>
      <c r="F5" s="2512"/>
      <c r="G5" s="2512"/>
      <c r="H5" s="2513"/>
      <c r="I5" s="2514">
        <f t="shared" si="0"/>
        <v>0</v>
      </c>
    </row>
    <row r="6" spans="1:9">
      <c r="A6" s="3478"/>
      <c r="B6" s="3479" t="s">
        <v>2485</v>
      </c>
      <c r="C6" s="3479"/>
      <c r="D6" s="2511"/>
      <c r="E6" s="2509"/>
      <c r="F6" s="2512"/>
      <c r="G6" s="2512"/>
      <c r="H6" s="2513"/>
      <c r="I6" s="2514">
        <f t="shared" si="0"/>
        <v>0</v>
      </c>
    </row>
    <row r="7" spans="1:9">
      <c r="A7" s="3478"/>
      <c r="B7" s="3479" t="s">
        <v>2486</v>
      </c>
      <c r="C7" s="3479"/>
      <c r="D7" s="2511"/>
      <c r="E7" s="2509"/>
      <c r="F7" s="2512"/>
      <c r="G7" s="2512"/>
      <c r="H7" s="2513"/>
      <c r="I7" s="2514">
        <f t="shared" si="0"/>
        <v>0</v>
      </c>
    </row>
    <row r="8" spans="1:9">
      <c r="A8" s="3478"/>
      <c r="B8" s="3479" t="s">
        <v>2487</v>
      </c>
      <c r="C8" s="3479"/>
      <c r="D8" s="2511"/>
      <c r="E8" s="2509"/>
      <c r="F8" s="2512"/>
      <c r="G8" s="2512"/>
      <c r="H8" s="2513"/>
      <c r="I8" s="2514">
        <f t="shared" si="0"/>
        <v>0</v>
      </c>
    </row>
    <row r="9" spans="1:9">
      <c r="A9" s="3478"/>
      <c r="B9" s="3479" t="s">
        <v>2488</v>
      </c>
      <c r="C9" s="3479"/>
      <c r="D9" s="2511"/>
      <c r="E9" s="2509"/>
      <c r="F9" s="2512"/>
      <c r="G9" s="2512"/>
      <c r="H9" s="2513"/>
      <c r="I9" s="2514">
        <f t="shared" si="0"/>
        <v>0</v>
      </c>
    </row>
    <row r="10" spans="1:9">
      <c r="A10" s="3478"/>
      <c r="B10" s="3480" t="s">
        <v>2489</v>
      </c>
      <c r="C10" s="3480"/>
      <c r="D10" s="2515">
        <v>527</v>
      </c>
      <c r="E10" s="2515" t="e">
        <f>ROUND(D1*10000/D10/H9,0)</f>
        <v>#DIV/0!</v>
      </c>
      <c r="F10" s="2516"/>
      <c r="G10" s="2516"/>
      <c r="H10" s="2517"/>
      <c r="I10" s="2518">
        <f>SUM(I3:I9)</f>
        <v>0</v>
      </c>
    </row>
    <row r="11" spans="1:9" ht="14.25">
      <c r="A11" s="3478" t="s">
        <v>2490</v>
      </c>
      <c r="B11" s="3479" t="s">
        <v>2491</v>
      </c>
      <c r="C11" s="3479"/>
      <c r="D11" s="2511" t="s">
        <v>2492</v>
      </c>
      <c r="E11" s="2511" t="s">
        <v>2493</v>
      </c>
      <c r="F11" s="2512" t="s">
        <v>2494</v>
      </c>
      <c r="G11" s="2512" t="s">
        <v>2495</v>
      </c>
      <c r="H11" s="2519" t="s">
        <v>2496</v>
      </c>
      <c r="I11" s="2510" t="s">
        <v>2497</v>
      </c>
    </row>
    <row r="12" spans="1:9">
      <c r="A12" s="3478"/>
      <c r="B12" s="3479" t="s">
        <v>2498</v>
      </c>
      <c r="C12" s="3479"/>
      <c r="D12" s="2511"/>
      <c r="E12" s="2511"/>
      <c r="F12" s="2512"/>
      <c r="G12" s="2513"/>
      <c r="H12" s="2520"/>
      <c r="I12" s="2510">
        <f>ROUND(D12*E12*F12*G12/10000,0)</f>
        <v>0</v>
      </c>
    </row>
    <row r="13" spans="1:9">
      <c r="A13" s="3478"/>
      <c r="B13" s="3479" t="s">
        <v>2499</v>
      </c>
      <c r="C13" s="3479"/>
      <c r="D13" s="2511"/>
      <c r="E13" s="2511"/>
      <c r="F13" s="2512"/>
      <c r="G13" s="2513"/>
      <c r="H13" s="2520"/>
      <c r="I13" s="2510">
        <f>ROUND(D13*E13*F13*G13/10000,0)</f>
        <v>0</v>
      </c>
    </row>
    <row r="14" spans="1:9">
      <c r="A14" s="3478"/>
      <c r="B14" s="3479" t="s">
        <v>2500</v>
      </c>
      <c r="C14" s="3479"/>
      <c r="D14" s="2511"/>
      <c r="E14" s="2511"/>
      <c r="F14" s="2512"/>
      <c r="G14" s="2513"/>
      <c r="H14" s="2520"/>
      <c r="I14" s="2510">
        <f>ROUND(D14*E14*F14*G14/10000,0)</f>
        <v>0</v>
      </c>
    </row>
    <row r="15" spans="1:9">
      <c r="A15" s="3478"/>
      <c r="B15" s="3480" t="s">
        <v>2489</v>
      </c>
      <c r="C15" s="3480"/>
      <c r="D15" s="2515"/>
      <c r="E15" s="2515">
        <f>SUM(E12:E14)</f>
        <v>0</v>
      </c>
      <c r="F15" s="2516"/>
      <c r="G15" s="2513"/>
      <c r="H15" s="2520"/>
      <c r="I15" s="2521">
        <f>SUM(I12:I14)</f>
        <v>0</v>
      </c>
    </row>
    <row r="16" spans="1:9" ht="24">
      <c r="A16" s="3478" t="s">
        <v>2501</v>
      </c>
      <c r="B16" s="3479" t="s">
        <v>2502</v>
      </c>
      <c r="C16" s="3479"/>
      <c r="D16" s="2511" t="s">
        <v>2503</v>
      </c>
      <c r="E16" s="2522" t="s">
        <v>2504</v>
      </c>
      <c r="F16" s="2512" t="s">
        <v>2505</v>
      </c>
      <c r="G16" s="2513" t="s">
        <v>2495</v>
      </c>
      <c r="H16" s="2519" t="s">
        <v>2496</v>
      </c>
      <c r="I16" s="2510" t="s">
        <v>2497</v>
      </c>
    </row>
    <row r="17" spans="1:9" ht="14.25">
      <c r="A17" s="3478"/>
      <c r="B17" s="3479" t="s">
        <v>2506</v>
      </c>
      <c r="C17" s="3479"/>
      <c r="D17" s="2511"/>
      <c r="E17" s="2511"/>
      <c r="F17" s="2512"/>
      <c r="G17" s="2513"/>
      <c r="H17" s="2523"/>
      <c r="I17" s="2524">
        <f>ROUND(D17*E17*F17*G17/10000,0)</f>
        <v>0</v>
      </c>
    </row>
    <row r="18" spans="1:9" ht="14.25">
      <c r="A18" s="3478"/>
      <c r="B18" s="3479" t="s">
        <v>2507</v>
      </c>
      <c r="C18" s="3479"/>
      <c r="D18" s="2511"/>
      <c r="E18" s="2511"/>
      <c r="F18" s="2512"/>
      <c r="G18" s="2513"/>
      <c r="H18" s="2523"/>
      <c r="I18" s="2524">
        <f>ROUND(D18*E18*F18*G18/10000,0)</f>
        <v>0</v>
      </c>
    </row>
    <row r="19" spans="1:9" ht="14.25">
      <c r="A19" s="3478"/>
      <c r="B19" s="3479" t="s">
        <v>2508</v>
      </c>
      <c r="C19" s="3479"/>
      <c r="D19" s="2511"/>
      <c r="E19" s="2511"/>
      <c r="F19" s="2512"/>
      <c r="G19" s="2513"/>
      <c r="H19" s="2523"/>
      <c r="I19" s="2524">
        <f>ROUND(D19*E19*F19*G19/10000,0)</f>
        <v>0</v>
      </c>
    </row>
    <row r="20" spans="1:9">
      <c r="A20" s="3478"/>
      <c r="B20" s="3480" t="s">
        <v>2489</v>
      </c>
      <c r="C20" s="3480"/>
      <c r="D20" s="2515">
        <f>SUM(D17:D19)</f>
        <v>0</v>
      </c>
      <c r="E20" s="2515"/>
      <c r="F20" s="2516"/>
      <c r="G20" s="2513"/>
      <c r="H20" s="2520"/>
      <c r="I20" s="2521">
        <f>SUM(I17:I19)</f>
        <v>0</v>
      </c>
    </row>
    <row r="21" spans="1:9">
      <c r="A21" s="3478" t="s">
        <v>2509</v>
      </c>
      <c r="B21" s="3482"/>
      <c r="C21" s="3482"/>
      <c r="D21" s="3482"/>
      <c r="E21" s="3482"/>
      <c r="F21" s="3482"/>
      <c r="G21" s="3482"/>
      <c r="H21" s="2525">
        <v>0.1</v>
      </c>
      <c r="I21" s="2518">
        <f>ROUND(I10*H21,0)</f>
        <v>0</v>
      </c>
    </row>
    <row r="22" spans="1:9" ht="14.25">
      <c r="A22" s="3483" t="s">
        <v>2510</v>
      </c>
      <c r="B22" s="3484"/>
      <c r="C22" s="3485"/>
      <c r="D22" s="2526" t="s">
        <v>2511</v>
      </c>
      <c r="E22" s="2526" t="s">
        <v>2512</v>
      </c>
      <c r="F22" s="2527" t="s">
        <v>2513</v>
      </c>
      <c r="G22" s="2527" t="s">
        <v>2514</v>
      </c>
      <c r="H22" s="2519" t="s">
        <v>2515</v>
      </c>
      <c r="I22" s="2510" t="s">
        <v>2516</v>
      </c>
    </row>
    <row r="23" spans="1:9" ht="14.25" thickBot="1">
      <c r="A23" s="3486"/>
      <c r="B23" s="3487"/>
      <c r="C23" s="3488"/>
      <c r="D23" s="2528"/>
      <c r="E23" s="2528"/>
      <c r="F23" s="2528"/>
      <c r="G23" s="2529"/>
      <c r="H23" s="2530"/>
      <c r="I23" s="2531">
        <f>ROUND(E23*D23*F23*(1-G23)/10000,0)</f>
        <v>0</v>
      </c>
    </row>
    <row r="26" spans="1:9">
      <c r="A26" s="2532" t="s">
        <v>2517</v>
      </c>
      <c r="B26" s="2532"/>
      <c r="C26" s="2532"/>
      <c r="D26" s="2532"/>
      <c r="E26" s="3489">
        <f>C27-C30-C31-C32</f>
        <v>0</v>
      </c>
      <c r="F26" s="3489"/>
      <c r="G26" s="3489"/>
      <c r="H26" s="3046" t="s">
        <v>2845</v>
      </c>
    </row>
    <row r="27" spans="1:9">
      <c r="A27" s="2533">
        <v>1</v>
      </c>
      <c r="B27" s="2534" t="s">
        <v>2518</v>
      </c>
      <c r="C27" s="2534"/>
      <c r="D27" s="2534"/>
      <c r="E27" s="3490"/>
      <c r="F27" s="3490"/>
      <c r="G27" s="3490"/>
    </row>
    <row r="28" spans="1:9">
      <c r="A28" s="2535" t="s">
        <v>2519</v>
      </c>
      <c r="B28" s="2534" t="s">
        <v>2520</v>
      </c>
      <c r="C28" s="2534"/>
      <c r="D28" s="2534"/>
      <c r="E28" s="3490"/>
      <c r="F28" s="3490"/>
      <c r="G28" s="3490"/>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81"/>
      <c r="F32" s="3481"/>
      <c r="G32" s="3481"/>
    </row>
    <row r="33" spans="1:7" hidden="1">
      <c r="A33" s="3491" t="s">
        <v>2528</v>
      </c>
      <c r="B33" s="3492"/>
      <c r="C33" s="3492"/>
      <c r="D33" s="3493"/>
      <c r="E33" s="3489"/>
      <c r="F33" s="3489"/>
      <c r="G33" s="3489"/>
    </row>
    <row r="34" spans="1:7" hidden="1">
      <c r="A34" s="2537">
        <v>1</v>
      </c>
      <c r="B34" s="2534" t="s">
        <v>2529</v>
      </c>
      <c r="C34" s="2534"/>
      <c r="D34" s="2534"/>
      <c r="E34" s="3490"/>
      <c r="F34" s="3490"/>
      <c r="G34" s="3490"/>
    </row>
    <row r="35" spans="1:7" hidden="1">
      <c r="A35" s="2537">
        <v>2</v>
      </c>
      <c r="B35" s="2534" t="s">
        <v>2530</v>
      </c>
      <c r="C35" s="2534"/>
      <c r="D35" s="2534"/>
      <c r="E35" s="3490"/>
      <c r="F35" s="3490"/>
      <c r="G35" s="3490"/>
    </row>
    <row r="36" spans="1:7" hidden="1">
      <c r="A36" s="2537">
        <v>3</v>
      </c>
      <c r="B36" s="2534" t="s">
        <v>2531</v>
      </c>
      <c r="C36" s="2534"/>
      <c r="D36" s="2534"/>
      <c r="E36" s="3490"/>
      <c r="F36" s="3490"/>
      <c r="G36" s="3490"/>
    </row>
    <row r="37" spans="1:7" hidden="1">
      <c r="A37" s="2537">
        <v>4</v>
      </c>
      <c r="B37" s="2534" t="s">
        <v>2532</v>
      </c>
      <c r="C37" s="2534"/>
      <c r="D37" s="2534"/>
      <c r="E37" s="3490"/>
      <c r="F37" s="3490"/>
      <c r="G37" s="3490"/>
    </row>
    <row r="38" spans="1:7" hidden="1">
      <c r="A38" s="3491" t="s">
        <v>2533</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8732.99平方米。</v>
      </c>
    </row>
    <row r="7" spans="1:4" ht="56.25">
      <c r="A7" s="1797" t="s">
        <v>2749</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根据《国有土地使用证》[]，估价对象（分摊）出让国有建设用地使用权面积为5821.99平方米。根据《建设工程规划许可证》[]、《出让合同》[]，估价对象规划建筑面积为8732.99平方米。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8月18日地下车库2066年8月18日、地下仓储2066年8月18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71">
        <v>1</v>
      </c>
      <c r="B7" s="748" t="s">
        <v>608</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612</v>
      </c>
      <c r="C10" s="749">
        <f>C11+C14+C15</f>
        <v>0</v>
      </c>
      <c r="D10" s="760">
        <f>'数据-汇总表'!E3</f>
        <v>8732.99</v>
      </c>
      <c r="E10" s="749">
        <f>'数据-取费表'!B31</f>
        <v>60</v>
      </c>
      <c r="F10" s="761"/>
      <c r="G10" s="759" t="s">
        <v>613</v>
      </c>
    </row>
    <row r="11" spans="1:25" s="2185" customFormat="1" ht="13.5" customHeight="1">
      <c r="A11" s="2471" t="s">
        <v>2442</v>
      </c>
      <c r="B11" s="752" t="s">
        <v>609</v>
      </c>
      <c r="C11" s="753">
        <f>'数据-取费表'!B29</f>
        <v>0</v>
      </c>
      <c r="D11" s="754"/>
      <c r="E11" s="753"/>
      <c r="F11" s="755"/>
      <c r="G11" s="2480" t="s">
        <v>2453</v>
      </c>
    </row>
    <row r="12" spans="1:25" s="2185" customFormat="1" ht="13.5" customHeight="1">
      <c r="A12" s="2478" t="s">
        <v>2450</v>
      </c>
      <c r="B12" s="756" t="s">
        <v>610</v>
      </c>
      <c r="C12" s="757">
        <f>ROUND(D12*E12/10000,0)</f>
        <v>119</v>
      </c>
      <c r="D12" s="758">
        <f>'数据-汇总表'!E5</f>
        <v>8732.99</v>
      </c>
      <c r="E12" s="757">
        <f>'数据-取费表'!B27</f>
        <v>136.5</v>
      </c>
      <c r="F12" s="755"/>
      <c r="G12" s="759"/>
    </row>
    <row r="13" spans="1:25" s="2185" customFormat="1" ht="13.5" customHeight="1">
      <c r="A13" s="2478" t="s">
        <v>2449</v>
      </c>
      <c r="B13" s="756" t="s">
        <v>611</v>
      </c>
      <c r="C13" s="757">
        <f>ROUND(D13*E13/10000,0)</f>
        <v>0</v>
      </c>
      <c r="D13" s="758">
        <f>'数据-汇总表'!E6</f>
        <v>0</v>
      </c>
      <c r="E13" s="757">
        <f>'数据-取费表'!B28</f>
        <v>136.5</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614</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615</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616</v>
      </c>
      <c r="C18" s="749">
        <f>ROUND((C7+C10+C16)*F18,0)</f>
        <v>0</v>
      </c>
      <c r="D18" s="762"/>
      <c r="E18" s="763"/>
      <c r="F18" s="761">
        <f>'数据-取费表'!Q16</f>
        <v>0.2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624</v>
      </c>
      <c r="C22" s="749">
        <f ca="1">ROUND(C21*F22,0)</f>
        <v>0</v>
      </c>
      <c r="D22" s="760"/>
      <c r="E22" s="749"/>
      <c r="F22" s="766">
        <f>'数据-取费表'!AP16</f>
        <v>0.96399999999999997</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02"/>
  <sheetViews>
    <sheetView workbookViewId="0">
      <selection activeCell="A7" sqref="A7"/>
    </sheetView>
  </sheetViews>
  <sheetFormatPr defaultRowHeight="12.75"/>
  <cols>
    <col min="1" max="1" width="36.875" style="3185" customWidth="1"/>
    <col min="2" max="2" width="6.25" style="3185" customWidth="1"/>
    <col min="3" max="3" width="9.125" style="3185" customWidth="1"/>
    <col min="4" max="4" width="8.375" style="3185" customWidth="1"/>
    <col min="5" max="5" width="13.875" style="3185" customWidth="1"/>
    <col min="6" max="6" width="10.625" style="3185" customWidth="1"/>
    <col min="7" max="7" width="7.875" style="3185" customWidth="1"/>
    <col min="8" max="8" width="9" style="3185" customWidth="1"/>
    <col min="9" max="10" width="10.625" style="3185" customWidth="1"/>
    <col min="11" max="11" width="7.625" style="3185" customWidth="1"/>
    <col min="12" max="12" width="7.75" style="3185" customWidth="1"/>
    <col min="13" max="13" width="6.25" style="3185" customWidth="1"/>
    <col min="14" max="14" width="26.125" style="3185" customWidth="1"/>
    <col min="15" max="257" width="9" style="3185"/>
    <col min="258" max="258" width="85.25" style="3185" customWidth="1"/>
    <col min="259" max="259" width="6.25" style="3185" customWidth="1"/>
    <col min="260" max="262" width="13.875" style="3185" customWidth="1"/>
    <col min="263" max="263" width="54.375" style="3185" customWidth="1"/>
    <col min="264" max="264" width="7.875" style="3185" customWidth="1"/>
    <col min="265" max="265" width="9" style="3185" customWidth="1"/>
    <col min="266" max="267" width="10.625" style="3185" customWidth="1"/>
    <col min="268" max="268" width="14.375" style="3185" customWidth="1"/>
    <col min="269" max="269" width="6.25" style="3185" customWidth="1"/>
    <col min="270" max="270" width="26.125" style="3185" customWidth="1"/>
    <col min="271" max="513" width="9" style="3185"/>
    <col min="514" max="514" width="85.25" style="3185" customWidth="1"/>
    <col min="515" max="515" width="6.25" style="3185" customWidth="1"/>
    <col min="516" max="518" width="13.875" style="3185" customWidth="1"/>
    <col min="519" max="519" width="54.375" style="3185" customWidth="1"/>
    <col min="520" max="520" width="7.875" style="3185" customWidth="1"/>
    <col min="521" max="521" width="9" style="3185" customWidth="1"/>
    <col min="522" max="523" width="10.625" style="3185" customWidth="1"/>
    <col min="524" max="524" width="14.375" style="3185" customWidth="1"/>
    <col min="525" max="525" width="6.25" style="3185" customWidth="1"/>
    <col min="526" max="526" width="26.125" style="3185" customWidth="1"/>
    <col min="527" max="769" width="9" style="3185"/>
    <col min="770" max="770" width="85.25" style="3185" customWidth="1"/>
    <col min="771" max="771" width="6.25" style="3185" customWidth="1"/>
    <col min="772" max="774" width="13.875" style="3185" customWidth="1"/>
    <col min="775" max="775" width="54.375" style="3185" customWidth="1"/>
    <col min="776" max="776" width="7.875" style="3185" customWidth="1"/>
    <col min="777" max="777" width="9" style="3185" customWidth="1"/>
    <col min="778" max="779" width="10.625" style="3185" customWidth="1"/>
    <col min="780" max="780" width="14.375" style="3185" customWidth="1"/>
    <col min="781" max="781" width="6.25" style="3185" customWidth="1"/>
    <col min="782" max="782" width="26.125" style="3185" customWidth="1"/>
    <col min="783" max="1025" width="9" style="3185"/>
    <col min="1026" max="1026" width="85.25" style="3185" customWidth="1"/>
    <col min="1027" max="1027" width="6.25" style="3185" customWidth="1"/>
    <col min="1028" max="1030" width="13.875" style="3185" customWidth="1"/>
    <col min="1031" max="1031" width="54.375" style="3185" customWidth="1"/>
    <col min="1032" max="1032" width="7.875" style="3185" customWidth="1"/>
    <col min="1033" max="1033" width="9" style="3185" customWidth="1"/>
    <col min="1034" max="1035" width="10.625" style="3185" customWidth="1"/>
    <col min="1036" max="1036" width="14.375" style="3185" customWidth="1"/>
    <col min="1037" max="1037" width="6.25" style="3185" customWidth="1"/>
    <col min="1038" max="1038" width="26.125" style="3185" customWidth="1"/>
    <col min="1039" max="1281" width="9" style="3185"/>
    <col min="1282" max="1282" width="85.25" style="3185" customWidth="1"/>
    <col min="1283" max="1283" width="6.25" style="3185" customWidth="1"/>
    <col min="1284" max="1286" width="13.875" style="3185" customWidth="1"/>
    <col min="1287" max="1287" width="54.375" style="3185" customWidth="1"/>
    <col min="1288" max="1288" width="7.875" style="3185" customWidth="1"/>
    <col min="1289" max="1289" width="9" style="3185" customWidth="1"/>
    <col min="1290" max="1291" width="10.625" style="3185" customWidth="1"/>
    <col min="1292" max="1292" width="14.375" style="3185" customWidth="1"/>
    <col min="1293" max="1293" width="6.25" style="3185" customWidth="1"/>
    <col min="1294" max="1294" width="26.125" style="3185" customWidth="1"/>
    <col min="1295" max="1537" width="9" style="3185"/>
    <col min="1538" max="1538" width="85.25" style="3185" customWidth="1"/>
    <col min="1539" max="1539" width="6.25" style="3185" customWidth="1"/>
    <col min="1540" max="1542" width="13.875" style="3185" customWidth="1"/>
    <col min="1543" max="1543" width="54.375" style="3185" customWidth="1"/>
    <col min="1544" max="1544" width="7.875" style="3185" customWidth="1"/>
    <col min="1545" max="1545" width="9" style="3185" customWidth="1"/>
    <col min="1546" max="1547" width="10.625" style="3185" customWidth="1"/>
    <col min="1548" max="1548" width="14.375" style="3185" customWidth="1"/>
    <col min="1549" max="1549" width="6.25" style="3185" customWidth="1"/>
    <col min="1550" max="1550" width="26.125" style="3185" customWidth="1"/>
    <col min="1551" max="1793" width="9" style="3185"/>
    <col min="1794" max="1794" width="85.25" style="3185" customWidth="1"/>
    <col min="1795" max="1795" width="6.25" style="3185" customWidth="1"/>
    <col min="1796" max="1798" width="13.875" style="3185" customWidth="1"/>
    <col min="1799" max="1799" width="54.375" style="3185" customWidth="1"/>
    <col min="1800" max="1800" width="7.875" style="3185" customWidth="1"/>
    <col min="1801" max="1801" width="9" style="3185" customWidth="1"/>
    <col min="1802" max="1803" width="10.625" style="3185" customWidth="1"/>
    <col min="1804" max="1804" width="14.375" style="3185" customWidth="1"/>
    <col min="1805" max="1805" width="6.25" style="3185" customWidth="1"/>
    <col min="1806" max="1806" width="26.125" style="3185" customWidth="1"/>
    <col min="1807" max="2049" width="9" style="3185"/>
    <col min="2050" max="2050" width="85.25" style="3185" customWidth="1"/>
    <col min="2051" max="2051" width="6.25" style="3185" customWidth="1"/>
    <col min="2052" max="2054" width="13.875" style="3185" customWidth="1"/>
    <col min="2055" max="2055" width="54.375" style="3185" customWidth="1"/>
    <col min="2056" max="2056" width="7.875" style="3185" customWidth="1"/>
    <col min="2057" max="2057" width="9" style="3185" customWidth="1"/>
    <col min="2058" max="2059" width="10.625" style="3185" customWidth="1"/>
    <col min="2060" max="2060" width="14.375" style="3185" customWidth="1"/>
    <col min="2061" max="2061" width="6.25" style="3185" customWidth="1"/>
    <col min="2062" max="2062" width="26.125" style="3185" customWidth="1"/>
    <col min="2063" max="2305" width="9" style="3185"/>
    <col min="2306" max="2306" width="85.25" style="3185" customWidth="1"/>
    <col min="2307" max="2307" width="6.25" style="3185" customWidth="1"/>
    <col min="2308" max="2310" width="13.875" style="3185" customWidth="1"/>
    <col min="2311" max="2311" width="54.375" style="3185" customWidth="1"/>
    <col min="2312" max="2312" width="7.875" style="3185" customWidth="1"/>
    <col min="2313" max="2313" width="9" style="3185" customWidth="1"/>
    <col min="2314" max="2315" width="10.625" style="3185" customWidth="1"/>
    <col min="2316" max="2316" width="14.375" style="3185" customWidth="1"/>
    <col min="2317" max="2317" width="6.25" style="3185" customWidth="1"/>
    <col min="2318" max="2318" width="26.125" style="3185" customWidth="1"/>
    <col min="2319" max="2561" width="9" style="3185"/>
    <col min="2562" max="2562" width="85.25" style="3185" customWidth="1"/>
    <col min="2563" max="2563" width="6.25" style="3185" customWidth="1"/>
    <col min="2564" max="2566" width="13.875" style="3185" customWidth="1"/>
    <col min="2567" max="2567" width="54.375" style="3185" customWidth="1"/>
    <col min="2568" max="2568" width="7.875" style="3185" customWidth="1"/>
    <col min="2569" max="2569" width="9" style="3185" customWidth="1"/>
    <col min="2570" max="2571" width="10.625" style="3185" customWidth="1"/>
    <col min="2572" max="2572" width="14.375" style="3185" customWidth="1"/>
    <col min="2573" max="2573" width="6.25" style="3185" customWidth="1"/>
    <col min="2574" max="2574" width="26.125" style="3185" customWidth="1"/>
    <col min="2575" max="2817" width="9" style="3185"/>
    <col min="2818" max="2818" width="85.25" style="3185" customWidth="1"/>
    <col min="2819" max="2819" width="6.25" style="3185" customWidth="1"/>
    <col min="2820" max="2822" width="13.875" style="3185" customWidth="1"/>
    <col min="2823" max="2823" width="54.375" style="3185" customWidth="1"/>
    <col min="2824" max="2824" width="7.875" style="3185" customWidth="1"/>
    <col min="2825" max="2825" width="9" style="3185" customWidth="1"/>
    <col min="2826" max="2827" width="10.625" style="3185" customWidth="1"/>
    <col min="2828" max="2828" width="14.375" style="3185" customWidth="1"/>
    <col min="2829" max="2829" width="6.25" style="3185" customWidth="1"/>
    <col min="2830" max="2830" width="26.125" style="3185" customWidth="1"/>
    <col min="2831" max="3073" width="9" style="3185"/>
    <col min="3074" max="3074" width="85.25" style="3185" customWidth="1"/>
    <col min="3075" max="3075" width="6.25" style="3185" customWidth="1"/>
    <col min="3076" max="3078" width="13.875" style="3185" customWidth="1"/>
    <col min="3079" max="3079" width="54.375" style="3185" customWidth="1"/>
    <col min="3080" max="3080" width="7.875" style="3185" customWidth="1"/>
    <col min="3081" max="3081" width="9" style="3185" customWidth="1"/>
    <col min="3082" max="3083" width="10.625" style="3185" customWidth="1"/>
    <col min="3084" max="3084" width="14.375" style="3185" customWidth="1"/>
    <col min="3085" max="3085" width="6.25" style="3185" customWidth="1"/>
    <col min="3086" max="3086" width="26.125" style="3185" customWidth="1"/>
    <col min="3087" max="3329" width="9" style="3185"/>
    <col min="3330" max="3330" width="85.25" style="3185" customWidth="1"/>
    <col min="3331" max="3331" width="6.25" style="3185" customWidth="1"/>
    <col min="3332" max="3334" width="13.875" style="3185" customWidth="1"/>
    <col min="3335" max="3335" width="54.375" style="3185" customWidth="1"/>
    <col min="3336" max="3336" width="7.875" style="3185" customWidth="1"/>
    <col min="3337" max="3337" width="9" style="3185" customWidth="1"/>
    <col min="3338" max="3339" width="10.625" style="3185" customWidth="1"/>
    <col min="3340" max="3340" width="14.375" style="3185" customWidth="1"/>
    <col min="3341" max="3341" width="6.25" style="3185" customWidth="1"/>
    <col min="3342" max="3342" width="26.125" style="3185" customWidth="1"/>
    <col min="3343" max="3585" width="9" style="3185"/>
    <col min="3586" max="3586" width="85.25" style="3185" customWidth="1"/>
    <col min="3587" max="3587" width="6.25" style="3185" customWidth="1"/>
    <col min="3588" max="3590" width="13.875" style="3185" customWidth="1"/>
    <col min="3591" max="3591" width="54.375" style="3185" customWidth="1"/>
    <col min="3592" max="3592" width="7.875" style="3185" customWidth="1"/>
    <col min="3593" max="3593" width="9" style="3185" customWidth="1"/>
    <col min="3594" max="3595" width="10.625" style="3185" customWidth="1"/>
    <col min="3596" max="3596" width="14.375" style="3185" customWidth="1"/>
    <col min="3597" max="3597" width="6.25" style="3185" customWidth="1"/>
    <col min="3598" max="3598" width="26.125" style="3185" customWidth="1"/>
    <col min="3599" max="3841" width="9" style="3185"/>
    <col min="3842" max="3842" width="85.25" style="3185" customWidth="1"/>
    <col min="3843" max="3843" width="6.25" style="3185" customWidth="1"/>
    <col min="3844" max="3846" width="13.875" style="3185" customWidth="1"/>
    <col min="3847" max="3847" width="54.375" style="3185" customWidth="1"/>
    <col min="3848" max="3848" width="7.875" style="3185" customWidth="1"/>
    <col min="3849" max="3849" width="9" style="3185" customWidth="1"/>
    <col min="3850" max="3851" width="10.625" style="3185" customWidth="1"/>
    <col min="3852" max="3852" width="14.375" style="3185" customWidth="1"/>
    <col min="3853" max="3853" width="6.25" style="3185" customWidth="1"/>
    <col min="3854" max="3854" width="26.125" style="3185" customWidth="1"/>
    <col min="3855" max="4097" width="9" style="3185"/>
    <col min="4098" max="4098" width="85.25" style="3185" customWidth="1"/>
    <col min="4099" max="4099" width="6.25" style="3185" customWidth="1"/>
    <col min="4100" max="4102" width="13.875" style="3185" customWidth="1"/>
    <col min="4103" max="4103" width="54.375" style="3185" customWidth="1"/>
    <col min="4104" max="4104" width="7.875" style="3185" customWidth="1"/>
    <col min="4105" max="4105" width="9" style="3185" customWidth="1"/>
    <col min="4106" max="4107" width="10.625" style="3185" customWidth="1"/>
    <col min="4108" max="4108" width="14.375" style="3185" customWidth="1"/>
    <col min="4109" max="4109" width="6.25" style="3185" customWidth="1"/>
    <col min="4110" max="4110" width="26.125" style="3185" customWidth="1"/>
    <col min="4111" max="4353" width="9" style="3185"/>
    <col min="4354" max="4354" width="85.25" style="3185" customWidth="1"/>
    <col min="4355" max="4355" width="6.25" style="3185" customWidth="1"/>
    <col min="4356" max="4358" width="13.875" style="3185" customWidth="1"/>
    <col min="4359" max="4359" width="54.375" style="3185" customWidth="1"/>
    <col min="4360" max="4360" width="7.875" style="3185" customWidth="1"/>
    <col min="4361" max="4361" width="9" style="3185" customWidth="1"/>
    <col min="4362" max="4363" width="10.625" style="3185" customWidth="1"/>
    <col min="4364" max="4364" width="14.375" style="3185" customWidth="1"/>
    <col min="4365" max="4365" width="6.25" style="3185" customWidth="1"/>
    <col min="4366" max="4366" width="26.125" style="3185" customWidth="1"/>
    <col min="4367" max="4609" width="9" style="3185"/>
    <col min="4610" max="4610" width="85.25" style="3185" customWidth="1"/>
    <col min="4611" max="4611" width="6.25" style="3185" customWidth="1"/>
    <col min="4612" max="4614" width="13.875" style="3185" customWidth="1"/>
    <col min="4615" max="4615" width="54.375" style="3185" customWidth="1"/>
    <col min="4616" max="4616" width="7.875" style="3185" customWidth="1"/>
    <col min="4617" max="4617" width="9" style="3185" customWidth="1"/>
    <col min="4618" max="4619" width="10.625" style="3185" customWidth="1"/>
    <col min="4620" max="4620" width="14.375" style="3185" customWidth="1"/>
    <col min="4621" max="4621" width="6.25" style="3185" customWidth="1"/>
    <col min="4622" max="4622" width="26.125" style="3185" customWidth="1"/>
    <col min="4623" max="4865" width="9" style="3185"/>
    <col min="4866" max="4866" width="85.25" style="3185" customWidth="1"/>
    <col min="4867" max="4867" width="6.25" style="3185" customWidth="1"/>
    <col min="4868" max="4870" width="13.875" style="3185" customWidth="1"/>
    <col min="4871" max="4871" width="54.375" style="3185" customWidth="1"/>
    <col min="4872" max="4872" width="7.875" style="3185" customWidth="1"/>
    <col min="4873" max="4873" width="9" style="3185" customWidth="1"/>
    <col min="4874" max="4875" width="10.625" style="3185" customWidth="1"/>
    <col min="4876" max="4876" width="14.375" style="3185" customWidth="1"/>
    <col min="4877" max="4877" width="6.25" style="3185" customWidth="1"/>
    <col min="4878" max="4878" width="26.125" style="3185" customWidth="1"/>
    <col min="4879" max="5121" width="9" style="3185"/>
    <col min="5122" max="5122" width="85.25" style="3185" customWidth="1"/>
    <col min="5123" max="5123" width="6.25" style="3185" customWidth="1"/>
    <col min="5124" max="5126" width="13.875" style="3185" customWidth="1"/>
    <col min="5127" max="5127" width="54.375" style="3185" customWidth="1"/>
    <col min="5128" max="5128" width="7.875" style="3185" customWidth="1"/>
    <col min="5129" max="5129" width="9" style="3185" customWidth="1"/>
    <col min="5130" max="5131" width="10.625" style="3185" customWidth="1"/>
    <col min="5132" max="5132" width="14.375" style="3185" customWidth="1"/>
    <col min="5133" max="5133" width="6.25" style="3185" customWidth="1"/>
    <col min="5134" max="5134" width="26.125" style="3185" customWidth="1"/>
    <col min="5135" max="5377" width="9" style="3185"/>
    <col min="5378" max="5378" width="85.25" style="3185" customWidth="1"/>
    <col min="5379" max="5379" width="6.25" style="3185" customWidth="1"/>
    <col min="5380" max="5382" width="13.875" style="3185" customWidth="1"/>
    <col min="5383" max="5383" width="54.375" style="3185" customWidth="1"/>
    <col min="5384" max="5384" width="7.875" style="3185" customWidth="1"/>
    <col min="5385" max="5385" width="9" style="3185" customWidth="1"/>
    <col min="5386" max="5387" width="10.625" style="3185" customWidth="1"/>
    <col min="5388" max="5388" width="14.375" style="3185" customWidth="1"/>
    <col min="5389" max="5389" width="6.25" style="3185" customWidth="1"/>
    <col min="5390" max="5390" width="26.125" style="3185" customWidth="1"/>
    <col min="5391" max="5633" width="9" style="3185"/>
    <col min="5634" max="5634" width="85.25" style="3185" customWidth="1"/>
    <col min="5635" max="5635" width="6.25" style="3185" customWidth="1"/>
    <col min="5636" max="5638" width="13.875" style="3185" customWidth="1"/>
    <col min="5639" max="5639" width="54.375" style="3185" customWidth="1"/>
    <col min="5640" max="5640" width="7.875" style="3185" customWidth="1"/>
    <col min="5641" max="5641" width="9" style="3185" customWidth="1"/>
    <col min="5642" max="5643" width="10.625" style="3185" customWidth="1"/>
    <col min="5644" max="5644" width="14.375" style="3185" customWidth="1"/>
    <col min="5645" max="5645" width="6.25" style="3185" customWidth="1"/>
    <col min="5646" max="5646" width="26.125" style="3185" customWidth="1"/>
    <col min="5647" max="5889" width="9" style="3185"/>
    <col min="5890" max="5890" width="85.25" style="3185" customWidth="1"/>
    <col min="5891" max="5891" width="6.25" style="3185" customWidth="1"/>
    <col min="5892" max="5894" width="13.875" style="3185" customWidth="1"/>
    <col min="5895" max="5895" width="54.375" style="3185" customWidth="1"/>
    <col min="5896" max="5896" width="7.875" style="3185" customWidth="1"/>
    <col min="5897" max="5897" width="9" style="3185" customWidth="1"/>
    <col min="5898" max="5899" width="10.625" style="3185" customWidth="1"/>
    <col min="5900" max="5900" width="14.375" style="3185" customWidth="1"/>
    <col min="5901" max="5901" width="6.25" style="3185" customWidth="1"/>
    <col min="5902" max="5902" width="26.125" style="3185" customWidth="1"/>
    <col min="5903" max="6145" width="9" style="3185"/>
    <col min="6146" max="6146" width="85.25" style="3185" customWidth="1"/>
    <col min="6147" max="6147" width="6.25" style="3185" customWidth="1"/>
    <col min="6148" max="6150" width="13.875" style="3185" customWidth="1"/>
    <col min="6151" max="6151" width="54.375" style="3185" customWidth="1"/>
    <col min="6152" max="6152" width="7.875" style="3185" customWidth="1"/>
    <col min="6153" max="6153" width="9" style="3185" customWidth="1"/>
    <col min="6154" max="6155" width="10.625" style="3185" customWidth="1"/>
    <col min="6156" max="6156" width="14.375" style="3185" customWidth="1"/>
    <col min="6157" max="6157" width="6.25" style="3185" customWidth="1"/>
    <col min="6158" max="6158" width="26.125" style="3185" customWidth="1"/>
    <col min="6159" max="6401" width="9" style="3185"/>
    <col min="6402" max="6402" width="85.25" style="3185" customWidth="1"/>
    <col min="6403" max="6403" width="6.25" style="3185" customWidth="1"/>
    <col min="6404" max="6406" width="13.875" style="3185" customWidth="1"/>
    <col min="6407" max="6407" width="54.375" style="3185" customWidth="1"/>
    <col min="6408" max="6408" width="7.875" style="3185" customWidth="1"/>
    <col min="6409" max="6409" width="9" style="3185" customWidth="1"/>
    <col min="6410" max="6411" width="10.625" style="3185" customWidth="1"/>
    <col min="6412" max="6412" width="14.375" style="3185" customWidth="1"/>
    <col min="6413" max="6413" width="6.25" style="3185" customWidth="1"/>
    <col min="6414" max="6414" width="26.125" style="3185" customWidth="1"/>
    <col min="6415" max="6657" width="9" style="3185"/>
    <col min="6658" max="6658" width="85.25" style="3185" customWidth="1"/>
    <col min="6659" max="6659" width="6.25" style="3185" customWidth="1"/>
    <col min="6660" max="6662" width="13.875" style="3185" customWidth="1"/>
    <col min="6663" max="6663" width="54.375" style="3185" customWidth="1"/>
    <col min="6664" max="6664" width="7.875" style="3185" customWidth="1"/>
    <col min="6665" max="6665" width="9" style="3185" customWidth="1"/>
    <col min="6666" max="6667" width="10.625" style="3185" customWidth="1"/>
    <col min="6668" max="6668" width="14.375" style="3185" customWidth="1"/>
    <col min="6669" max="6669" width="6.25" style="3185" customWidth="1"/>
    <col min="6670" max="6670" width="26.125" style="3185" customWidth="1"/>
    <col min="6671" max="6913" width="9" style="3185"/>
    <col min="6914" max="6914" width="85.25" style="3185" customWidth="1"/>
    <col min="6915" max="6915" width="6.25" style="3185" customWidth="1"/>
    <col min="6916" max="6918" width="13.875" style="3185" customWidth="1"/>
    <col min="6919" max="6919" width="54.375" style="3185" customWidth="1"/>
    <col min="6920" max="6920" width="7.875" style="3185" customWidth="1"/>
    <col min="6921" max="6921" width="9" style="3185" customWidth="1"/>
    <col min="6922" max="6923" width="10.625" style="3185" customWidth="1"/>
    <col min="6924" max="6924" width="14.375" style="3185" customWidth="1"/>
    <col min="6925" max="6925" width="6.25" style="3185" customWidth="1"/>
    <col min="6926" max="6926" width="26.125" style="3185" customWidth="1"/>
    <col min="6927" max="7169" width="9" style="3185"/>
    <col min="7170" max="7170" width="85.25" style="3185" customWidth="1"/>
    <col min="7171" max="7171" width="6.25" style="3185" customWidth="1"/>
    <col min="7172" max="7174" width="13.875" style="3185" customWidth="1"/>
    <col min="7175" max="7175" width="54.375" style="3185" customWidth="1"/>
    <col min="7176" max="7176" width="7.875" style="3185" customWidth="1"/>
    <col min="7177" max="7177" width="9" style="3185" customWidth="1"/>
    <col min="7178" max="7179" width="10.625" style="3185" customWidth="1"/>
    <col min="7180" max="7180" width="14.375" style="3185" customWidth="1"/>
    <col min="7181" max="7181" width="6.25" style="3185" customWidth="1"/>
    <col min="7182" max="7182" width="26.125" style="3185" customWidth="1"/>
    <col min="7183" max="7425" width="9" style="3185"/>
    <col min="7426" max="7426" width="85.25" style="3185" customWidth="1"/>
    <col min="7427" max="7427" width="6.25" style="3185" customWidth="1"/>
    <col min="7428" max="7430" width="13.875" style="3185" customWidth="1"/>
    <col min="7431" max="7431" width="54.375" style="3185" customWidth="1"/>
    <col min="7432" max="7432" width="7.875" style="3185" customWidth="1"/>
    <col min="7433" max="7433" width="9" style="3185" customWidth="1"/>
    <col min="7434" max="7435" width="10.625" style="3185" customWidth="1"/>
    <col min="7436" max="7436" width="14.375" style="3185" customWidth="1"/>
    <col min="7437" max="7437" width="6.25" style="3185" customWidth="1"/>
    <col min="7438" max="7438" width="26.125" style="3185" customWidth="1"/>
    <col min="7439" max="7681" width="9" style="3185"/>
    <col min="7682" max="7682" width="85.25" style="3185" customWidth="1"/>
    <col min="7683" max="7683" width="6.25" style="3185" customWidth="1"/>
    <col min="7684" max="7686" width="13.875" style="3185" customWidth="1"/>
    <col min="7687" max="7687" width="54.375" style="3185" customWidth="1"/>
    <col min="7688" max="7688" width="7.875" style="3185" customWidth="1"/>
    <col min="7689" max="7689" width="9" style="3185" customWidth="1"/>
    <col min="7690" max="7691" width="10.625" style="3185" customWidth="1"/>
    <col min="7692" max="7692" width="14.375" style="3185" customWidth="1"/>
    <col min="7693" max="7693" width="6.25" style="3185" customWidth="1"/>
    <col min="7694" max="7694" width="26.125" style="3185" customWidth="1"/>
    <col min="7695" max="7937" width="9" style="3185"/>
    <col min="7938" max="7938" width="85.25" style="3185" customWidth="1"/>
    <col min="7939" max="7939" width="6.25" style="3185" customWidth="1"/>
    <col min="7940" max="7942" width="13.875" style="3185" customWidth="1"/>
    <col min="7943" max="7943" width="54.375" style="3185" customWidth="1"/>
    <col min="7944" max="7944" width="7.875" style="3185" customWidth="1"/>
    <col min="7945" max="7945" width="9" style="3185" customWidth="1"/>
    <col min="7946" max="7947" width="10.625" style="3185" customWidth="1"/>
    <col min="7948" max="7948" width="14.375" style="3185" customWidth="1"/>
    <col min="7949" max="7949" width="6.25" style="3185" customWidth="1"/>
    <col min="7950" max="7950" width="26.125" style="3185" customWidth="1"/>
    <col min="7951" max="8193" width="9" style="3185"/>
    <col min="8194" max="8194" width="85.25" style="3185" customWidth="1"/>
    <col min="8195" max="8195" width="6.25" style="3185" customWidth="1"/>
    <col min="8196" max="8198" width="13.875" style="3185" customWidth="1"/>
    <col min="8199" max="8199" width="54.375" style="3185" customWidth="1"/>
    <col min="8200" max="8200" width="7.875" style="3185" customWidth="1"/>
    <col min="8201" max="8201" width="9" style="3185" customWidth="1"/>
    <col min="8202" max="8203" width="10.625" style="3185" customWidth="1"/>
    <col min="8204" max="8204" width="14.375" style="3185" customWidth="1"/>
    <col min="8205" max="8205" width="6.25" style="3185" customWidth="1"/>
    <col min="8206" max="8206" width="26.125" style="3185" customWidth="1"/>
    <col min="8207" max="8449" width="9" style="3185"/>
    <col min="8450" max="8450" width="85.25" style="3185" customWidth="1"/>
    <col min="8451" max="8451" width="6.25" style="3185" customWidth="1"/>
    <col min="8452" max="8454" width="13.875" style="3185" customWidth="1"/>
    <col min="8455" max="8455" width="54.375" style="3185" customWidth="1"/>
    <col min="8456" max="8456" width="7.875" style="3185" customWidth="1"/>
    <col min="8457" max="8457" width="9" style="3185" customWidth="1"/>
    <col min="8458" max="8459" width="10.625" style="3185" customWidth="1"/>
    <col min="8460" max="8460" width="14.375" style="3185" customWidth="1"/>
    <col min="8461" max="8461" width="6.25" style="3185" customWidth="1"/>
    <col min="8462" max="8462" width="26.125" style="3185" customWidth="1"/>
    <col min="8463" max="8705" width="9" style="3185"/>
    <col min="8706" max="8706" width="85.25" style="3185" customWidth="1"/>
    <col min="8707" max="8707" width="6.25" style="3185" customWidth="1"/>
    <col min="8708" max="8710" width="13.875" style="3185" customWidth="1"/>
    <col min="8711" max="8711" width="54.375" style="3185" customWidth="1"/>
    <col min="8712" max="8712" width="7.875" style="3185" customWidth="1"/>
    <col min="8713" max="8713" width="9" style="3185" customWidth="1"/>
    <col min="8714" max="8715" width="10.625" style="3185" customWidth="1"/>
    <col min="8716" max="8716" width="14.375" style="3185" customWidth="1"/>
    <col min="8717" max="8717" width="6.25" style="3185" customWidth="1"/>
    <col min="8718" max="8718" width="26.125" style="3185" customWidth="1"/>
    <col min="8719" max="8961" width="9" style="3185"/>
    <col min="8962" max="8962" width="85.25" style="3185" customWidth="1"/>
    <col min="8963" max="8963" width="6.25" style="3185" customWidth="1"/>
    <col min="8964" max="8966" width="13.875" style="3185" customWidth="1"/>
    <col min="8967" max="8967" width="54.375" style="3185" customWidth="1"/>
    <col min="8968" max="8968" width="7.875" style="3185" customWidth="1"/>
    <col min="8969" max="8969" width="9" style="3185" customWidth="1"/>
    <col min="8970" max="8971" width="10.625" style="3185" customWidth="1"/>
    <col min="8972" max="8972" width="14.375" style="3185" customWidth="1"/>
    <col min="8973" max="8973" width="6.25" style="3185" customWidth="1"/>
    <col min="8974" max="8974" width="26.125" style="3185" customWidth="1"/>
    <col min="8975" max="9217" width="9" style="3185"/>
    <col min="9218" max="9218" width="85.25" style="3185" customWidth="1"/>
    <col min="9219" max="9219" width="6.25" style="3185" customWidth="1"/>
    <col min="9220" max="9222" width="13.875" style="3185" customWidth="1"/>
    <col min="9223" max="9223" width="54.375" style="3185" customWidth="1"/>
    <col min="9224" max="9224" width="7.875" style="3185" customWidth="1"/>
    <col min="9225" max="9225" width="9" style="3185" customWidth="1"/>
    <col min="9226" max="9227" width="10.625" style="3185" customWidth="1"/>
    <col min="9228" max="9228" width="14.375" style="3185" customWidth="1"/>
    <col min="9229" max="9229" width="6.25" style="3185" customWidth="1"/>
    <col min="9230" max="9230" width="26.125" style="3185" customWidth="1"/>
    <col min="9231" max="9473" width="9" style="3185"/>
    <col min="9474" max="9474" width="85.25" style="3185" customWidth="1"/>
    <col min="9475" max="9475" width="6.25" style="3185" customWidth="1"/>
    <col min="9476" max="9478" width="13.875" style="3185" customWidth="1"/>
    <col min="9479" max="9479" width="54.375" style="3185" customWidth="1"/>
    <col min="9480" max="9480" width="7.875" style="3185" customWidth="1"/>
    <col min="9481" max="9481" width="9" style="3185" customWidth="1"/>
    <col min="9482" max="9483" width="10.625" style="3185" customWidth="1"/>
    <col min="9484" max="9484" width="14.375" style="3185" customWidth="1"/>
    <col min="9485" max="9485" width="6.25" style="3185" customWidth="1"/>
    <col min="9486" max="9486" width="26.125" style="3185" customWidth="1"/>
    <col min="9487" max="9729" width="9" style="3185"/>
    <col min="9730" max="9730" width="85.25" style="3185" customWidth="1"/>
    <col min="9731" max="9731" width="6.25" style="3185" customWidth="1"/>
    <col min="9732" max="9734" width="13.875" style="3185" customWidth="1"/>
    <col min="9735" max="9735" width="54.375" style="3185" customWidth="1"/>
    <col min="9736" max="9736" width="7.875" style="3185" customWidth="1"/>
    <col min="9737" max="9737" width="9" style="3185" customWidth="1"/>
    <col min="9738" max="9739" width="10.625" style="3185" customWidth="1"/>
    <col min="9740" max="9740" width="14.375" style="3185" customWidth="1"/>
    <col min="9741" max="9741" width="6.25" style="3185" customWidth="1"/>
    <col min="9742" max="9742" width="26.125" style="3185" customWidth="1"/>
    <col min="9743" max="9985" width="9" style="3185"/>
    <col min="9986" max="9986" width="85.25" style="3185" customWidth="1"/>
    <col min="9987" max="9987" width="6.25" style="3185" customWidth="1"/>
    <col min="9988" max="9990" width="13.875" style="3185" customWidth="1"/>
    <col min="9991" max="9991" width="54.375" style="3185" customWidth="1"/>
    <col min="9992" max="9992" width="7.875" style="3185" customWidth="1"/>
    <col min="9993" max="9993" width="9" style="3185" customWidth="1"/>
    <col min="9994" max="9995" width="10.625" style="3185" customWidth="1"/>
    <col min="9996" max="9996" width="14.375" style="3185" customWidth="1"/>
    <col min="9997" max="9997" width="6.25" style="3185" customWidth="1"/>
    <col min="9998" max="9998" width="26.125" style="3185" customWidth="1"/>
    <col min="9999" max="10241" width="9" style="3185"/>
    <col min="10242" max="10242" width="85.25" style="3185" customWidth="1"/>
    <col min="10243" max="10243" width="6.25" style="3185" customWidth="1"/>
    <col min="10244" max="10246" width="13.875" style="3185" customWidth="1"/>
    <col min="10247" max="10247" width="54.375" style="3185" customWidth="1"/>
    <col min="10248" max="10248" width="7.875" style="3185" customWidth="1"/>
    <col min="10249" max="10249" width="9" style="3185" customWidth="1"/>
    <col min="10250" max="10251" width="10.625" style="3185" customWidth="1"/>
    <col min="10252" max="10252" width="14.375" style="3185" customWidth="1"/>
    <col min="10253" max="10253" width="6.25" style="3185" customWidth="1"/>
    <col min="10254" max="10254" width="26.125" style="3185" customWidth="1"/>
    <col min="10255" max="10497" width="9" style="3185"/>
    <col min="10498" max="10498" width="85.25" style="3185" customWidth="1"/>
    <col min="10499" max="10499" width="6.25" style="3185" customWidth="1"/>
    <col min="10500" max="10502" width="13.875" style="3185" customWidth="1"/>
    <col min="10503" max="10503" width="54.375" style="3185" customWidth="1"/>
    <col min="10504" max="10504" width="7.875" style="3185" customWidth="1"/>
    <col min="10505" max="10505" width="9" style="3185" customWidth="1"/>
    <col min="10506" max="10507" width="10.625" style="3185" customWidth="1"/>
    <col min="10508" max="10508" width="14.375" style="3185" customWidth="1"/>
    <col min="10509" max="10509" width="6.25" style="3185" customWidth="1"/>
    <col min="10510" max="10510" width="26.125" style="3185" customWidth="1"/>
    <col min="10511" max="10753" width="9" style="3185"/>
    <col min="10754" max="10754" width="85.25" style="3185" customWidth="1"/>
    <col min="10755" max="10755" width="6.25" style="3185" customWidth="1"/>
    <col min="10756" max="10758" width="13.875" style="3185" customWidth="1"/>
    <col min="10759" max="10759" width="54.375" style="3185" customWidth="1"/>
    <col min="10760" max="10760" width="7.875" style="3185" customWidth="1"/>
    <col min="10761" max="10761" width="9" style="3185" customWidth="1"/>
    <col min="10762" max="10763" width="10.625" style="3185" customWidth="1"/>
    <col min="10764" max="10764" width="14.375" style="3185" customWidth="1"/>
    <col min="10765" max="10765" width="6.25" style="3185" customWidth="1"/>
    <col min="10766" max="10766" width="26.125" style="3185" customWidth="1"/>
    <col min="10767" max="11009" width="9" style="3185"/>
    <col min="11010" max="11010" width="85.25" style="3185" customWidth="1"/>
    <col min="11011" max="11011" width="6.25" style="3185" customWidth="1"/>
    <col min="11012" max="11014" width="13.875" style="3185" customWidth="1"/>
    <col min="11015" max="11015" width="54.375" style="3185" customWidth="1"/>
    <col min="11016" max="11016" width="7.875" style="3185" customWidth="1"/>
    <col min="11017" max="11017" width="9" style="3185" customWidth="1"/>
    <col min="11018" max="11019" width="10.625" style="3185" customWidth="1"/>
    <col min="11020" max="11020" width="14.375" style="3185" customWidth="1"/>
    <col min="11021" max="11021" width="6.25" style="3185" customWidth="1"/>
    <col min="11022" max="11022" width="26.125" style="3185" customWidth="1"/>
    <col min="11023" max="11265" width="9" style="3185"/>
    <col min="11266" max="11266" width="85.25" style="3185" customWidth="1"/>
    <col min="11267" max="11267" width="6.25" style="3185" customWidth="1"/>
    <col min="11268" max="11270" width="13.875" style="3185" customWidth="1"/>
    <col min="11271" max="11271" width="54.375" style="3185" customWidth="1"/>
    <col min="11272" max="11272" width="7.875" style="3185" customWidth="1"/>
    <col min="11273" max="11273" width="9" style="3185" customWidth="1"/>
    <col min="11274" max="11275" width="10.625" style="3185" customWidth="1"/>
    <col min="11276" max="11276" width="14.375" style="3185" customWidth="1"/>
    <col min="11277" max="11277" width="6.25" style="3185" customWidth="1"/>
    <col min="11278" max="11278" width="26.125" style="3185" customWidth="1"/>
    <col min="11279" max="11521" width="9" style="3185"/>
    <col min="11522" max="11522" width="85.25" style="3185" customWidth="1"/>
    <col min="11523" max="11523" width="6.25" style="3185" customWidth="1"/>
    <col min="11524" max="11526" width="13.875" style="3185" customWidth="1"/>
    <col min="11527" max="11527" width="54.375" style="3185" customWidth="1"/>
    <col min="11528" max="11528" width="7.875" style="3185" customWidth="1"/>
    <col min="11529" max="11529" width="9" style="3185" customWidth="1"/>
    <col min="11530" max="11531" width="10.625" style="3185" customWidth="1"/>
    <col min="11532" max="11532" width="14.375" style="3185" customWidth="1"/>
    <col min="11533" max="11533" width="6.25" style="3185" customWidth="1"/>
    <col min="11534" max="11534" width="26.125" style="3185" customWidth="1"/>
    <col min="11535" max="11777" width="9" style="3185"/>
    <col min="11778" max="11778" width="85.25" style="3185" customWidth="1"/>
    <col min="11779" max="11779" width="6.25" style="3185" customWidth="1"/>
    <col min="11780" max="11782" width="13.875" style="3185" customWidth="1"/>
    <col min="11783" max="11783" width="54.375" style="3185" customWidth="1"/>
    <col min="11784" max="11784" width="7.875" style="3185" customWidth="1"/>
    <col min="11785" max="11785" width="9" style="3185" customWidth="1"/>
    <col min="11786" max="11787" width="10.625" style="3185" customWidth="1"/>
    <col min="11788" max="11788" width="14.375" style="3185" customWidth="1"/>
    <col min="11789" max="11789" width="6.25" style="3185" customWidth="1"/>
    <col min="11790" max="11790" width="26.125" style="3185" customWidth="1"/>
    <col min="11791" max="12033" width="9" style="3185"/>
    <col min="12034" max="12034" width="85.25" style="3185" customWidth="1"/>
    <col min="12035" max="12035" width="6.25" style="3185" customWidth="1"/>
    <col min="12036" max="12038" width="13.875" style="3185" customWidth="1"/>
    <col min="12039" max="12039" width="54.375" style="3185" customWidth="1"/>
    <col min="12040" max="12040" width="7.875" style="3185" customWidth="1"/>
    <col min="12041" max="12041" width="9" style="3185" customWidth="1"/>
    <col min="12042" max="12043" width="10.625" style="3185" customWidth="1"/>
    <col min="12044" max="12044" width="14.375" style="3185" customWidth="1"/>
    <col min="12045" max="12045" width="6.25" style="3185" customWidth="1"/>
    <col min="12046" max="12046" width="26.125" style="3185" customWidth="1"/>
    <col min="12047" max="12289" width="9" style="3185"/>
    <col min="12290" max="12290" width="85.25" style="3185" customWidth="1"/>
    <col min="12291" max="12291" width="6.25" style="3185" customWidth="1"/>
    <col min="12292" max="12294" width="13.875" style="3185" customWidth="1"/>
    <col min="12295" max="12295" width="54.375" style="3185" customWidth="1"/>
    <col min="12296" max="12296" width="7.875" style="3185" customWidth="1"/>
    <col min="12297" max="12297" width="9" style="3185" customWidth="1"/>
    <col min="12298" max="12299" width="10.625" style="3185" customWidth="1"/>
    <col min="12300" max="12300" width="14.375" style="3185" customWidth="1"/>
    <col min="12301" max="12301" width="6.25" style="3185" customWidth="1"/>
    <col min="12302" max="12302" width="26.125" style="3185" customWidth="1"/>
    <col min="12303" max="12545" width="9" style="3185"/>
    <col min="12546" max="12546" width="85.25" style="3185" customWidth="1"/>
    <col min="12547" max="12547" width="6.25" style="3185" customWidth="1"/>
    <col min="12548" max="12550" width="13.875" style="3185" customWidth="1"/>
    <col min="12551" max="12551" width="54.375" style="3185" customWidth="1"/>
    <col min="12552" max="12552" width="7.875" style="3185" customWidth="1"/>
    <col min="12553" max="12553" width="9" style="3185" customWidth="1"/>
    <col min="12554" max="12555" width="10.625" style="3185" customWidth="1"/>
    <col min="12556" max="12556" width="14.375" style="3185" customWidth="1"/>
    <col min="12557" max="12557" width="6.25" style="3185" customWidth="1"/>
    <col min="12558" max="12558" width="26.125" style="3185" customWidth="1"/>
    <col min="12559" max="12801" width="9" style="3185"/>
    <col min="12802" max="12802" width="85.25" style="3185" customWidth="1"/>
    <col min="12803" max="12803" width="6.25" style="3185" customWidth="1"/>
    <col min="12804" max="12806" width="13.875" style="3185" customWidth="1"/>
    <col min="12807" max="12807" width="54.375" style="3185" customWidth="1"/>
    <col min="12808" max="12808" width="7.875" style="3185" customWidth="1"/>
    <col min="12809" max="12809" width="9" style="3185" customWidth="1"/>
    <col min="12810" max="12811" width="10.625" style="3185" customWidth="1"/>
    <col min="12812" max="12812" width="14.375" style="3185" customWidth="1"/>
    <col min="12813" max="12813" width="6.25" style="3185" customWidth="1"/>
    <col min="12814" max="12814" width="26.125" style="3185" customWidth="1"/>
    <col min="12815" max="13057" width="9" style="3185"/>
    <col min="13058" max="13058" width="85.25" style="3185" customWidth="1"/>
    <col min="13059" max="13059" width="6.25" style="3185" customWidth="1"/>
    <col min="13060" max="13062" width="13.875" style="3185" customWidth="1"/>
    <col min="13063" max="13063" width="54.375" style="3185" customWidth="1"/>
    <col min="13064" max="13064" width="7.875" style="3185" customWidth="1"/>
    <col min="13065" max="13065" width="9" style="3185" customWidth="1"/>
    <col min="13066" max="13067" width="10.625" style="3185" customWidth="1"/>
    <col min="13068" max="13068" width="14.375" style="3185" customWidth="1"/>
    <col min="13069" max="13069" width="6.25" style="3185" customWidth="1"/>
    <col min="13070" max="13070" width="26.125" style="3185" customWidth="1"/>
    <col min="13071" max="13313" width="9" style="3185"/>
    <col min="13314" max="13314" width="85.25" style="3185" customWidth="1"/>
    <col min="13315" max="13315" width="6.25" style="3185" customWidth="1"/>
    <col min="13316" max="13318" width="13.875" style="3185" customWidth="1"/>
    <col min="13319" max="13319" width="54.375" style="3185" customWidth="1"/>
    <col min="13320" max="13320" width="7.875" style="3185" customWidth="1"/>
    <col min="13321" max="13321" width="9" style="3185" customWidth="1"/>
    <col min="13322" max="13323" width="10.625" style="3185" customWidth="1"/>
    <col min="13324" max="13324" width="14.375" style="3185" customWidth="1"/>
    <col min="13325" max="13325" width="6.25" style="3185" customWidth="1"/>
    <col min="13326" max="13326" width="26.125" style="3185" customWidth="1"/>
    <col min="13327" max="13569" width="9" style="3185"/>
    <col min="13570" max="13570" width="85.25" style="3185" customWidth="1"/>
    <col min="13571" max="13571" width="6.25" style="3185" customWidth="1"/>
    <col min="13572" max="13574" width="13.875" style="3185" customWidth="1"/>
    <col min="13575" max="13575" width="54.375" style="3185" customWidth="1"/>
    <col min="13576" max="13576" width="7.875" style="3185" customWidth="1"/>
    <col min="13577" max="13577" width="9" style="3185" customWidth="1"/>
    <col min="13578" max="13579" width="10.625" style="3185" customWidth="1"/>
    <col min="13580" max="13580" width="14.375" style="3185" customWidth="1"/>
    <col min="13581" max="13581" width="6.25" style="3185" customWidth="1"/>
    <col min="13582" max="13582" width="26.125" style="3185" customWidth="1"/>
    <col min="13583" max="13825" width="9" style="3185"/>
    <col min="13826" max="13826" width="85.25" style="3185" customWidth="1"/>
    <col min="13827" max="13827" width="6.25" style="3185" customWidth="1"/>
    <col min="13828" max="13830" width="13.875" style="3185" customWidth="1"/>
    <col min="13831" max="13831" width="54.375" style="3185" customWidth="1"/>
    <col min="13832" max="13832" width="7.875" style="3185" customWidth="1"/>
    <col min="13833" max="13833" width="9" style="3185" customWidth="1"/>
    <col min="13834" max="13835" width="10.625" style="3185" customWidth="1"/>
    <col min="13836" max="13836" width="14.375" style="3185" customWidth="1"/>
    <col min="13837" max="13837" width="6.25" style="3185" customWidth="1"/>
    <col min="13838" max="13838" width="26.125" style="3185" customWidth="1"/>
    <col min="13839" max="14081" width="9" style="3185"/>
    <col min="14082" max="14082" width="85.25" style="3185" customWidth="1"/>
    <col min="14083" max="14083" width="6.25" style="3185" customWidth="1"/>
    <col min="14084" max="14086" width="13.875" style="3185" customWidth="1"/>
    <col min="14087" max="14087" width="54.375" style="3185" customWidth="1"/>
    <col min="14088" max="14088" width="7.875" style="3185" customWidth="1"/>
    <col min="14089" max="14089" width="9" style="3185" customWidth="1"/>
    <col min="14090" max="14091" width="10.625" style="3185" customWidth="1"/>
    <col min="14092" max="14092" width="14.375" style="3185" customWidth="1"/>
    <col min="14093" max="14093" width="6.25" style="3185" customWidth="1"/>
    <col min="14094" max="14094" width="26.125" style="3185" customWidth="1"/>
    <col min="14095" max="14337" width="9" style="3185"/>
    <col min="14338" max="14338" width="85.25" style="3185" customWidth="1"/>
    <col min="14339" max="14339" width="6.25" style="3185" customWidth="1"/>
    <col min="14340" max="14342" width="13.875" style="3185" customWidth="1"/>
    <col min="14343" max="14343" width="54.375" style="3185" customWidth="1"/>
    <col min="14344" max="14344" width="7.875" style="3185" customWidth="1"/>
    <col min="14345" max="14345" width="9" style="3185" customWidth="1"/>
    <col min="14346" max="14347" width="10.625" style="3185" customWidth="1"/>
    <col min="14348" max="14348" width="14.375" style="3185" customWidth="1"/>
    <col min="14349" max="14349" width="6.25" style="3185" customWidth="1"/>
    <col min="14350" max="14350" width="26.125" style="3185" customWidth="1"/>
    <col min="14351" max="14593" width="9" style="3185"/>
    <col min="14594" max="14594" width="85.25" style="3185" customWidth="1"/>
    <col min="14595" max="14595" width="6.25" style="3185" customWidth="1"/>
    <col min="14596" max="14598" width="13.875" style="3185" customWidth="1"/>
    <col min="14599" max="14599" width="54.375" style="3185" customWidth="1"/>
    <col min="14600" max="14600" width="7.875" style="3185" customWidth="1"/>
    <col min="14601" max="14601" width="9" style="3185" customWidth="1"/>
    <col min="14602" max="14603" width="10.625" style="3185" customWidth="1"/>
    <col min="14604" max="14604" width="14.375" style="3185" customWidth="1"/>
    <col min="14605" max="14605" width="6.25" style="3185" customWidth="1"/>
    <col min="14606" max="14606" width="26.125" style="3185" customWidth="1"/>
    <col min="14607" max="14849" width="9" style="3185"/>
    <col min="14850" max="14850" width="85.25" style="3185" customWidth="1"/>
    <col min="14851" max="14851" width="6.25" style="3185" customWidth="1"/>
    <col min="14852" max="14854" width="13.875" style="3185" customWidth="1"/>
    <col min="14855" max="14855" width="54.375" style="3185" customWidth="1"/>
    <col min="14856" max="14856" width="7.875" style="3185" customWidth="1"/>
    <col min="14857" max="14857" width="9" style="3185" customWidth="1"/>
    <col min="14858" max="14859" width="10.625" style="3185" customWidth="1"/>
    <col min="14860" max="14860" width="14.375" style="3185" customWidth="1"/>
    <col min="14861" max="14861" width="6.25" style="3185" customWidth="1"/>
    <col min="14862" max="14862" width="26.125" style="3185" customWidth="1"/>
    <col min="14863" max="15105" width="9" style="3185"/>
    <col min="15106" max="15106" width="85.25" style="3185" customWidth="1"/>
    <col min="15107" max="15107" width="6.25" style="3185" customWidth="1"/>
    <col min="15108" max="15110" width="13.875" style="3185" customWidth="1"/>
    <col min="15111" max="15111" width="54.375" style="3185" customWidth="1"/>
    <col min="15112" max="15112" width="7.875" style="3185" customWidth="1"/>
    <col min="15113" max="15113" width="9" style="3185" customWidth="1"/>
    <col min="15114" max="15115" width="10.625" style="3185" customWidth="1"/>
    <col min="15116" max="15116" width="14.375" style="3185" customWidth="1"/>
    <col min="15117" max="15117" width="6.25" style="3185" customWidth="1"/>
    <col min="15118" max="15118" width="26.125" style="3185" customWidth="1"/>
    <col min="15119" max="15361" width="9" style="3185"/>
    <col min="15362" max="15362" width="85.25" style="3185" customWidth="1"/>
    <col min="15363" max="15363" width="6.25" style="3185" customWidth="1"/>
    <col min="15364" max="15366" width="13.875" style="3185" customWidth="1"/>
    <col min="15367" max="15367" width="54.375" style="3185" customWidth="1"/>
    <col min="15368" max="15368" width="7.875" style="3185" customWidth="1"/>
    <col min="15369" max="15369" width="9" style="3185" customWidth="1"/>
    <col min="15370" max="15371" width="10.625" style="3185" customWidth="1"/>
    <col min="15372" max="15372" width="14.375" style="3185" customWidth="1"/>
    <col min="15373" max="15373" width="6.25" style="3185" customWidth="1"/>
    <col min="15374" max="15374" width="26.125" style="3185" customWidth="1"/>
    <col min="15375" max="15617" width="9" style="3185"/>
    <col min="15618" max="15618" width="85.25" style="3185" customWidth="1"/>
    <col min="15619" max="15619" width="6.25" style="3185" customWidth="1"/>
    <col min="15620" max="15622" width="13.875" style="3185" customWidth="1"/>
    <col min="15623" max="15623" width="54.375" style="3185" customWidth="1"/>
    <col min="15624" max="15624" width="7.875" style="3185" customWidth="1"/>
    <col min="15625" max="15625" width="9" style="3185" customWidth="1"/>
    <col min="15626" max="15627" width="10.625" style="3185" customWidth="1"/>
    <col min="15628" max="15628" width="14.375" style="3185" customWidth="1"/>
    <col min="15629" max="15629" width="6.25" style="3185" customWidth="1"/>
    <col min="15630" max="15630" width="26.125" style="3185" customWidth="1"/>
    <col min="15631" max="15873" width="9" style="3185"/>
    <col min="15874" max="15874" width="85.25" style="3185" customWidth="1"/>
    <col min="15875" max="15875" width="6.25" style="3185" customWidth="1"/>
    <col min="15876" max="15878" width="13.875" style="3185" customWidth="1"/>
    <col min="15879" max="15879" width="54.375" style="3185" customWidth="1"/>
    <col min="15880" max="15880" width="7.875" style="3185" customWidth="1"/>
    <col min="15881" max="15881" width="9" style="3185" customWidth="1"/>
    <col min="15882" max="15883" width="10.625" style="3185" customWidth="1"/>
    <col min="15884" max="15884" width="14.375" style="3185" customWidth="1"/>
    <col min="15885" max="15885" width="6.25" style="3185" customWidth="1"/>
    <col min="15886" max="15886" width="26.125" style="3185" customWidth="1"/>
    <col min="15887" max="16129" width="9" style="3185"/>
    <col min="16130" max="16130" width="85.25" style="3185" customWidth="1"/>
    <col min="16131" max="16131" width="6.25" style="3185" customWidth="1"/>
    <col min="16132" max="16134" width="13.875" style="3185" customWidth="1"/>
    <col min="16135" max="16135" width="54.375" style="3185" customWidth="1"/>
    <col min="16136" max="16136" width="7.875" style="3185" customWidth="1"/>
    <col min="16137" max="16137" width="9" style="3185" customWidth="1"/>
    <col min="16138" max="16139" width="10.625" style="3185" customWidth="1"/>
    <col min="16140" max="16140" width="14.375" style="3185" customWidth="1"/>
    <col min="16141" max="16141" width="6.25" style="3185" customWidth="1"/>
    <col min="16142" max="16142" width="26.125" style="3185" customWidth="1"/>
    <col min="16143" max="16384" width="9" style="3185"/>
  </cols>
  <sheetData>
    <row r="1" spans="1:14">
      <c r="A1" s="3185" t="s">
        <v>3003</v>
      </c>
      <c r="B1" s="3185" t="s">
        <v>3004</v>
      </c>
      <c r="C1" s="3185" t="s">
        <v>3005</v>
      </c>
      <c r="D1" s="3185" t="s">
        <v>3006</v>
      </c>
      <c r="E1" s="3185" t="s">
        <v>3007</v>
      </c>
      <c r="F1" s="3185" t="s">
        <v>2034</v>
      </c>
      <c r="G1" s="3185" t="s">
        <v>3008</v>
      </c>
      <c r="H1" s="3185" t="s">
        <v>3009</v>
      </c>
      <c r="I1" s="3185" t="s">
        <v>3010</v>
      </c>
      <c r="J1" s="3185" t="s">
        <v>3011</v>
      </c>
      <c r="K1" s="3185" t="s">
        <v>3012</v>
      </c>
      <c r="L1" s="3185" t="s">
        <v>3013</v>
      </c>
      <c r="M1" s="3185" t="s">
        <v>3014</v>
      </c>
      <c r="N1" s="3185" t="s">
        <v>3015</v>
      </c>
    </row>
    <row r="2" spans="1:14" s="3186" customFormat="1">
      <c r="A2" s="3186" t="s">
        <v>3016</v>
      </c>
      <c r="B2" s="3186" t="s">
        <v>3017</v>
      </c>
      <c r="C2" s="3186" t="s">
        <v>3018</v>
      </c>
      <c r="D2" s="3186">
        <v>34915.480000000003</v>
      </c>
      <c r="E2" s="3186">
        <v>52373.22</v>
      </c>
      <c r="F2" s="3186" t="s">
        <v>3019</v>
      </c>
      <c r="G2" s="3186" t="s">
        <v>3020</v>
      </c>
      <c r="H2" s="3186" t="s">
        <v>3021</v>
      </c>
      <c r="I2" s="3186" t="s">
        <v>2820</v>
      </c>
      <c r="J2" s="3186">
        <v>13980</v>
      </c>
      <c r="K2" s="3186">
        <v>2669.3</v>
      </c>
      <c r="L2" s="3186">
        <f>ROUND(J2*10000/D2,0)</f>
        <v>4004</v>
      </c>
      <c r="M2" s="3186" t="s">
        <v>2820</v>
      </c>
      <c r="N2" s="3186" t="s">
        <v>3022</v>
      </c>
    </row>
    <row r="3" spans="1:14">
      <c r="A3" s="3185" t="s">
        <v>3023</v>
      </c>
      <c r="B3" s="3185" t="s">
        <v>3017</v>
      </c>
      <c r="C3" s="3185" t="s">
        <v>3018</v>
      </c>
      <c r="D3" s="3185">
        <v>117539.5</v>
      </c>
      <c r="E3" s="3185">
        <v>164555.29999999999</v>
      </c>
      <c r="F3" s="3185" t="s">
        <v>3024</v>
      </c>
      <c r="G3" s="3185" t="s">
        <v>3025</v>
      </c>
      <c r="H3" s="3185" t="s">
        <v>3026</v>
      </c>
      <c r="I3" s="3185">
        <v>17000</v>
      </c>
      <c r="J3" s="3185">
        <v>17000</v>
      </c>
      <c r="K3" s="3185">
        <v>1033.08</v>
      </c>
      <c r="L3" s="3185">
        <f t="shared" ref="L3:L46" si="0">ROUND(J3*10000/D3,0)</f>
        <v>1446</v>
      </c>
      <c r="M3" s="3185">
        <v>0</v>
      </c>
      <c r="N3" s="3185" t="s">
        <v>3027</v>
      </c>
    </row>
    <row r="4" spans="1:14">
      <c r="A4" s="3185" t="s">
        <v>3028</v>
      </c>
      <c r="B4" s="3185" t="s">
        <v>3017</v>
      </c>
      <c r="C4" s="3185" t="s">
        <v>3018</v>
      </c>
      <c r="D4" s="3185">
        <v>100179.8</v>
      </c>
      <c r="E4" s="3185">
        <v>250449.5</v>
      </c>
      <c r="F4" s="3185" t="s">
        <v>3029</v>
      </c>
      <c r="G4" s="3185" t="s">
        <v>3020</v>
      </c>
      <c r="H4" s="3185" t="s">
        <v>3030</v>
      </c>
      <c r="I4" s="3185">
        <v>19000</v>
      </c>
      <c r="J4" s="3185">
        <v>19000</v>
      </c>
      <c r="K4" s="3185">
        <v>758.63</v>
      </c>
      <c r="L4" s="3185">
        <f t="shared" si="0"/>
        <v>1897</v>
      </c>
      <c r="M4" s="3185">
        <v>0</v>
      </c>
      <c r="N4" s="3185" t="s">
        <v>3031</v>
      </c>
    </row>
    <row r="5" spans="1:14" s="3187" customFormat="1">
      <c r="A5" s="3187" t="s">
        <v>3032</v>
      </c>
      <c r="B5" s="3187" t="s">
        <v>3017</v>
      </c>
      <c r="C5" s="3187" t="s">
        <v>3018</v>
      </c>
      <c r="D5" s="3187">
        <v>93024.68</v>
      </c>
      <c r="E5" s="3187">
        <v>139537</v>
      </c>
      <c r="F5" s="3187" t="s">
        <v>3033</v>
      </c>
      <c r="G5" s="3187" t="s">
        <v>3025</v>
      </c>
      <c r="H5" s="3187" t="s">
        <v>3034</v>
      </c>
      <c r="I5" s="3187" t="s">
        <v>2820</v>
      </c>
      <c r="J5" s="3187">
        <v>34225</v>
      </c>
      <c r="K5" s="3187">
        <v>2452.75</v>
      </c>
      <c r="L5" s="3187">
        <f t="shared" si="0"/>
        <v>3679</v>
      </c>
      <c r="M5" s="3187" t="s">
        <v>2820</v>
      </c>
      <c r="N5" s="3187" t="s">
        <v>3035</v>
      </c>
    </row>
    <row r="6" spans="1:14" s="3187" customFormat="1">
      <c r="A6" s="3187" t="s">
        <v>3032</v>
      </c>
      <c r="B6" s="3187" t="s">
        <v>3017</v>
      </c>
      <c r="C6" s="3187" t="s">
        <v>3018</v>
      </c>
      <c r="D6" s="3187">
        <v>68644.55</v>
      </c>
      <c r="E6" s="3187">
        <v>102966.8</v>
      </c>
      <c r="F6" s="3187" t="s">
        <v>3033</v>
      </c>
      <c r="G6" s="3187" t="s">
        <v>3025</v>
      </c>
      <c r="H6" s="3187" t="s">
        <v>3034</v>
      </c>
      <c r="I6" s="3187" t="s">
        <v>2820</v>
      </c>
      <c r="J6" s="3187">
        <v>25280</v>
      </c>
      <c r="K6" s="3187">
        <v>2455.15</v>
      </c>
      <c r="L6" s="3187">
        <f t="shared" si="0"/>
        <v>3683</v>
      </c>
      <c r="M6" s="3187" t="s">
        <v>2820</v>
      </c>
      <c r="N6" s="3187" t="s">
        <v>3036</v>
      </c>
    </row>
    <row r="7" spans="1:14" s="3187" customFormat="1">
      <c r="A7" s="3187" t="s">
        <v>3032</v>
      </c>
      <c r="B7" s="3187" t="s">
        <v>3017</v>
      </c>
      <c r="C7" s="3187" t="s">
        <v>3018</v>
      </c>
      <c r="D7" s="3187">
        <v>124317.3</v>
      </c>
      <c r="E7" s="3187">
        <v>186475.9</v>
      </c>
      <c r="F7" s="3187" t="s">
        <v>3033</v>
      </c>
      <c r="G7" s="3187" t="s">
        <v>3025</v>
      </c>
      <c r="H7" s="3187" t="s">
        <v>3034</v>
      </c>
      <c r="I7" s="3187" t="s">
        <v>2820</v>
      </c>
      <c r="J7" s="3187">
        <v>45775</v>
      </c>
      <c r="K7" s="3187">
        <v>2454.73</v>
      </c>
      <c r="L7" s="3187">
        <f t="shared" si="0"/>
        <v>3682</v>
      </c>
      <c r="M7" s="3187" t="s">
        <v>2820</v>
      </c>
      <c r="N7" s="3187" t="s">
        <v>3037</v>
      </c>
    </row>
    <row r="8" spans="1:14" s="3188" customFormat="1">
      <c r="A8" s="3188" t="s">
        <v>3038</v>
      </c>
      <c r="B8" s="3188" t="s">
        <v>3017</v>
      </c>
      <c r="C8" s="3188" t="s">
        <v>3018</v>
      </c>
      <c r="D8" s="3188">
        <v>8556</v>
      </c>
      <c r="E8" s="3188">
        <v>12834</v>
      </c>
      <c r="F8" s="3188" t="s">
        <v>3033</v>
      </c>
      <c r="G8" s="3188" t="s">
        <v>3025</v>
      </c>
      <c r="H8" s="3188" t="s">
        <v>3039</v>
      </c>
      <c r="I8" s="3188">
        <v>2892</v>
      </c>
      <c r="J8" s="3188">
        <v>2892</v>
      </c>
      <c r="K8" s="3188">
        <v>2253.38</v>
      </c>
      <c r="L8" s="3188">
        <f t="shared" si="0"/>
        <v>3380</v>
      </c>
      <c r="M8" s="3188">
        <v>0</v>
      </c>
      <c r="N8" s="3188" t="s">
        <v>3040</v>
      </c>
    </row>
    <row r="9" spans="1:14">
      <c r="A9" s="3185" t="s">
        <v>3041</v>
      </c>
      <c r="B9" s="3185" t="s">
        <v>3017</v>
      </c>
      <c r="C9" s="3185" t="s">
        <v>3018</v>
      </c>
      <c r="D9" s="3185">
        <v>29495.599999999999</v>
      </c>
      <c r="E9" s="3185">
        <v>44243.4</v>
      </c>
      <c r="F9" s="3185" t="s">
        <v>3033</v>
      </c>
      <c r="G9" s="3185" t="s">
        <v>3025</v>
      </c>
      <c r="H9" s="3185" t="s">
        <v>3042</v>
      </c>
      <c r="I9" s="3185">
        <v>8982</v>
      </c>
      <c r="J9" s="3185">
        <v>8982</v>
      </c>
      <c r="K9" s="3185">
        <v>2030.13</v>
      </c>
      <c r="L9" s="3185">
        <f t="shared" si="0"/>
        <v>3045</v>
      </c>
      <c r="M9" s="3185">
        <v>0</v>
      </c>
      <c r="N9" s="3185" t="s">
        <v>3022</v>
      </c>
    </row>
    <row r="10" spans="1:14">
      <c r="A10" s="3185" t="s">
        <v>3041</v>
      </c>
      <c r="B10" s="3185" t="s">
        <v>3017</v>
      </c>
      <c r="C10" s="3185" t="s">
        <v>3018</v>
      </c>
      <c r="D10" s="3185">
        <v>33243.32</v>
      </c>
      <c r="E10" s="3185">
        <v>49864.98</v>
      </c>
      <c r="F10" s="3185" t="s">
        <v>3033</v>
      </c>
      <c r="G10" s="3185" t="s">
        <v>3025</v>
      </c>
      <c r="H10" s="3185" t="s">
        <v>3042</v>
      </c>
      <c r="I10" s="3185">
        <v>10123</v>
      </c>
      <c r="J10" s="3185">
        <v>10123</v>
      </c>
      <c r="K10" s="3185">
        <v>2030.07</v>
      </c>
      <c r="L10" s="3185">
        <f t="shared" si="0"/>
        <v>3045</v>
      </c>
      <c r="M10" s="3185">
        <v>0</v>
      </c>
      <c r="N10" s="3185" t="s">
        <v>3022</v>
      </c>
    </row>
    <row r="11" spans="1:14">
      <c r="A11" s="3185" t="s">
        <v>3041</v>
      </c>
      <c r="B11" s="3185" t="s">
        <v>3017</v>
      </c>
      <c r="C11" s="3185" t="s">
        <v>3018</v>
      </c>
      <c r="D11" s="3185">
        <v>5821.99</v>
      </c>
      <c r="E11" s="3185">
        <v>8732.99</v>
      </c>
      <c r="F11" s="3185" t="s">
        <v>3033</v>
      </c>
      <c r="G11" s="3185" t="s">
        <v>3025</v>
      </c>
      <c r="H11" s="3185" t="s">
        <v>3042</v>
      </c>
      <c r="I11" s="3185">
        <v>1770</v>
      </c>
      <c r="J11" s="3185">
        <v>1770</v>
      </c>
      <c r="K11" s="3185">
        <v>2026.79</v>
      </c>
      <c r="L11" s="3185">
        <f t="shared" si="0"/>
        <v>3040</v>
      </c>
      <c r="M11" s="3185">
        <v>0</v>
      </c>
      <c r="N11" s="3185" t="s">
        <v>3022</v>
      </c>
    </row>
    <row r="12" spans="1:14">
      <c r="A12" s="3185" t="s">
        <v>3043</v>
      </c>
      <c r="B12" s="3185" t="s">
        <v>3017</v>
      </c>
      <c r="C12" s="3185" t="s">
        <v>3018</v>
      </c>
      <c r="D12" s="3185">
        <v>23306.2</v>
      </c>
      <c r="E12" s="3185">
        <v>79241.08</v>
      </c>
      <c r="F12" s="3185" t="s">
        <v>3044</v>
      </c>
      <c r="G12" s="3185" t="s">
        <v>3025</v>
      </c>
      <c r="H12" s="3185" t="s">
        <v>3045</v>
      </c>
      <c r="I12" s="3185">
        <v>1980</v>
      </c>
      <c r="J12" s="3185">
        <v>1980</v>
      </c>
      <c r="K12" s="3185">
        <v>249.87</v>
      </c>
      <c r="L12" s="3185">
        <f t="shared" si="0"/>
        <v>850</v>
      </c>
      <c r="M12" s="3185">
        <v>0</v>
      </c>
      <c r="N12" s="3185" t="s">
        <v>3046</v>
      </c>
    </row>
    <row r="13" spans="1:14">
      <c r="A13" s="3185" t="s">
        <v>3043</v>
      </c>
      <c r="B13" s="3185" t="s">
        <v>3017</v>
      </c>
      <c r="C13" s="3185" t="s">
        <v>3018</v>
      </c>
      <c r="D13" s="3185">
        <v>46198.2</v>
      </c>
      <c r="E13" s="3185">
        <v>188488.7</v>
      </c>
      <c r="F13" s="3185" t="s">
        <v>3047</v>
      </c>
      <c r="G13" s="3185" t="s">
        <v>3025</v>
      </c>
      <c r="H13" s="3185" t="s">
        <v>3045</v>
      </c>
      <c r="I13" s="3185">
        <v>4030</v>
      </c>
      <c r="J13" s="3185">
        <v>4030</v>
      </c>
      <c r="K13" s="3185">
        <v>213.81</v>
      </c>
      <c r="L13" s="3185">
        <f t="shared" si="0"/>
        <v>872</v>
      </c>
      <c r="M13" s="3185">
        <v>0</v>
      </c>
      <c r="N13" s="3185" t="s">
        <v>3046</v>
      </c>
    </row>
    <row r="14" spans="1:14">
      <c r="A14" s="3185" t="s">
        <v>3043</v>
      </c>
      <c r="B14" s="3185" t="s">
        <v>3017</v>
      </c>
      <c r="C14" s="3185" t="s">
        <v>3018</v>
      </c>
      <c r="D14" s="3185">
        <v>23720.400000000001</v>
      </c>
      <c r="E14" s="3185">
        <v>109825.5</v>
      </c>
      <c r="F14" s="3185" t="s">
        <v>3048</v>
      </c>
      <c r="G14" s="3185" t="s">
        <v>3025</v>
      </c>
      <c r="H14" s="3185" t="s">
        <v>3045</v>
      </c>
      <c r="I14" s="3185">
        <v>2310</v>
      </c>
      <c r="J14" s="3185">
        <v>2310</v>
      </c>
      <c r="K14" s="3185">
        <v>210.33</v>
      </c>
      <c r="L14" s="3185">
        <f t="shared" si="0"/>
        <v>974</v>
      </c>
      <c r="M14" s="3185">
        <v>0</v>
      </c>
      <c r="N14" s="3185" t="s">
        <v>3046</v>
      </c>
    </row>
    <row r="15" spans="1:14">
      <c r="A15" s="3185" t="s">
        <v>3043</v>
      </c>
      <c r="B15" s="3185" t="s">
        <v>3017</v>
      </c>
      <c r="C15" s="3185" t="s">
        <v>3018</v>
      </c>
      <c r="D15" s="3185">
        <v>26220.9</v>
      </c>
      <c r="E15" s="3185">
        <v>114847.5</v>
      </c>
      <c r="F15" s="3185" t="s">
        <v>3049</v>
      </c>
      <c r="G15" s="3185" t="s">
        <v>3025</v>
      </c>
      <c r="H15" s="3185" t="s">
        <v>3045</v>
      </c>
      <c r="I15" s="3185">
        <v>2390</v>
      </c>
      <c r="J15" s="3185">
        <v>2390</v>
      </c>
      <c r="K15" s="3185">
        <v>208.09</v>
      </c>
      <c r="L15" s="3185">
        <f t="shared" si="0"/>
        <v>911</v>
      </c>
      <c r="M15" s="3185">
        <v>0</v>
      </c>
      <c r="N15" s="3185" t="s">
        <v>3046</v>
      </c>
    </row>
    <row r="16" spans="1:14">
      <c r="A16" s="3185" t="s">
        <v>3050</v>
      </c>
      <c r="B16" s="3185" t="s">
        <v>3017</v>
      </c>
      <c r="C16" s="3185" t="s">
        <v>3051</v>
      </c>
      <c r="D16" s="3185">
        <v>7154.9</v>
      </c>
      <c r="E16" s="3185">
        <v>32697.89</v>
      </c>
      <c r="F16" s="3185" t="s">
        <v>3052</v>
      </c>
      <c r="G16" s="3185" t="s">
        <v>3025</v>
      </c>
      <c r="H16" s="3185" t="s">
        <v>3053</v>
      </c>
      <c r="I16" s="3185">
        <v>1300</v>
      </c>
      <c r="J16" s="3185">
        <v>1300</v>
      </c>
      <c r="K16" s="3185">
        <v>397.57</v>
      </c>
      <c r="L16" s="3185">
        <f t="shared" si="0"/>
        <v>1817</v>
      </c>
      <c r="M16" s="3185">
        <v>0</v>
      </c>
      <c r="N16" s="3185" t="s">
        <v>3054</v>
      </c>
    </row>
    <row r="17" spans="1:14">
      <c r="A17" s="3185" t="s">
        <v>3055</v>
      </c>
      <c r="B17" s="3185" t="s">
        <v>3017</v>
      </c>
      <c r="C17" s="3185" t="s">
        <v>3018</v>
      </c>
      <c r="D17" s="3185">
        <v>53313.65</v>
      </c>
      <c r="E17" s="3185">
        <v>85301.84</v>
      </c>
      <c r="F17" s="3185" t="s">
        <v>3056</v>
      </c>
      <c r="G17" s="3185" t="s">
        <v>3025</v>
      </c>
      <c r="H17" s="3185" t="s">
        <v>3057</v>
      </c>
      <c r="I17" s="3185">
        <v>17594</v>
      </c>
      <c r="J17" s="3185">
        <v>17594</v>
      </c>
      <c r="K17" s="3185">
        <v>2062.5500000000002</v>
      </c>
      <c r="L17" s="3185">
        <f t="shared" si="0"/>
        <v>3300</v>
      </c>
      <c r="M17" s="3185">
        <v>0</v>
      </c>
      <c r="N17" s="3185" t="s">
        <v>3058</v>
      </c>
    </row>
    <row r="18" spans="1:14">
      <c r="A18" s="3185" t="s">
        <v>3055</v>
      </c>
      <c r="B18" s="3185" t="s">
        <v>3017</v>
      </c>
      <c r="C18" s="3185" t="s">
        <v>3018</v>
      </c>
      <c r="D18" s="3185">
        <v>86358.2</v>
      </c>
      <c r="E18" s="3185">
        <v>138173.1</v>
      </c>
      <c r="F18" s="3185" t="s">
        <v>3056</v>
      </c>
      <c r="G18" s="3185" t="s">
        <v>3025</v>
      </c>
      <c r="H18" s="3185" t="s">
        <v>3057</v>
      </c>
      <c r="I18" s="3185">
        <v>28500</v>
      </c>
      <c r="J18" s="3185">
        <v>28500</v>
      </c>
      <c r="K18" s="3185">
        <v>2062.63</v>
      </c>
      <c r="L18" s="3185">
        <f t="shared" si="0"/>
        <v>3300</v>
      </c>
      <c r="M18" s="3185">
        <v>0</v>
      </c>
      <c r="N18" s="3185" t="s">
        <v>3058</v>
      </c>
    </row>
    <row r="19" spans="1:14">
      <c r="A19" s="3185" t="s">
        <v>3059</v>
      </c>
      <c r="B19" s="3185" t="s">
        <v>3017</v>
      </c>
      <c r="C19" s="3185" t="s">
        <v>3018</v>
      </c>
      <c r="D19" s="3185">
        <v>68747.97</v>
      </c>
      <c r="E19" s="3185">
        <v>109996.8</v>
      </c>
      <c r="F19" s="3185" t="s">
        <v>3060</v>
      </c>
      <c r="G19" s="3185" t="s">
        <v>3025</v>
      </c>
      <c r="H19" s="3185" t="s">
        <v>3061</v>
      </c>
      <c r="I19" s="3185">
        <v>22500</v>
      </c>
      <c r="J19" s="3185">
        <v>22500</v>
      </c>
      <c r="K19" s="3185">
        <v>2045.5</v>
      </c>
      <c r="L19" s="3185">
        <f t="shared" si="0"/>
        <v>3273</v>
      </c>
      <c r="M19" s="3185">
        <v>0</v>
      </c>
      <c r="N19" s="3185" t="s">
        <v>3040</v>
      </c>
    </row>
    <row r="20" spans="1:14">
      <c r="A20" s="3185" t="s">
        <v>3062</v>
      </c>
      <c r="B20" s="3185" t="s">
        <v>3017</v>
      </c>
      <c r="C20" s="3185" t="s">
        <v>3018</v>
      </c>
      <c r="D20" s="3185">
        <v>55376.81</v>
      </c>
      <c r="E20" s="3185">
        <v>94694.35</v>
      </c>
      <c r="F20" s="3185" t="s">
        <v>3063</v>
      </c>
      <c r="G20" s="3185" t="s">
        <v>3025</v>
      </c>
      <c r="H20" s="3185" t="s">
        <v>3064</v>
      </c>
      <c r="I20" s="3185">
        <v>16613</v>
      </c>
      <c r="J20" s="3185">
        <v>16613</v>
      </c>
      <c r="K20" s="3185">
        <v>1754.38</v>
      </c>
      <c r="L20" s="3185">
        <f t="shared" si="0"/>
        <v>3000</v>
      </c>
      <c r="M20" s="3185">
        <v>0</v>
      </c>
      <c r="N20" s="3185" t="s">
        <v>3065</v>
      </c>
    </row>
    <row r="21" spans="1:14">
      <c r="A21" s="3185" t="s">
        <v>3066</v>
      </c>
      <c r="B21" s="3185" t="s">
        <v>3017</v>
      </c>
      <c r="C21" s="3185" t="s">
        <v>3051</v>
      </c>
      <c r="D21" s="3185">
        <v>9238</v>
      </c>
      <c r="E21" s="3185">
        <v>32333</v>
      </c>
      <c r="F21" s="3185" t="s">
        <v>3067</v>
      </c>
      <c r="G21" s="3185" t="s">
        <v>3025</v>
      </c>
      <c r="H21" s="3185" t="s">
        <v>3068</v>
      </c>
      <c r="I21" s="3185">
        <v>1780</v>
      </c>
      <c r="J21" s="3185">
        <v>1780</v>
      </c>
      <c r="K21" s="3185">
        <v>550.51</v>
      </c>
      <c r="L21" s="3185">
        <f t="shared" si="0"/>
        <v>1927</v>
      </c>
      <c r="M21" s="3185">
        <v>0</v>
      </c>
      <c r="N21" s="3185" t="s">
        <v>3069</v>
      </c>
    </row>
    <row r="22" spans="1:14">
      <c r="A22" s="3185" t="s">
        <v>3070</v>
      </c>
      <c r="B22" s="3185" t="s">
        <v>3017</v>
      </c>
      <c r="C22" s="3185" t="s">
        <v>3051</v>
      </c>
      <c r="D22" s="3185">
        <v>48609.3</v>
      </c>
      <c r="E22" s="3185">
        <v>170132.5</v>
      </c>
      <c r="F22" s="3185" t="s">
        <v>3067</v>
      </c>
      <c r="G22" s="3185" t="s">
        <v>3025</v>
      </c>
      <c r="H22" s="3185" t="s">
        <v>3071</v>
      </c>
      <c r="I22" s="3185">
        <v>7380</v>
      </c>
      <c r="J22" s="3185">
        <v>7380</v>
      </c>
      <c r="K22" s="3185">
        <v>433.77</v>
      </c>
      <c r="L22" s="3185">
        <f t="shared" si="0"/>
        <v>1518</v>
      </c>
      <c r="M22" s="3185">
        <v>0</v>
      </c>
      <c r="N22" s="3185" t="s">
        <v>3072</v>
      </c>
    </row>
    <row r="23" spans="1:14">
      <c r="A23" s="3185" t="s">
        <v>3070</v>
      </c>
      <c r="B23" s="3185" t="s">
        <v>3017</v>
      </c>
      <c r="C23" s="3185" t="s">
        <v>3051</v>
      </c>
      <c r="D23" s="3185">
        <v>10080.799999999999</v>
      </c>
      <c r="E23" s="3185">
        <v>34879.57</v>
      </c>
      <c r="F23" s="3185" t="s">
        <v>3073</v>
      </c>
      <c r="G23" s="3185" t="s">
        <v>3025</v>
      </c>
      <c r="H23" s="3185" t="s">
        <v>3071</v>
      </c>
      <c r="I23" s="3185">
        <v>1500</v>
      </c>
      <c r="J23" s="3185">
        <v>1500</v>
      </c>
      <c r="K23" s="3185">
        <v>430.05</v>
      </c>
      <c r="L23" s="3185">
        <f t="shared" si="0"/>
        <v>1488</v>
      </c>
      <c r="M23" s="3185">
        <v>0</v>
      </c>
      <c r="N23" s="3185" t="s">
        <v>3072</v>
      </c>
    </row>
    <row r="24" spans="1:14">
      <c r="A24" s="3185" t="s">
        <v>3074</v>
      </c>
      <c r="B24" s="3185" t="s">
        <v>3017</v>
      </c>
      <c r="C24" s="3185" t="s">
        <v>3051</v>
      </c>
      <c r="D24" s="3185">
        <v>10976.3</v>
      </c>
      <c r="E24" s="3185">
        <v>53564.34</v>
      </c>
      <c r="F24" s="3185" t="s">
        <v>3075</v>
      </c>
      <c r="G24" s="3185" t="s">
        <v>3025</v>
      </c>
      <c r="H24" s="3185" t="s">
        <v>3071</v>
      </c>
      <c r="I24" s="3185">
        <v>2550</v>
      </c>
      <c r="J24" s="3185">
        <v>2550</v>
      </c>
      <c r="K24" s="3185">
        <v>476.06</v>
      </c>
      <c r="L24" s="3185">
        <f t="shared" si="0"/>
        <v>2323</v>
      </c>
      <c r="M24" s="3185">
        <v>0</v>
      </c>
      <c r="N24" s="3185" t="s">
        <v>3076</v>
      </c>
    </row>
    <row r="25" spans="1:14">
      <c r="A25" s="3185" t="s">
        <v>3077</v>
      </c>
      <c r="B25" s="3185" t="s">
        <v>3017</v>
      </c>
      <c r="C25" s="3185" t="s">
        <v>3051</v>
      </c>
      <c r="D25" s="3185">
        <v>10282.5</v>
      </c>
      <c r="E25" s="3185">
        <v>35577.449999999997</v>
      </c>
      <c r="F25" s="3185" t="s">
        <v>3073</v>
      </c>
      <c r="G25" s="3185" t="s">
        <v>3025</v>
      </c>
      <c r="H25" s="3185" t="s">
        <v>3078</v>
      </c>
      <c r="I25" s="3185">
        <v>1800</v>
      </c>
      <c r="J25" s="3185">
        <v>1800</v>
      </c>
      <c r="K25" s="3185">
        <v>505.93</v>
      </c>
      <c r="L25" s="3185">
        <f t="shared" si="0"/>
        <v>1751</v>
      </c>
      <c r="M25" s="3185">
        <v>0</v>
      </c>
      <c r="N25" s="3185" t="s">
        <v>3079</v>
      </c>
    </row>
    <row r="26" spans="1:14">
      <c r="A26" s="3185" t="s">
        <v>3080</v>
      </c>
      <c r="B26" s="3185" t="s">
        <v>3017</v>
      </c>
      <c r="C26" s="3185" t="s">
        <v>3018</v>
      </c>
      <c r="D26" s="3185">
        <v>48271</v>
      </c>
      <c r="E26" s="3185">
        <v>126952.7</v>
      </c>
      <c r="F26" s="3185" t="s">
        <v>3081</v>
      </c>
      <c r="G26" s="3185" t="s">
        <v>3025</v>
      </c>
      <c r="H26" s="3185" t="s">
        <v>3082</v>
      </c>
      <c r="I26" s="3185">
        <v>5890</v>
      </c>
      <c r="J26" s="3185">
        <v>5890</v>
      </c>
      <c r="K26" s="3185">
        <v>463.94</v>
      </c>
      <c r="L26" s="3185">
        <f t="shared" si="0"/>
        <v>1220</v>
      </c>
      <c r="M26" s="3185">
        <v>0</v>
      </c>
      <c r="N26" s="3185" t="s">
        <v>3083</v>
      </c>
    </row>
    <row r="27" spans="1:14">
      <c r="A27" s="3185" t="s">
        <v>3084</v>
      </c>
      <c r="B27" s="3185" t="s">
        <v>3017</v>
      </c>
      <c r="C27" s="3185" t="s">
        <v>3018</v>
      </c>
      <c r="D27" s="3185">
        <v>54504.41</v>
      </c>
      <c r="E27" s="3185">
        <v>106828.6</v>
      </c>
      <c r="F27" s="3185" t="s">
        <v>3085</v>
      </c>
      <c r="G27" s="3185" t="s">
        <v>3025</v>
      </c>
      <c r="H27" s="3185" t="s">
        <v>3086</v>
      </c>
      <c r="I27" s="3185">
        <v>16760</v>
      </c>
      <c r="J27" s="3185">
        <v>17760</v>
      </c>
      <c r="K27" s="3185">
        <v>1662.48</v>
      </c>
      <c r="L27" s="3185">
        <f t="shared" si="0"/>
        <v>3258</v>
      </c>
      <c r="M27" s="3185">
        <v>5.97</v>
      </c>
      <c r="N27" s="3185" t="s">
        <v>3040</v>
      </c>
    </row>
    <row r="28" spans="1:14">
      <c r="A28" s="3185" t="s">
        <v>3087</v>
      </c>
      <c r="B28" s="3185" t="s">
        <v>3017</v>
      </c>
      <c r="C28" s="3185" t="s">
        <v>3051</v>
      </c>
      <c r="D28" s="3185">
        <v>123767.2</v>
      </c>
      <c r="E28" s="3185" t="s">
        <v>2820</v>
      </c>
      <c r="F28" s="3185" t="s">
        <v>3088</v>
      </c>
      <c r="G28" s="3185" t="s">
        <v>3025</v>
      </c>
      <c r="H28" s="3185" t="s">
        <v>3086</v>
      </c>
      <c r="I28" s="3185">
        <v>15300</v>
      </c>
      <c r="J28" s="3185">
        <v>15300</v>
      </c>
      <c r="K28" s="3185" t="s">
        <v>2820</v>
      </c>
      <c r="L28" s="3185">
        <f t="shared" si="0"/>
        <v>1236</v>
      </c>
      <c r="M28" s="3185">
        <v>0</v>
      </c>
      <c r="N28" s="3185" t="s">
        <v>3089</v>
      </c>
    </row>
    <row r="29" spans="1:14">
      <c r="A29" s="3185" t="s">
        <v>3090</v>
      </c>
      <c r="B29" s="3185" t="s">
        <v>3017</v>
      </c>
      <c r="C29" s="3185" t="s">
        <v>3018</v>
      </c>
      <c r="D29" s="3185">
        <v>45345.8</v>
      </c>
      <c r="E29" s="3185">
        <v>194986.9</v>
      </c>
      <c r="F29" s="3185" t="s">
        <v>3091</v>
      </c>
      <c r="G29" s="3185" t="s">
        <v>3025</v>
      </c>
      <c r="H29" s="3185" t="s">
        <v>3092</v>
      </c>
      <c r="I29" s="3185">
        <v>6620</v>
      </c>
      <c r="J29" s="3185">
        <v>6620</v>
      </c>
      <c r="K29" s="3185">
        <v>339.5</v>
      </c>
      <c r="L29" s="3185">
        <f t="shared" si="0"/>
        <v>1460</v>
      </c>
      <c r="M29" s="3185">
        <v>0</v>
      </c>
      <c r="N29" s="3185" t="s">
        <v>3069</v>
      </c>
    </row>
    <row r="30" spans="1:14">
      <c r="A30" s="3185" t="s">
        <v>3090</v>
      </c>
      <c r="B30" s="3185" t="s">
        <v>3017</v>
      </c>
      <c r="C30" s="3185" t="s">
        <v>3018</v>
      </c>
      <c r="D30" s="3185">
        <v>5951.6</v>
      </c>
      <c r="E30" s="3185">
        <v>21425.759999999998</v>
      </c>
      <c r="F30" s="3185" t="s">
        <v>3093</v>
      </c>
      <c r="G30" s="3185" t="s">
        <v>3025</v>
      </c>
      <c r="H30" s="3185" t="s">
        <v>3092</v>
      </c>
      <c r="I30" s="3185">
        <v>860</v>
      </c>
      <c r="J30" s="3185">
        <v>860</v>
      </c>
      <c r="K30" s="3185">
        <v>401.38</v>
      </c>
      <c r="L30" s="3185">
        <f t="shared" si="0"/>
        <v>1445</v>
      </c>
      <c r="M30" s="3185">
        <v>0</v>
      </c>
      <c r="N30" s="3185" t="s">
        <v>3069</v>
      </c>
    </row>
    <row r="31" spans="1:14">
      <c r="A31" s="3185" t="s">
        <v>3094</v>
      </c>
      <c r="B31" s="3185" t="s">
        <v>3017</v>
      </c>
      <c r="C31" s="3185" t="s">
        <v>3018</v>
      </c>
      <c r="D31" s="3185">
        <v>21142.7</v>
      </c>
      <c r="E31" s="3185">
        <v>73788.02</v>
      </c>
      <c r="F31" s="3185" t="s">
        <v>3095</v>
      </c>
      <c r="G31" s="3185" t="s">
        <v>3025</v>
      </c>
      <c r="H31" s="3185" t="s">
        <v>3096</v>
      </c>
      <c r="I31" s="3185" t="s">
        <v>2820</v>
      </c>
      <c r="J31" s="3185">
        <v>3340</v>
      </c>
      <c r="K31" s="3185">
        <v>452.64</v>
      </c>
      <c r="L31" s="3185">
        <f t="shared" si="0"/>
        <v>1580</v>
      </c>
      <c r="M31" s="3185" t="s">
        <v>2820</v>
      </c>
      <c r="N31" s="3185" t="s">
        <v>3097</v>
      </c>
    </row>
    <row r="32" spans="1:14">
      <c r="A32" s="3185" t="s">
        <v>3098</v>
      </c>
      <c r="B32" s="3185" t="s">
        <v>3017</v>
      </c>
      <c r="C32" s="3185" t="s">
        <v>3018</v>
      </c>
      <c r="D32" s="3185">
        <v>78232.429999999993</v>
      </c>
      <c r="E32" s="3185">
        <v>132995.1</v>
      </c>
      <c r="F32" s="3185" t="s">
        <v>3099</v>
      </c>
      <c r="G32" s="3185" t="s">
        <v>3025</v>
      </c>
      <c r="H32" s="3185" t="s">
        <v>3100</v>
      </c>
      <c r="I32" s="3185" t="s">
        <v>2820</v>
      </c>
      <c r="J32" s="3185">
        <v>17300</v>
      </c>
      <c r="K32" s="3185">
        <v>1300.79</v>
      </c>
      <c r="L32" s="3185">
        <f t="shared" si="0"/>
        <v>2211</v>
      </c>
      <c r="M32" s="3185" t="s">
        <v>2820</v>
      </c>
      <c r="N32" s="3185" t="s">
        <v>3101</v>
      </c>
    </row>
    <row r="33" spans="1:14">
      <c r="A33" s="3185" t="s">
        <v>3102</v>
      </c>
      <c r="B33" s="3185" t="s">
        <v>3017</v>
      </c>
      <c r="C33" s="3185" t="s">
        <v>3018</v>
      </c>
      <c r="D33" s="3185">
        <v>69836.08</v>
      </c>
      <c r="E33" s="3185">
        <v>125704.9</v>
      </c>
      <c r="F33" s="3185" t="s">
        <v>3103</v>
      </c>
      <c r="G33" s="3185" t="s">
        <v>3025</v>
      </c>
      <c r="H33" s="3185" t="s">
        <v>3100</v>
      </c>
      <c r="I33" s="3185" t="s">
        <v>2820</v>
      </c>
      <c r="J33" s="3185">
        <v>15400</v>
      </c>
      <c r="K33" s="3185">
        <v>1225.08</v>
      </c>
      <c r="L33" s="3185">
        <f t="shared" si="0"/>
        <v>2205</v>
      </c>
      <c r="M33" s="3185" t="s">
        <v>2820</v>
      </c>
      <c r="N33" s="3185" t="s">
        <v>3101</v>
      </c>
    </row>
    <row r="34" spans="1:14">
      <c r="A34" s="3185" t="s">
        <v>3098</v>
      </c>
      <c r="B34" s="3185" t="s">
        <v>3017</v>
      </c>
      <c r="C34" s="3185" t="s">
        <v>3018</v>
      </c>
      <c r="D34" s="3185">
        <v>48637.94</v>
      </c>
      <c r="E34" s="3185">
        <v>87548.29</v>
      </c>
      <c r="F34" s="3185" t="s">
        <v>3103</v>
      </c>
      <c r="G34" s="3185" t="s">
        <v>3025</v>
      </c>
      <c r="H34" s="3185" t="s">
        <v>3100</v>
      </c>
      <c r="I34" s="3185" t="s">
        <v>2820</v>
      </c>
      <c r="J34" s="3185">
        <v>10800</v>
      </c>
      <c r="K34" s="3185">
        <v>1233.5899999999999</v>
      </c>
      <c r="L34" s="3185">
        <f t="shared" si="0"/>
        <v>2220</v>
      </c>
      <c r="M34" s="3185" t="s">
        <v>2820</v>
      </c>
      <c r="N34" s="3185" t="s">
        <v>3101</v>
      </c>
    </row>
    <row r="35" spans="1:14">
      <c r="A35" s="3185" t="s">
        <v>3104</v>
      </c>
      <c r="B35" s="3185" t="s">
        <v>3017</v>
      </c>
      <c r="C35" s="3185" t="s">
        <v>3051</v>
      </c>
      <c r="D35" s="3185">
        <v>83528.600000000006</v>
      </c>
      <c r="E35" s="3185">
        <v>228778.1</v>
      </c>
      <c r="F35" s="3185" t="s">
        <v>3105</v>
      </c>
      <c r="G35" s="3185" t="s">
        <v>3025</v>
      </c>
      <c r="H35" s="3185" t="s">
        <v>3106</v>
      </c>
      <c r="I35" s="3185">
        <v>9945</v>
      </c>
      <c r="J35" s="3185">
        <v>9945</v>
      </c>
      <c r="K35" s="3185">
        <v>434.69</v>
      </c>
      <c r="L35" s="3185">
        <f t="shared" si="0"/>
        <v>1191</v>
      </c>
      <c r="M35" s="3185">
        <v>0</v>
      </c>
      <c r="N35" s="3185" t="s">
        <v>3083</v>
      </c>
    </row>
    <row r="36" spans="1:14">
      <c r="A36" s="3185" t="s">
        <v>3107</v>
      </c>
      <c r="B36" s="3185" t="s">
        <v>3017</v>
      </c>
      <c r="C36" s="3185" t="s">
        <v>3018</v>
      </c>
      <c r="D36" s="3185">
        <v>18954.5</v>
      </c>
      <c r="E36" s="3185">
        <v>45111.71</v>
      </c>
      <c r="F36" s="3185" t="s">
        <v>3108</v>
      </c>
      <c r="G36" s="3185" t="s">
        <v>3025</v>
      </c>
      <c r="H36" s="3185" t="s">
        <v>3109</v>
      </c>
      <c r="I36" s="3185" t="s">
        <v>2820</v>
      </c>
      <c r="J36" s="3185">
        <v>2080</v>
      </c>
      <c r="K36" s="3185">
        <v>461.07</v>
      </c>
      <c r="L36" s="3185">
        <f t="shared" si="0"/>
        <v>1097</v>
      </c>
      <c r="M36" s="3185" t="s">
        <v>2820</v>
      </c>
      <c r="N36" s="3185" t="s">
        <v>3110</v>
      </c>
    </row>
    <row r="37" spans="1:14">
      <c r="A37" s="3185" t="s">
        <v>3111</v>
      </c>
      <c r="B37" s="3185" t="s">
        <v>3017</v>
      </c>
      <c r="C37" s="3185" t="s">
        <v>3018</v>
      </c>
      <c r="D37" s="3185">
        <v>6669.1</v>
      </c>
      <c r="E37" s="3185">
        <v>14338.57</v>
      </c>
      <c r="F37" s="3185" t="s">
        <v>3112</v>
      </c>
      <c r="G37" s="3185" t="s">
        <v>3025</v>
      </c>
      <c r="H37" s="3185" t="s">
        <v>3113</v>
      </c>
      <c r="I37" s="3185" t="s">
        <v>2820</v>
      </c>
      <c r="J37" s="3185">
        <v>690</v>
      </c>
      <c r="K37" s="3185">
        <v>481.22</v>
      </c>
      <c r="L37" s="3185">
        <f t="shared" si="0"/>
        <v>1035</v>
      </c>
      <c r="M37" s="3185" t="s">
        <v>2820</v>
      </c>
      <c r="N37" s="3185" t="s">
        <v>3114</v>
      </c>
    </row>
    <row r="38" spans="1:14">
      <c r="A38" s="3185" t="s">
        <v>3115</v>
      </c>
      <c r="B38" s="3185" t="s">
        <v>3017</v>
      </c>
      <c r="C38" s="3185" t="s">
        <v>3051</v>
      </c>
      <c r="D38" s="3185">
        <v>28630</v>
      </c>
      <c r="E38" s="3185">
        <v>80736.600000000006</v>
      </c>
      <c r="F38" s="3185" t="s">
        <v>3116</v>
      </c>
      <c r="G38" s="3185" t="s">
        <v>3025</v>
      </c>
      <c r="H38" s="3185" t="s">
        <v>3117</v>
      </c>
      <c r="I38" s="3185" t="s">
        <v>2820</v>
      </c>
      <c r="J38" s="3185">
        <v>3500</v>
      </c>
      <c r="K38" s="3185">
        <v>433.5</v>
      </c>
      <c r="L38" s="3185">
        <f t="shared" si="0"/>
        <v>1222</v>
      </c>
      <c r="M38" s="3185" t="s">
        <v>2820</v>
      </c>
      <c r="N38" s="3185" t="s">
        <v>3118</v>
      </c>
    </row>
    <row r="39" spans="1:14">
      <c r="A39" s="3185" t="s">
        <v>3119</v>
      </c>
      <c r="B39" s="3185" t="s">
        <v>3017</v>
      </c>
      <c r="C39" s="3185" t="s">
        <v>3018</v>
      </c>
      <c r="D39" s="3185">
        <v>11039.2</v>
      </c>
      <c r="E39" s="3185">
        <v>20753.7</v>
      </c>
      <c r="F39" s="3185">
        <v>1.88</v>
      </c>
      <c r="G39" s="3185" t="s">
        <v>3025</v>
      </c>
      <c r="H39" s="3185" t="s">
        <v>3120</v>
      </c>
      <c r="I39" s="3185" t="s">
        <v>2820</v>
      </c>
      <c r="J39" s="3185">
        <v>720</v>
      </c>
      <c r="K39" s="3185">
        <v>346.93</v>
      </c>
      <c r="L39" s="3185">
        <f t="shared" si="0"/>
        <v>652</v>
      </c>
      <c r="M39" s="3185" t="s">
        <v>2820</v>
      </c>
      <c r="N39" s="3185" t="s">
        <v>3121</v>
      </c>
    </row>
    <row r="40" spans="1:14">
      <c r="A40" s="3185" t="s">
        <v>3122</v>
      </c>
      <c r="B40" s="3185" t="s">
        <v>3017</v>
      </c>
      <c r="C40" s="3185" t="s">
        <v>3018</v>
      </c>
      <c r="D40" s="3185">
        <v>8472.7000000000007</v>
      </c>
      <c r="E40" s="3185">
        <v>17792.669999999998</v>
      </c>
      <c r="F40" s="3185" t="s">
        <v>3123</v>
      </c>
      <c r="G40" s="3185" t="s">
        <v>3025</v>
      </c>
      <c r="H40" s="3185" t="s">
        <v>3124</v>
      </c>
      <c r="I40" s="3185" t="s">
        <v>2820</v>
      </c>
      <c r="J40" s="3185">
        <v>400</v>
      </c>
      <c r="K40" s="3185">
        <v>224.81</v>
      </c>
      <c r="L40" s="3185">
        <f t="shared" si="0"/>
        <v>472</v>
      </c>
      <c r="M40" s="3185" t="s">
        <v>2820</v>
      </c>
      <c r="N40" s="3185" t="s">
        <v>3125</v>
      </c>
    </row>
    <row r="41" spans="1:14">
      <c r="A41" s="3185" t="s">
        <v>3126</v>
      </c>
      <c r="B41" s="3185" t="s">
        <v>3017</v>
      </c>
      <c r="C41" s="3185" t="s">
        <v>3018</v>
      </c>
      <c r="D41" s="3185">
        <v>50659.1</v>
      </c>
      <c r="E41" s="3185">
        <v>163122.29999999999</v>
      </c>
      <c r="F41" s="3185" t="s">
        <v>3127</v>
      </c>
      <c r="G41" s="3185" t="s">
        <v>3025</v>
      </c>
      <c r="H41" s="3185" t="s">
        <v>3128</v>
      </c>
      <c r="I41" s="3185" t="s">
        <v>2820</v>
      </c>
      <c r="J41" s="3185">
        <v>5780</v>
      </c>
      <c r="K41" s="3185">
        <v>354.33</v>
      </c>
      <c r="L41" s="3185">
        <f t="shared" si="0"/>
        <v>1141</v>
      </c>
      <c r="M41" s="3185" t="s">
        <v>2820</v>
      </c>
      <c r="N41" s="3185" t="s">
        <v>3129</v>
      </c>
    </row>
    <row r="42" spans="1:14">
      <c r="A42" s="3185" t="s">
        <v>3130</v>
      </c>
      <c r="B42" s="3185" t="s">
        <v>3017</v>
      </c>
      <c r="C42" s="3185" t="s">
        <v>3018</v>
      </c>
      <c r="D42" s="3185">
        <v>44632.5</v>
      </c>
      <c r="E42" s="3185">
        <v>138360.79999999999</v>
      </c>
      <c r="F42" s="3185" t="s">
        <v>3131</v>
      </c>
      <c r="G42" s="3185" t="s">
        <v>3025</v>
      </c>
      <c r="H42" s="3185" t="s">
        <v>3132</v>
      </c>
      <c r="I42" s="3185" t="s">
        <v>2820</v>
      </c>
      <c r="J42" s="3185">
        <v>6320</v>
      </c>
      <c r="K42" s="3185">
        <v>456.77</v>
      </c>
      <c r="L42" s="3185">
        <f t="shared" si="0"/>
        <v>1416</v>
      </c>
      <c r="M42" s="3185" t="s">
        <v>2820</v>
      </c>
      <c r="N42" s="3185" t="s">
        <v>3133</v>
      </c>
    </row>
    <row r="43" spans="1:14">
      <c r="A43" s="3185" t="s">
        <v>3134</v>
      </c>
      <c r="B43" s="3185" t="s">
        <v>3017</v>
      </c>
      <c r="C43" s="3185" t="s">
        <v>3018</v>
      </c>
      <c r="D43" s="3185">
        <v>12993.5</v>
      </c>
      <c r="E43" s="3185">
        <v>40279.85</v>
      </c>
      <c r="F43" s="3185" t="s">
        <v>3131</v>
      </c>
      <c r="G43" s="3185" t="s">
        <v>3025</v>
      </c>
      <c r="H43" s="3185" t="s">
        <v>3132</v>
      </c>
      <c r="I43" s="3185" t="s">
        <v>2820</v>
      </c>
      <c r="J43" s="3185">
        <v>1150</v>
      </c>
      <c r="K43" s="3185">
        <v>285.5</v>
      </c>
      <c r="L43" s="3185">
        <f t="shared" si="0"/>
        <v>885</v>
      </c>
      <c r="M43" s="3185" t="s">
        <v>2820</v>
      </c>
      <c r="N43" s="3185" t="s">
        <v>3135</v>
      </c>
    </row>
    <row r="44" spans="1:14">
      <c r="A44" s="3185" t="s">
        <v>3136</v>
      </c>
      <c r="B44" s="3185" t="s">
        <v>3017</v>
      </c>
      <c r="C44" s="3185" t="s">
        <v>3018</v>
      </c>
      <c r="D44" s="3185">
        <v>18300.099999999999</v>
      </c>
      <c r="E44" s="3185">
        <v>49410.27</v>
      </c>
      <c r="F44" s="3185" t="s">
        <v>3137</v>
      </c>
      <c r="G44" s="3185" t="s">
        <v>3025</v>
      </c>
      <c r="H44" s="3185" t="s">
        <v>3132</v>
      </c>
      <c r="I44" s="3185" t="s">
        <v>2820</v>
      </c>
      <c r="J44" s="3185">
        <v>1900</v>
      </c>
      <c r="K44" s="3185">
        <v>384.54</v>
      </c>
      <c r="L44" s="3185">
        <f t="shared" si="0"/>
        <v>1038</v>
      </c>
      <c r="M44" s="3185" t="s">
        <v>2820</v>
      </c>
      <c r="N44" s="3185" t="s">
        <v>3138</v>
      </c>
    </row>
    <row r="45" spans="1:14">
      <c r="A45" s="3185" t="s">
        <v>3139</v>
      </c>
      <c r="B45" s="3185" t="s">
        <v>3017</v>
      </c>
      <c r="C45" s="3185" t="s">
        <v>3018</v>
      </c>
      <c r="D45" s="3185">
        <v>10014.5</v>
      </c>
      <c r="E45" s="3185">
        <v>41159.599999999999</v>
      </c>
      <c r="F45" s="3185" t="s">
        <v>3140</v>
      </c>
      <c r="G45" s="3185" t="s">
        <v>3025</v>
      </c>
      <c r="H45" s="3185" t="s">
        <v>3132</v>
      </c>
      <c r="I45" s="3185" t="s">
        <v>2820</v>
      </c>
      <c r="J45" s="3185">
        <v>660</v>
      </c>
      <c r="K45" s="3185">
        <v>160.34</v>
      </c>
      <c r="L45" s="3185">
        <f t="shared" si="0"/>
        <v>659</v>
      </c>
      <c r="M45" s="3185" t="s">
        <v>2820</v>
      </c>
      <c r="N45" s="3185" t="s">
        <v>3133</v>
      </c>
    </row>
    <row r="46" spans="1:14">
      <c r="A46" s="3185" t="s">
        <v>3141</v>
      </c>
      <c r="B46" s="3185" t="s">
        <v>3017</v>
      </c>
      <c r="C46" s="3185" t="s">
        <v>3018</v>
      </c>
      <c r="D46" s="3185">
        <v>15975.6</v>
      </c>
      <c r="E46" s="3185">
        <v>95853.6</v>
      </c>
      <c r="F46" s="3185" t="s">
        <v>3142</v>
      </c>
      <c r="G46" s="3185" t="s">
        <v>3025</v>
      </c>
      <c r="H46" s="3185" t="s">
        <v>3143</v>
      </c>
      <c r="I46" s="3185">
        <v>1558</v>
      </c>
      <c r="J46" s="3185">
        <v>1558</v>
      </c>
      <c r="K46" s="3185">
        <v>162.53</v>
      </c>
      <c r="L46" s="3185">
        <f t="shared" si="0"/>
        <v>975</v>
      </c>
      <c r="M46" s="3185">
        <v>0</v>
      </c>
      <c r="N46" s="3185" t="s">
        <v>3144</v>
      </c>
    </row>
    <row r="48" spans="1:14">
      <c r="A48" s="3185" t="s">
        <v>3168</v>
      </c>
    </row>
    <row r="102" spans="1:7">
      <c r="A102" s="3185" t="s">
        <v>3169</v>
      </c>
      <c r="G102" s="3185" t="s">
        <v>3170</v>
      </c>
    </row>
  </sheetData>
  <phoneticPr fontId="233"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3" sqref="D23"/>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11"/>
      <c r="C1" s="2106"/>
      <c r="D1" s="2106"/>
      <c r="E1" s="2106"/>
      <c r="F1" s="2106"/>
      <c r="G1" s="2106"/>
      <c r="H1" s="2106"/>
      <c r="I1" s="2106"/>
      <c r="J1" s="2106"/>
      <c r="K1" s="422">
        <f>MATCH(B1,'数据-取费表'!A6:A16,0)+5</f>
        <v>7</v>
      </c>
    </row>
    <row r="2" spans="1:31" s="2043" customFormat="1" ht="18" customHeight="1">
      <c r="A2" s="2103" t="s">
        <v>466</v>
      </c>
      <c r="B2" s="2107">
        <f ca="1">C36</f>
        <v>4844</v>
      </c>
      <c r="C2" s="2106"/>
      <c r="D2" s="2106"/>
      <c r="E2" s="2106"/>
      <c r="F2" s="2106"/>
      <c r="G2" s="2106"/>
      <c r="H2" s="2106"/>
      <c r="I2" s="2106"/>
      <c r="J2" s="2106"/>
      <c r="K2" s="2106"/>
    </row>
    <row r="3" spans="1:31" s="2043" customFormat="1" ht="18" customHeight="1">
      <c r="A3" s="2108" t="s">
        <v>1684</v>
      </c>
      <c r="B3" s="2109">
        <f ca="1">ROUND(B2*10000/IF(B1="",'数据-汇总表'!E3,INDIRECT("'数据-取费表'!K"&amp;$K$1)),0)</f>
        <v>5547</v>
      </c>
      <c r="C3" s="2106"/>
      <c r="D3" s="2106"/>
      <c r="E3" s="2106"/>
      <c r="F3" s="2106"/>
      <c r="G3" s="2106"/>
      <c r="H3" s="2106"/>
      <c r="I3" s="2106"/>
      <c r="J3" s="2106"/>
      <c r="K3" s="2106"/>
    </row>
    <row r="4" spans="1:31" s="2043" customFormat="1" ht="18" customHeight="1">
      <c r="A4" s="426" t="s">
        <v>467</v>
      </c>
      <c r="B4" s="427">
        <f ca="1">ROUND(B2*10000/IF(B1="",'数据-汇总表'!D3,INDIRECT("'数据-取费表'!R"&amp;$K$1)),0)</f>
        <v>8320</v>
      </c>
      <c r="C4" s="428"/>
      <c r="D4" s="422"/>
      <c r="E4" s="422"/>
      <c r="F4" s="422"/>
      <c r="G4" s="422"/>
      <c r="H4" s="422"/>
      <c r="I4" s="422"/>
      <c r="J4" s="422"/>
      <c r="K4" s="422"/>
    </row>
    <row r="5" spans="1:31" s="2043" customFormat="1" ht="18" customHeight="1" thickBot="1">
      <c r="A5" s="429"/>
      <c r="B5" s="430">
        <f ca="1">ROUND(B2/(IF(B1="",'数据-汇总表'!D3,INDIRECT("'数据-取费表'!R"&amp;$K$1))/666.67),0)</f>
        <v>555</v>
      </c>
      <c r="C5" s="431" t="s">
        <v>468</v>
      </c>
      <c r="D5" s="422"/>
      <c r="E5" s="422"/>
      <c r="F5" s="422"/>
      <c r="G5" s="422"/>
      <c r="H5" s="422"/>
      <c r="I5" s="422"/>
      <c r="J5" s="422"/>
      <c r="K5" s="422"/>
    </row>
    <row r="6" spans="1:31" s="2113" customFormat="1" ht="16.5" customHeight="1">
      <c r="A6" s="2830" t="s">
        <v>1842</v>
      </c>
      <c r="B6" s="2831"/>
      <c r="C6" s="2832">
        <f>SUM(C10:K10)</f>
        <v>11077</v>
      </c>
      <c r="D6" s="2831"/>
      <c r="E6" s="2831"/>
      <c r="F6" s="2831"/>
      <c r="G6" s="2831"/>
      <c r="H6" s="2831"/>
      <c r="I6" s="2831"/>
      <c r="J6" s="2831"/>
      <c r="K6" s="2833"/>
    </row>
    <row r="7" spans="1:31" s="2115" customFormat="1" ht="15">
      <c r="A7" s="2834" t="s">
        <v>469</v>
      </c>
      <c r="B7" s="2835" t="s">
        <v>470</v>
      </c>
      <c r="C7" s="436" t="s">
        <v>922</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471</v>
      </c>
      <c r="C8" s="2836">
        <f>'不动产比较法-住宅'!C49</f>
        <v>12684</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472</v>
      </c>
      <c r="C9" s="441">
        <f>SUMIF('数据-汇总表'!$C19:$C33,'剩余法-待开发'!C7,'数据-汇总表'!$E19:$E33)</f>
        <v>8732.99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1847</v>
      </c>
      <c r="B10" s="2824" t="s">
        <v>473</v>
      </c>
      <c r="C10" s="3031">
        <f>'不动产比较法-住宅'!B2</f>
        <v>11077</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1843</v>
      </c>
      <c r="B11" s="2831"/>
      <c r="C11" s="2831"/>
      <c r="D11" s="2831"/>
      <c r="E11" s="2831"/>
      <c r="F11" s="2831"/>
      <c r="G11" s="2831"/>
      <c r="H11" s="2831"/>
      <c r="I11" s="2831"/>
      <c r="J11" s="2831"/>
      <c r="K11" s="2833"/>
    </row>
    <row r="12" spans="1:31" s="2087" customFormat="1" ht="13.5" customHeight="1">
      <c r="A12" s="2842" t="s">
        <v>469</v>
      </c>
      <c r="B12" s="2814" t="s">
        <v>470</v>
      </c>
      <c r="C12" s="2843" t="s">
        <v>474</v>
      </c>
      <c r="D12" s="2810" t="s">
        <v>475</v>
      </c>
      <c r="E12" s="2810" t="s">
        <v>476</v>
      </c>
      <c r="F12" s="2810" t="s">
        <v>477</v>
      </c>
      <c r="G12" s="2814"/>
      <c r="H12" s="2815"/>
      <c r="I12" s="2815"/>
      <c r="J12" s="2815"/>
      <c r="K12" s="2816"/>
    </row>
    <row r="13" spans="1:31" s="2118" customFormat="1" ht="13.5" customHeight="1">
      <c r="A13" s="2844" t="s">
        <v>1848</v>
      </c>
      <c r="B13" s="2845" t="s">
        <v>478</v>
      </c>
      <c r="C13" s="450">
        <f ca="1">IF(B1="",'数据-取费表'!P16,INDIRECT("'数据-取费表'!p"&amp;$K$1)+INDIRECT("'数据-取费表'!t"&amp;$K$1))</f>
        <v>2445</v>
      </c>
      <c r="D13" s="2846"/>
      <c r="E13" s="2847"/>
      <c r="F13" s="2848"/>
      <c r="G13" s="2814"/>
      <c r="H13" s="2815"/>
      <c r="I13" s="2815"/>
      <c r="J13" s="2815"/>
      <c r="K13" s="2816"/>
    </row>
    <row r="14" spans="1:31" s="2118" customFormat="1" ht="13.5" customHeight="1">
      <c r="A14" s="2844" t="s">
        <v>1849</v>
      </c>
      <c r="B14" s="2845" t="s">
        <v>479</v>
      </c>
      <c r="C14" s="53">
        <f ca="1">ROUND(C13*F14,0)</f>
        <v>73</v>
      </c>
      <c r="D14" s="2846"/>
      <c r="E14" s="2847"/>
      <c r="F14" s="2849">
        <f>'数据-取费表'!B33</f>
        <v>0.03</v>
      </c>
      <c r="G14" s="2814" t="s">
        <v>480</v>
      </c>
      <c r="H14" s="2815"/>
      <c r="I14" s="2815"/>
      <c r="J14" s="2815"/>
      <c r="K14" s="2816"/>
    </row>
    <row r="15" spans="1:31" s="2118" customFormat="1" ht="13.5" customHeight="1">
      <c r="A15" s="2844" t="s">
        <v>1850</v>
      </c>
      <c r="B15" s="2845" t="s">
        <v>481</v>
      </c>
      <c r="C15" s="53">
        <f ca="1">ROUND(IF(B1="",SUMIF('数据-取费表'!C:C,"住宅",'数据-取费表'!P:P)*F15,IF(INDIRECT("'数据-取费表'!c"&amp;$K$1)="住宅",INDIRECT("'数据-取费表'!P"&amp;$K$1)*F15,0)),0)</f>
        <v>122</v>
      </c>
      <c r="D15" s="2846"/>
      <c r="E15" s="2847"/>
      <c r="F15" s="2849">
        <f>'数据-取费表'!B34</f>
        <v>0.05</v>
      </c>
      <c r="G15" s="2814" t="s">
        <v>482</v>
      </c>
      <c r="H15" s="2815"/>
      <c r="I15" s="2815"/>
      <c r="J15" s="2815"/>
      <c r="K15" s="2816"/>
    </row>
    <row r="16" spans="1:31" s="2119" customFormat="1" ht="13.5" customHeight="1">
      <c r="A16" s="2844" t="s">
        <v>1851</v>
      </c>
      <c r="B16" s="2845" t="s">
        <v>483</v>
      </c>
      <c r="C16" s="53">
        <f ca="1">ROUND(D16*E16/10000,0)</f>
        <v>175</v>
      </c>
      <c r="D16" s="2846">
        <f ca="1">IF(B1="",'数据-汇总表'!E3,INDIRECT("'数据-取费表'!K"&amp;$K$1)+INDIRECT("'数据-取费表'!S"&amp;$K$1))</f>
        <v>8732.99</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1852</v>
      </c>
      <c r="B17" s="2845" t="s">
        <v>484</v>
      </c>
      <c r="C17" s="2850">
        <f ca="1">ROUND(C13*F17,0)</f>
        <v>37</v>
      </c>
      <c r="D17" s="475"/>
      <c r="E17" s="2850"/>
      <c r="F17" s="2851">
        <f>'数据-取费表'!B36</f>
        <v>1.4999999999999999E-2</v>
      </c>
      <c r="G17" s="261" t="s">
        <v>485</v>
      </c>
      <c r="H17" s="2817"/>
      <c r="I17" s="2817"/>
      <c r="J17" s="2817"/>
      <c r="K17" s="279"/>
    </row>
    <row r="18" spans="1:14" s="2118" customFormat="1" ht="13.5" customHeight="1">
      <c r="A18" s="2852" t="s">
        <v>1853</v>
      </c>
      <c r="B18" s="2853" t="s">
        <v>486</v>
      </c>
      <c r="C18" s="2854">
        <f ca="1">SUM(C13:C17)</f>
        <v>2852</v>
      </c>
      <c r="D18" s="2855"/>
      <c r="E18" s="468"/>
      <c r="F18" s="468"/>
      <c r="G18" s="2818" t="s">
        <v>2432</v>
      </c>
      <c r="H18" s="2819"/>
      <c r="I18" s="2819"/>
      <c r="J18" s="2819"/>
      <c r="K18" s="2820"/>
    </row>
    <row r="19" spans="1:14" s="2118" customFormat="1" ht="13.5" customHeight="1">
      <c r="A19" s="2852" t="s">
        <v>1854</v>
      </c>
      <c r="B19" s="2853" t="s">
        <v>487</v>
      </c>
      <c r="C19" s="2810">
        <f ca="1">ROUND(D19*E19/10000,0)</f>
        <v>122</v>
      </c>
      <c r="D19" s="2856">
        <f ca="1">D16</f>
        <v>8732.99</v>
      </c>
      <c r="E19" s="2810">
        <f>'数据-取费表'!B32</f>
        <v>140</v>
      </c>
      <c r="F19" s="468"/>
      <c r="G19" s="2814" t="s">
        <v>488</v>
      </c>
      <c r="H19" s="2815"/>
      <c r="I19" s="2819"/>
      <c r="J19" s="2819"/>
      <c r="K19" s="2820"/>
    </row>
    <row r="20" spans="1:14" s="2118" customFormat="1" ht="13.5" customHeight="1">
      <c r="A20" s="2852" t="s">
        <v>1855</v>
      </c>
      <c r="B20" s="2853" t="s">
        <v>489</v>
      </c>
      <c r="C20" s="2810">
        <f ca="1">C21+C22-IF(B1="",'数据-取费表'!B29,IF(G20="已全部缴纳",C21+C22,H20))</f>
        <v>119</v>
      </c>
      <c r="D20" s="2856"/>
      <c r="E20" s="2810"/>
      <c r="F20" s="2857"/>
      <c r="G20" s="3089" t="s">
        <v>3161</v>
      </c>
      <c r="H20" s="2812">
        <v>0</v>
      </c>
      <c r="I20" s="2813" t="s">
        <v>2653</v>
      </c>
      <c r="J20" s="2819"/>
      <c r="K20" s="2820"/>
    </row>
    <row r="21" spans="1:14" s="2118" customFormat="1" ht="13.5" customHeight="1">
      <c r="A21" s="2844" t="s">
        <v>1856</v>
      </c>
      <c r="B21" s="2845" t="s">
        <v>490</v>
      </c>
      <c r="C21" s="53">
        <f ca="1">ROUND(D21*E21/10000,0)</f>
        <v>119</v>
      </c>
      <c r="D21" s="2846">
        <f ca="1">IF(B1="",'数据-汇总表'!E5,IF(INDIRECT("'数据-取费表'!c"&amp;$K$1)="住宅",INDIRECT("'数据-取费表'!k"&amp;$K$1),0))</f>
        <v>8732.99</v>
      </c>
      <c r="E21" s="53">
        <f>'数据-取费表'!B27</f>
        <v>136.5</v>
      </c>
      <c r="F21" s="2849"/>
      <c r="G21" s="26"/>
      <c r="H21" s="51"/>
      <c r="I21" s="51"/>
      <c r="J21" s="51"/>
      <c r="K21" s="2821"/>
    </row>
    <row r="22" spans="1:14" s="2118" customFormat="1" ht="13.5" customHeight="1">
      <c r="A22" s="2844" t="s">
        <v>1857</v>
      </c>
      <c r="B22" s="2845" t="s">
        <v>491</v>
      </c>
      <c r="C22" s="53">
        <f ca="1">ROUND(D22*E22/10000,0)</f>
        <v>0</v>
      </c>
      <c r="D22" s="2846">
        <f ca="1">IF(B1="",'数据-汇总表'!E6,IF(INDIRECT("'数据-取费表'!c"&amp;$K$1)="住宅",INDIRECT("'数据-取费表'!s"&amp;$K$1),INDIRECT("'数据-取费表'!k"&amp;$K$1)+INDIRECT("'数据-取费表'!s"&amp;$K$1)))</f>
        <v>0</v>
      </c>
      <c r="E22" s="53">
        <f>'数据-取费表'!B28</f>
        <v>136.5</v>
      </c>
      <c r="F22" s="2849"/>
      <c r="G22" s="26"/>
      <c r="H22" s="51"/>
      <c r="I22" s="51"/>
      <c r="J22" s="51"/>
      <c r="K22" s="2821"/>
    </row>
    <row r="23" spans="1:14" s="2118" customFormat="1" ht="13.5" customHeight="1">
      <c r="A23" s="2852" t="s">
        <v>1858</v>
      </c>
      <c r="B23" s="3037" t="s">
        <v>2836</v>
      </c>
      <c r="C23" s="2854">
        <f ca="1">ROUND((C18+C19+C20)*F23,0)</f>
        <v>93</v>
      </c>
      <c r="D23" s="468"/>
      <c r="E23" s="468"/>
      <c r="F23" s="2858">
        <f>'数据-取费表'!B37</f>
        <v>0.03</v>
      </c>
      <c r="G23" s="2814" t="s">
        <v>2433</v>
      </c>
      <c r="H23" s="2815"/>
      <c r="I23" s="2815"/>
      <c r="J23" s="2815"/>
      <c r="K23" s="2816"/>
      <c r="L23" s="2120"/>
      <c r="M23" s="2120"/>
      <c r="N23" s="2120"/>
    </row>
    <row r="24" spans="1:14" s="2118" customFormat="1" ht="13.5" customHeight="1">
      <c r="A24" s="2852" t="s">
        <v>1859</v>
      </c>
      <c r="B24" s="3037" t="s">
        <v>2839</v>
      </c>
      <c r="C24" s="2854">
        <f>ROUND(C6*F24,0)</f>
        <v>332</v>
      </c>
      <c r="D24" s="475"/>
      <c r="E24" s="473"/>
      <c r="F24" s="2858">
        <f>'数据-取费表'!B38</f>
        <v>0.03</v>
      </c>
      <c r="G24" s="2823" t="s">
        <v>498</v>
      </c>
      <c r="H24" s="2817"/>
      <c r="I24" s="2817"/>
      <c r="J24" s="2817"/>
      <c r="K24" s="279"/>
      <c r="L24" s="2120"/>
      <c r="M24" s="2120"/>
      <c r="N24" s="2120"/>
    </row>
    <row r="25" spans="1:14" s="2121" customFormat="1" ht="13.5" customHeight="1">
      <c r="A25" s="2852" t="s">
        <v>1860</v>
      </c>
      <c r="B25" s="3037" t="s">
        <v>2837</v>
      </c>
      <c r="C25" s="467">
        <f>ROUND(F25/(1+'数据-取费表'!C42),4)</f>
        <v>2.9000000000000001E-2</v>
      </c>
      <c r="D25" s="462" t="s">
        <v>2831</v>
      </c>
      <c r="E25" s="469"/>
      <c r="F25" s="2858">
        <f>'数据-取费表'!B48+'数据-取费表'!B49</f>
        <v>3.0499999999999999E-2</v>
      </c>
      <c r="G25" s="2822" t="s">
        <v>2291</v>
      </c>
      <c r="H25" s="2815"/>
      <c r="I25" s="2815"/>
      <c r="J25" s="2815"/>
      <c r="K25" s="2816"/>
    </row>
    <row r="26" spans="1:14" s="2120" customFormat="1" ht="13.5" customHeight="1">
      <c r="A26" s="2852" t="s">
        <v>1861</v>
      </c>
      <c r="B26" s="3038" t="s">
        <v>2838</v>
      </c>
      <c r="C26" s="2859">
        <f ca="1">C28</f>
        <v>77</v>
      </c>
      <c r="D26" s="467">
        <f ca="1">C27</f>
        <v>4.48E-2</v>
      </c>
      <c r="E26" s="469" t="s">
        <v>494</v>
      </c>
      <c r="F26" s="471">
        <f ca="1">'数据-取费表'!B40</f>
        <v>4.3499999999999997E-2</v>
      </c>
      <c r="G26" s="2574" t="str">
        <f>IF('数据-取费表'!B22&lt;=1,"单利计息。","复利计息。")&amp;"后续开发成本、管理费用及销售费用产生的利息。"</f>
        <v>单利计息。后续开发成本、管理费用及销售费用产生的利息。</v>
      </c>
      <c r="H26" s="2819"/>
      <c r="I26" s="2819"/>
      <c r="J26" s="2819"/>
      <c r="K26" s="2820"/>
    </row>
    <row r="27" spans="1:14" s="2122" customFormat="1" ht="13.5" customHeight="1">
      <c r="A27" s="803" t="s">
        <v>1856</v>
      </c>
      <c r="B27" s="2860" t="s">
        <v>495</v>
      </c>
      <c r="C27" s="2861">
        <f ca="1">ROUND(IF('数据-取费表'!B22&lt;=1,(1+C25)*F26*'数据-取费表'!B24,(1+C25)*(POWER((1+F26),'数据-取费表'!B24)-1)),4)</f>
        <v>4.48E-2</v>
      </c>
      <c r="D27" s="472"/>
      <c r="E27" s="473"/>
      <c r="F27" s="474"/>
      <c r="G27" s="2574" t="str">
        <f>IF('数据-取费表'!B22&lt;=1,"（1+取得税费率/(1+5%)）×年利率×建设期","（1+取得税费率）/(1+5%)×((1+年利率)^建设期-1)")</f>
        <v>（1+取得税费率/(1+5%)）×年利率×建设期</v>
      </c>
      <c r="H27" s="2817"/>
      <c r="I27" s="2817"/>
      <c r="J27" s="2817"/>
      <c r="K27" s="279"/>
    </row>
    <row r="28" spans="1:14" s="2122" customFormat="1" ht="13.5" customHeight="1">
      <c r="A28" s="803" t="s">
        <v>1857</v>
      </c>
      <c r="B28" s="2860" t="s">
        <v>2840</v>
      </c>
      <c r="C28" s="2862">
        <f ca="1">ROUND(IF('数据-取费表'!B22&lt;=1,(C18+C19+C20+C23+C24)*F26*'数据-取费表'!B24/2,(C18+C19+C20+C23+C24)*(POWER((1+F26),'数据-取费表'!B24/2)-1)),0)</f>
        <v>77</v>
      </c>
      <c r="D28" s="472"/>
      <c r="E28" s="473"/>
      <c r="F28" s="474"/>
      <c r="G28" s="2574" t="str">
        <f>IF('数据-取费表'!B22&lt;=1,"（1）-（4）项×年利率×建设期÷2","（1）-（4）项×((1+年利率)^(建设期÷2)-1)")</f>
        <v>（1）-（4）项×年利率×建设期÷2</v>
      </c>
      <c r="H28" s="2817"/>
      <c r="I28" s="2817"/>
      <c r="J28" s="2817"/>
      <c r="K28" s="279"/>
    </row>
    <row r="29" spans="1:14" s="2122" customFormat="1" ht="13.5" customHeight="1">
      <c r="A29" s="2863" t="s">
        <v>1862</v>
      </c>
      <c r="B29" s="2853" t="s">
        <v>496</v>
      </c>
      <c r="C29" s="2854">
        <f>ROUND(C6*F29/(1+'数据-取费表'!C42),0)</f>
        <v>580</v>
      </c>
      <c r="D29" s="468"/>
      <c r="E29" s="468"/>
      <c r="F29" s="3039">
        <f>'数据-取费表'!B41</f>
        <v>5.5000000000000007E-2</v>
      </c>
      <c r="G29" s="2823" t="s">
        <v>497</v>
      </c>
      <c r="H29" s="2815"/>
      <c r="I29" s="2815"/>
      <c r="J29" s="2815"/>
      <c r="K29" s="2816"/>
    </row>
    <row r="30" spans="1:14" s="2123" customFormat="1" ht="13.5" customHeight="1">
      <c r="A30" s="1636" t="s">
        <v>1863</v>
      </c>
      <c r="B30" s="2864" t="s">
        <v>499</v>
      </c>
      <c r="C30" s="2859">
        <f ca="1">C31</f>
        <v>4175</v>
      </c>
      <c r="D30" s="477">
        <f ca="1">C32</f>
        <v>7.3800000000000004E-2</v>
      </c>
      <c r="E30" s="469" t="s">
        <v>494</v>
      </c>
      <c r="F30" s="471"/>
      <c r="G30" s="2822" t="s">
        <v>2975</v>
      </c>
      <c r="H30" s="2815"/>
      <c r="I30" s="2815"/>
      <c r="J30" s="2815"/>
      <c r="K30" s="2816"/>
    </row>
    <row r="31" spans="1:14" s="2122" customFormat="1" ht="13.5" customHeight="1">
      <c r="A31" s="803" t="s">
        <v>1856</v>
      </c>
      <c r="B31" s="2860"/>
      <c r="C31" s="450">
        <f ca="1">C18+C19+C20+C23+C24+C26+C29</f>
        <v>4175</v>
      </c>
      <c r="D31" s="472"/>
      <c r="E31" s="473"/>
      <c r="F31" s="474"/>
      <c r="G31" s="261"/>
      <c r="H31" s="2817"/>
      <c r="I31" s="2817"/>
      <c r="J31" s="2817"/>
      <c r="K31" s="279"/>
    </row>
    <row r="32" spans="1:14" s="2122" customFormat="1" ht="13.5" customHeight="1">
      <c r="A32" s="803" t="s">
        <v>1857</v>
      </c>
      <c r="B32" s="2860"/>
      <c r="C32" s="53">
        <f ca="1">ROUND(C25+D26,4)</f>
        <v>7.3800000000000004E-2</v>
      </c>
      <c r="D32" s="472"/>
      <c r="E32" s="473"/>
      <c r="F32" s="474"/>
      <c r="G32" s="261"/>
      <c r="H32" s="2817"/>
      <c r="I32" s="2817"/>
      <c r="J32" s="2817"/>
      <c r="K32" s="279"/>
    </row>
    <row r="33" spans="1:11" s="2124" customFormat="1" ht="13.5" customHeight="1">
      <c r="A33" s="3036" t="s">
        <v>2835</v>
      </c>
      <c r="B33" s="3034" t="s">
        <v>2833</v>
      </c>
      <c r="C33" s="478">
        <f ca="1">C35</f>
        <v>704</v>
      </c>
      <c r="D33" s="467">
        <f ca="1">C34</f>
        <v>0.20580000000000001</v>
      </c>
      <c r="E33" s="469" t="s">
        <v>494</v>
      </c>
      <c r="F33" s="479">
        <f ca="1">IF(B1="",'数据-取费表'!Q16,INDIRECT("'数据-取费表'!q"&amp;$K$1))</f>
        <v>0.2</v>
      </c>
      <c r="G33" s="2818"/>
      <c r="H33" s="2819"/>
      <c r="I33" s="2819"/>
      <c r="J33" s="2819"/>
      <c r="K33" s="2820"/>
    </row>
    <row r="34" spans="1:11" s="2125" customFormat="1" ht="13.5" customHeight="1">
      <c r="A34" s="375" t="s">
        <v>1856</v>
      </c>
      <c r="B34" s="2865" t="s">
        <v>500</v>
      </c>
      <c r="C34" s="472">
        <f ca="1">ROUND((1+C25)*F33,4)</f>
        <v>0.20580000000000001</v>
      </c>
      <c r="D34" s="472"/>
      <c r="E34" s="473"/>
      <c r="F34" s="480"/>
      <c r="G34" s="261" t="s">
        <v>2292</v>
      </c>
      <c r="H34" s="2817"/>
      <c r="I34" s="2817"/>
      <c r="J34" s="2817"/>
      <c r="K34" s="279"/>
    </row>
    <row r="35" spans="1:11" s="2125" customFormat="1" ht="13.5" customHeight="1" thickBot="1">
      <c r="A35" s="1637" t="s">
        <v>1857</v>
      </c>
      <c r="B35" s="3035" t="s">
        <v>2841</v>
      </c>
      <c r="C35" s="1629">
        <f ca="1">ROUND((C18+C19+C20+C23+C24)*F33,0)</f>
        <v>704</v>
      </c>
      <c r="D35" s="1630"/>
      <c r="E35" s="2866"/>
      <c r="F35" s="1631"/>
      <c r="G35" s="2824"/>
      <c r="H35" s="2825"/>
      <c r="I35" s="2825"/>
      <c r="J35" s="2825"/>
      <c r="K35" s="2826"/>
    </row>
    <row r="36" spans="1:11" s="2087" customFormat="1" ht="13.5" customHeight="1" thickBot="1">
      <c r="A36" s="284" t="s">
        <v>1844</v>
      </c>
      <c r="B36" s="2828"/>
      <c r="C36" s="2867">
        <f ca="1">ROUND((C6-C30-C33)/(1+D30+D33),0)</f>
        <v>4844</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G50" sqref="G5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5" t="s">
        <v>718</v>
      </c>
      <c r="C1" s="2626" t="s">
        <v>719</v>
      </c>
      <c r="D1" s="2627" t="s">
        <v>922</v>
      </c>
      <c r="E1" s="2628"/>
      <c r="F1" s="2809" t="s">
        <v>3160</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4">
        <f>ROUND(B3*D3/10000,0)</f>
        <v>11077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12684</v>
      </c>
      <c r="C3" s="852" t="s">
        <v>721</v>
      </c>
      <c r="D3" s="851">
        <f>SUMIF('数据-汇总表'!$C19:$C33,D1,'数据-汇总表'!$E19:$E33)</f>
        <v>8732.99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390" t="s">
        <v>521</v>
      </c>
      <c r="D4" s="3391"/>
      <c r="E4" s="3424" t="s">
        <v>522</v>
      </c>
      <c r="F4" s="3425"/>
      <c r="G4" s="3390" t="s">
        <v>523</v>
      </c>
      <c r="H4" s="3391"/>
      <c r="I4" s="3390" t="s">
        <v>524</v>
      </c>
      <c r="J4" s="3391"/>
      <c r="K4" s="853" t="s">
        <v>525</v>
      </c>
      <c r="L4" s="2135"/>
      <c r="M4" s="2136"/>
      <c r="N4" s="2136"/>
      <c r="O4" s="2136"/>
      <c r="P4" s="3392" t="s">
        <v>526</v>
      </c>
      <c r="Q4" s="3393"/>
      <c r="R4" s="3398" t="s">
        <v>522</v>
      </c>
      <c r="S4" s="3399"/>
      <c r="T4" s="3398" t="s">
        <v>523</v>
      </c>
      <c r="U4" s="3399"/>
      <c r="V4" s="3385" t="s">
        <v>524</v>
      </c>
      <c r="W4" s="3385"/>
      <c r="X4" s="1568"/>
      <c r="Y4" s="3398" t="s">
        <v>526</v>
      </c>
      <c r="Z4" s="3399"/>
      <c r="AA4" s="3387" t="s">
        <v>522</v>
      </c>
      <c r="AB4" s="3387" t="s">
        <v>523</v>
      </c>
      <c r="AC4" s="3387" t="s">
        <v>524</v>
      </c>
    </row>
    <row r="5" spans="1:29" ht="15">
      <c r="A5" s="515"/>
      <c r="B5" s="516"/>
      <c r="C5" s="3406" t="s">
        <v>2930</v>
      </c>
      <c r="D5" s="3407"/>
      <c r="E5" s="3500" t="s">
        <v>3197</v>
      </c>
      <c r="F5" s="3427"/>
      <c r="G5" s="3498" t="s">
        <v>3201</v>
      </c>
      <c r="H5" s="3407"/>
      <c r="I5" s="3498" t="s">
        <v>3198</v>
      </c>
      <c r="J5" s="3407"/>
      <c r="K5" s="854"/>
      <c r="L5" s="2135"/>
      <c r="M5" s="2136"/>
      <c r="N5" s="2136"/>
      <c r="O5" s="2136"/>
      <c r="P5" s="3394"/>
      <c r="Q5" s="3395"/>
      <c r="R5" s="3400"/>
      <c r="S5" s="3401"/>
      <c r="T5" s="3400"/>
      <c r="U5" s="3401"/>
      <c r="V5" s="3385"/>
      <c r="W5" s="3385"/>
      <c r="X5" s="1568"/>
      <c r="Y5" s="3400"/>
      <c r="Z5" s="3401"/>
      <c r="AA5" s="3388"/>
      <c r="AB5" s="3388"/>
      <c r="AC5" s="3388"/>
    </row>
    <row r="6" spans="1:29" ht="15.75" thickBot="1">
      <c r="A6" s="517"/>
      <c r="B6" s="518"/>
      <c r="C6" s="3404" t="s">
        <v>2934</v>
      </c>
      <c r="D6" s="3405"/>
      <c r="E6" s="3499" t="s">
        <v>3200</v>
      </c>
      <c r="F6" s="3423"/>
      <c r="G6" s="3497" t="s">
        <v>3202</v>
      </c>
      <c r="H6" s="3405"/>
      <c r="I6" s="3497" t="s">
        <v>3199</v>
      </c>
      <c r="J6" s="3405"/>
      <c r="K6" s="854" t="s">
        <v>527</v>
      </c>
      <c r="L6" s="2135"/>
      <c r="M6" s="2136"/>
      <c r="N6" s="2136"/>
      <c r="O6" s="2136"/>
      <c r="P6" s="3396"/>
      <c r="Q6" s="3397"/>
      <c r="R6" s="3400"/>
      <c r="S6" s="3401"/>
      <c r="T6" s="3402"/>
      <c r="U6" s="3403"/>
      <c r="V6" s="3385"/>
      <c r="W6" s="3385"/>
      <c r="X6" s="1568"/>
      <c r="Y6" s="3402"/>
      <c r="Z6" s="3403"/>
      <c r="AA6" s="3389"/>
      <c r="AB6" s="3389"/>
      <c r="AC6" s="3389"/>
    </row>
    <row r="7" spans="1:29" s="1220" customFormat="1" ht="15.75" thickBot="1">
      <c r="A7" s="2914"/>
      <c r="B7" s="2921" t="s">
        <v>528</v>
      </c>
      <c r="C7" s="519">
        <f>'数据-取费表'!B2</f>
        <v>43276</v>
      </c>
      <c r="D7" s="520">
        <v>100</v>
      </c>
      <c r="E7" s="521">
        <v>43272</v>
      </c>
      <c r="F7" s="522">
        <f>SUMIF(58:58,YEAR(E7)&amp;"-"&amp;MONTH(E7),59:59)</f>
        <v>100</v>
      </c>
      <c r="G7" s="523">
        <v>43252</v>
      </c>
      <c r="H7" s="520">
        <f>SUMIF(58:58,YEAR(G7)&amp;"-"&amp;MONTH(G7),59:59)</f>
        <v>100</v>
      </c>
      <c r="I7" s="523">
        <v>43252</v>
      </c>
      <c r="J7" s="520">
        <f>SUMIF(58:58,YEAR(I7)&amp;"-"&amp;MONTH(I7),59:59)</f>
        <v>100</v>
      </c>
      <c r="K7" s="855"/>
      <c r="L7" s="2137"/>
      <c r="M7" s="2138"/>
      <c r="N7" s="2138"/>
      <c r="O7" s="2138"/>
      <c r="P7" s="3415" t="s">
        <v>529</v>
      </c>
      <c r="Q7" s="3417"/>
      <c r="R7" s="1569" t="s">
        <v>13</v>
      </c>
      <c r="S7" s="1570">
        <f t="shared" ref="S7:S15" si="0">F7</f>
        <v>100</v>
      </c>
      <c r="T7" s="1569" t="s">
        <v>13</v>
      </c>
      <c r="U7" s="1570">
        <f t="shared" ref="U7:U15" si="1">H7</f>
        <v>100</v>
      </c>
      <c r="V7" s="1569" t="s">
        <v>13</v>
      </c>
      <c r="W7" s="1570">
        <f t="shared" ref="W7:W15" si="2">J7</f>
        <v>100</v>
      </c>
      <c r="X7" s="1571"/>
      <c r="Y7" s="3415" t="s">
        <v>529</v>
      </c>
      <c r="Z7" s="3416"/>
      <c r="AA7" s="1572">
        <f>D7/F7</f>
        <v>1</v>
      </c>
      <c r="AB7" s="1572">
        <f>D7/H7</f>
        <v>1</v>
      </c>
      <c r="AC7" s="1572">
        <f>D7/J7</f>
        <v>1</v>
      </c>
    </row>
    <row r="8" spans="1:29" s="1220" customFormat="1" ht="15.75" thickBot="1">
      <c r="A8" s="2915"/>
      <c r="B8" s="2922" t="s">
        <v>530</v>
      </c>
      <c r="C8" s="525" t="s">
        <v>575</v>
      </c>
      <c r="D8" s="520">
        <v>100</v>
      </c>
      <c r="E8" s="856" t="s">
        <v>3145</v>
      </c>
      <c r="F8" s="522">
        <f>SUMIF(61:61,E8,62:62)-SUMIF(61:61,C8,62:62)+100</f>
        <v>100</v>
      </c>
      <c r="G8" s="525" t="s">
        <v>3145</v>
      </c>
      <c r="H8" s="520">
        <f>SUMIF(61:61,G8,62:62)-SUMIF(61:61,C8,62:62)+100</f>
        <v>100</v>
      </c>
      <c r="I8" s="856" t="s">
        <v>3145</v>
      </c>
      <c r="J8" s="520">
        <f>SUMIF(61:61,I8,62:62)-SUMIF(61:61,C8,62:62)+100</f>
        <v>100</v>
      </c>
      <c r="K8" s="855"/>
      <c r="L8" s="2137"/>
      <c r="M8" s="2138"/>
      <c r="N8" s="2138"/>
      <c r="O8" s="2138"/>
      <c r="P8" s="3415" t="s">
        <v>532</v>
      </c>
      <c r="Q8" s="3416"/>
      <c r="R8" s="1569" t="s">
        <v>13</v>
      </c>
      <c r="S8" s="1570">
        <f t="shared" si="0"/>
        <v>100</v>
      </c>
      <c r="T8" s="1569" t="s">
        <v>13</v>
      </c>
      <c r="U8" s="1570">
        <f t="shared" si="1"/>
        <v>100</v>
      </c>
      <c r="V8" s="1569" t="s">
        <v>13</v>
      </c>
      <c r="W8" s="1570">
        <f t="shared" si="2"/>
        <v>100</v>
      </c>
      <c r="X8" s="1571"/>
      <c r="Y8" s="3415" t="s">
        <v>532</v>
      </c>
      <c r="Z8" s="3416"/>
      <c r="AA8" s="1572">
        <f t="shared" ref="AA8:AA46" si="3">D8/F8</f>
        <v>1</v>
      </c>
      <c r="AB8" s="1572">
        <f t="shared" ref="AB8:AB46" si="4">D8/H8</f>
        <v>1</v>
      </c>
      <c r="AC8" s="1572">
        <f t="shared" ref="AC8:AC46" si="5">D8/J8</f>
        <v>1</v>
      </c>
    </row>
    <row r="9" spans="1:29" s="1220" customFormat="1" ht="15">
      <c r="A9" s="2916"/>
      <c r="B9" s="2923" t="s">
        <v>2758</v>
      </c>
      <c r="C9" s="3192" t="s">
        <v>3158</v>
      </c>
      <c r="D9" s="254">
        <v>100</v>
      </c>
      <c r="E9" s="3193" t="s">
        <v>3158</v>
      </c>
      <c r="F9" s="859">
        <f>SUMIF(63:63,E9,64:64)-SUMIF(63:63,C9,64:64)+100</f>
        <v>100</v>
      </c>
      <c r="G9" s="3194" t="s">
        <v>3158</v>
      </c>
      <c r="H9" s="254">
        <f>SUMIF(63:63,G9,64:64)-SUMIF(63:63,C9,64:64)+100</f>
        <v>100</v>
      </c>
      <c r="I9" s="3194" t="s">
        <v>3158</v>
      </c>
      <c r="J9" s="254">
        <f>SUMIF(63:63,I9,64:64)-SUMIF(63:63,C9,64:64)+100</f>
        <v>100</v>
      </c>
      <c r="K9" s="855"/>
      <c r="L9" s="2137"/>
      <c r="M9" s="2138"/>
      <c r="N9" s="2138"/>
      <c r="O9" s="2139"/>
      <c r="P9" s="3384" t="s">
        <v>534</v>
      </c>
      <c r="Q9" s="1151" t="str">
        <f t="shared" ref="Q9:Q15" si="6">B9</f>
        <v>用途</v>
      </c>
      <c r="R9" s="1569" t="s">
        <v>8</v>
      </c>
      <c r="S9" s="1570">
        <f t="shared" si="0"/>
        <v>100</v>
      </c>
      <c r="T9" s="1569" t="s">
        <v>8</v>
      </c>
      <c r="U9" s="1570">
        <f t="shared" si="1"/>
        <v>100</v>
      </c>
      <c r="V9" s="1569" t="s">
        <v>8</v>
      </c>
      <c r="W9" s="1570">
        <f t="shared" si="2"/>
        <v>100</v>
      </c>
      <c r="X9" s="1571"/>
      <c r="Y9" s="3330" t="s">
        <v>535</v>
      </c>
      <c r="Z9" s="1150" t="str">
        <f t="shared" ref="Z9:Z15" si="7">Q9</f>
        <v>用途</v>
      </c>
      <c r="AA9" s="1572">
        <f t="shared" si="3"/>
        <v>1</v>
      </c>
      <c r="AB9" s="1572">
        <f t="shared" si="4"/>
        <v>1</v>
      </c>
      <c r="AC9" s="1572">
        <f t="shared" si="5"/>
        <v>1</v>
      </c>
    </row>
    <row r="10" spans="1:29" s="1338" customFormat="1" ht="27">
      <c r="A10" s="2917"/>
      <c r="B10" s="2922" t="s">
        <v>2759</v>
      </c>
      <c r="C10" s="861" t="s">
        <v>3159</v>
      </c>
      <c r="D10" s="255">
        <v>100</v>
      </c>
      <c r="E10" s="862" t="s">
        <v>3159</v>
      </c>
      <c r="F10" s="863">
        <f>SUMIF(65:65,E10,66:66)-SUMIF(65:65,C10,66:66)+100</f>
        <v>100</v>
      </c>
      <c r="G10" s="861" t="s">
        <v>3159</v>
      </c>
      <c r="H10" s="255">
        <f>SUMIF(65:65,G10,66:66)-SUMIF(65:65,C10,66:66)+100</f>
        <v>100</v>
      </c>
      <c r="I10" s="861" t="s">
        <v>3159</v>
      </c>
      <c r="J10" s="255">
        <f>SUMIF(65:65,I10,66:66)-SUMIF(65:65,C10,66:66)+100</f>
        <v>100</v>
      </c>
      <c r="K10" s="864">
        <v>1</v>
      </c>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75" thickBot="1">
      <c r="A11" s="2918"/>
      <c r="B11" s="2922" t="s">
        <v>2760</v>
      </c>
      <c r="C11" s="533">
        <v>1.5</v>
      </c>
      <c r="D11" s="255">
        <v>100</v>
      </c>
      <c r="E11" s="534">
        <v>1.5</v>
      </c>
      <c r="F11" s="863">
        <f>LOOKUP(E11,68:68,69:69)-LOOKUP(C11,68:68,69:69)+100</f>
        <v>100</v>
      </c>
      <c r="G11" s="533">
        <v>0.8</v>
      </c>
      <c r="H11" s="255">
        <f>LOOKUP(G11,68:68,69:69)-LOOKUP(C11,68:68,69:69)+100</f>
        <v>103</v>
      </c>
      <c r="I11" s="533">
        <v>0.7</v>
      </c>
      <c r="J11" s="255">
        <f>LOOKUP(I11,68:68,69:69)-LOOKUP(C11,68:68,69:69)+100</f>
        <v>103</v>
      </c>
      <c r="K11" s="864">
        <v>3</v>
      </c>
      <c r="L11" s="2142"/>
      <c r="M11" s="2136"/>
      <c r="N11" s="2136"/>
      <c r="O11" s="2143"/>
      <c r="P11" s="3384"/>
      <c r="Q11" s="1151" t="str">
        <f t="shared" si="6"/>
        <v>容积率</v>
      </c>
      <c r="R11" s="1569" t="s">
        <v>11</v>
      </c>
      <c r="S11" s="1570">
        <f t="shared" si="0"/>
        <v>100</v>
      </c>
      <c r="T11" s="1569" t="s">
        <v>11</v>
      </c>
      <c r="U11" s="1570">
        <f t="shared" si="1"/>
        <v>103</v>
      </c>
      <c r="V11" s="1569" t="s">
        <v>11</v>
      </c>
      <c r="W11" s="1570">
        <f t="shared" si="2"/>
        <v>103</v>
      </c>
      <c r="X11" s="1571"/>
      <c r="Y11" s="3330"/>
      <c r="Z11" s="1150" t="str">
        <f t="shared" si="7"/>
        <v>容积率</v>
      </c>
      <c r="AA11" s="1572">
        <f t="shared" si="3"/>
        <v>1</v>
      </c>
      <c r="AB11" s="1572">
        <f t="shared" si="4"/>
        <v>0.970873786407767</v>
      </c>
      <c r="AC11" s="1572">
        <f t="shared" si="5"/>
        <v>0.970873786407767</v>
      </c>
    </row>
    <row r="12" spans="1:29" s="1220" customFormat="1" ht="15" hidden="1">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4"/>
      <c r="Q12" s="1151">
        <f t="shared" si="6"/>
        <v>111</v>
      </c>
      <c r="R12" s="1569" t="s">
        <v>11</v>
      </c>
      <c r="S12" s="1570">
        <f t="shared" si="0"/>
        <v>100</v>
      </c>
      <c r="T12" s="1569" t="s">
        <v>11</v>
      </c>
      <c r="U12" s="1570">
        <f t="shared" si="1"/>
        <v>100</v>
      </c>
      <c r="V12" s="1569" t="s">
        <v>11</v>
      </c>
      <c r="W12" s="1570">
        <f t="shared" si="2"/>
        <v>100</v>
      </c>
      <c r="X12" s="1571"/>
      <c r="Y12" s="3330"/>
      <c r="Z12" s="1150">
        <f t="shared" si="7"/>
        <v>111</v>
      </c>
      <c r="AA12" s="1572">
        <f>D12/F12</f>
        <v>1</v>
      </c>
      <c r="AB12" s="1572">
        <f>D12/H12</f>
        <v>1</v>
      </c>
      <c r="AC12" s="1572">
        <f>D12/J12</f>
        <v>1</v>
      </c>
    </row>
    <row r="13" spans="1:29" ht="15" hidden="1">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4"/>
      <c r="Q13" s="1151">
        <f t="shared" si="6"/>
        <v>111</v>
      </c>
      <c r="R13" s="1569" t="s">
        <v>11</v>
      </c>
      <c r="S13" s="1570">
        <f t="shared" si="0"/>
        <v>100</v>
      </c>
      <c r="T13" s="1569" t="s">
        <v>11</v>
      </c>
      <c r="U13" s="1570">
        <f t="shared" si="1"/>
        <v>100</v>
      </c>
      <c r="V13" s="1569" t="s">
        <v>11</v>
      </c>
      <c r="W13" s="1570">
        <f t="shared" si="2"/>
        <v>100</v>
      </c>
      <c r="X13" s="1571"/>
      <c r="Y13" s="3330"/>
      <c r="Z13" s="1150">
        <f t="shared" si="7"/>
        <v>111</v>
      </c>
      <c r="AA13" s="1572">
        <f t="shared" si="3"/>
        <v>1</v>
      </c>
      <c r="AB13" s="1572">
        <f t="shared" si="4"/>
        <v>1</v>
      </c>
      <c r="AC13" s="1572">
        <f t="shared" si="5"/>
        <v>1</v>
      </c>
    </row>
    <row r="14" spans="1:29" ht="15.75" hidden="1"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4"/>
      <c r="Q14" s="1151">
        <f t="shared" si="6"/>
        <v>111</v>
      </c>
      <c r="R14" s="1569" t="s">
        <v>11</v>
      </c>
      <c r="S14" s="1570">
        <f t="shared" si="0"/>
        <v>100</v>
      </c>
      <c r="T14" s="1569" t="s">
        <v>11</v>
      </c>
      <c r="U14" s="1570">
        <f t="shared" si="1"/>
        <v>100</v>
      </c>
      <c r="V14" s="1569" t="s">
        <v>11</v>
      </c>
      <c r="W14" s="1570">
        <f t="shared" si="2"/>
        <v>100</v>
      </c>
      <c r="X14" s="1571"/>
      <c r="Y14" s="3330"/>
      <c r="Z14" s="1150">
        <f t="shared" si="7"/>
        <v>111</v>
      </c>
      <c r="AA14" s="1572">
        <f t="shared" si="3"/>
        <v>1</v>
      </c>
      <c r="AB14" s="1572">
        <f t="shared" si="4"/>
        <v>1</v>
      </c>
      <c r="AC14" s="1572">
        <f t="shared" si="5"/>
        <v>1</v>
      </c>
    </row>
    <row r="15" spans="1:29" ht="42.75">
      <c r="A15" s="2912" t="s">
        <v>2756</v>
      </c>
      <c r="B15" s="166" t="s">
        <v>294</v>
      </c>
      <c r="C15" s="867" t="str">
        <f>估价对象房地状况!C3</f>
        <v>骊山新家园、骊山下的院子，一般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418" t="s">
        <v>539</v>
      </c>
      <c r="Q15" s="1573" t="str">
        <f t="shared" si="6"/>
        <v>居住社区成熟度</v>
      </c>
      <c r="R15" s="1574" t="s">
        <v>11</v>
      </c>
      <c r="S15" s="1575">
        <f t="shared" si="0"/>
        <v>100</v>
      </c>
      <c r="T15" s="1574" t="s">
        <v>11</v>
      </c>
      <c r="U15" s="1575">
        <f t="shared" si="1"/>
        <v>100</v>
      </c>
      <c r="V15" s="1574" t="s">
        <v>11</v>
      </c>
      <c r="W15" s="1575">
        <f t="shared" si="2"/>
        <v>100</v>
      </c>
      <c r="X15" s="1568"/>
      <c r="Y15" s="3418" t="s">
        <v>539</v>
      </c>
      <c r="Z15" s="1576" t="str">
        <f t="shared" si="7"/>
        <v>居住社区成熟度</v>
      </c>
      <c r="AA15" s="1577">
        <f t="shared" si="3"/>
        <v>1</v>
      </c>
      <c r="AB15" s="1577">
        <f t="shared" si="4"/>
        <v>1</v>
      </c>
      <c r="AC15" s="1577">
        <f t="shared" si="5"/>
        <v>1</v>
      </c>
    </row>
    <row r="16" spans="1:29" ht="15">
      <c r="A16" s="532"/>
      <c r="B16" s="869"/>
      <c r="C16" s="576" t="s">
        <v>3171</v>
      </c>
      <c r="D16" s="555"/>
      <c r="E16" s="576" t="s">
        <v>3171</v>
      </c>
      <c r="F16" s="557"/>
      <c r="G16" s="576" t="s">
        <v>3171</v>
      </c>
      <c r="H16" s="559"/>
      <c r="I16" s="576" t="s">
        <v>3171</v>
      </c>
      <c r="J16" s="555"/>
      <c r="K16" s="870"/>
      <c r="L16" s="2144"/>
      <c r="M16" s="2136"/>
      <c r="N16" s="2136"/>
      <c r="O16" s="2143"/>
      <c r="P16" s="3419"/>
      <c r="Q16" s="1573"/>
      <c r="R16" s="1574"/>
      <c r="S16" s="1575"/>
      <c r="T16" s="1574"/>
      <c r="U16" s="1575"/>
      <c r="V16" s="1574"/>
      <c r="W16" s="1575"/>
      <c r="X16" s="1568"/>
      <c r="Y16" s="3419"/>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19"/>
      <c r="Q17" s="1573" t="str">
        <f>B17</f>
        <v>交通便捷度</v>
      </c>
      <c r="R17" s="1574" t="s">
        <v>11</v>
      </c>
      <c r="S17" s="1575">
        <f>F17</f>
        <v>100</v>
      </c>
      <c r="T17" s="1574" t="s">
        <v>11</v>
      </c>
      <c r="U17" s="1575">
        <f>H17</f>
        <v>100</v>
      </c>
      <c r="V17" s="1574" t="s">
        <v>11</v>
      </c>
      <c r="W17" s="1575">
        <f>J17</f>
        <v>100</v>
      </c>
      <c r="X17" s="1568"/>
      <c r="Y17" s="3419"/>
      <c r="Z17" s="1576" t="str">
        <f>Q17</f>
        <v>交通便捷度</v>
      </c>
      <c r="AA17" s="1577">
        <f t="shared" si="3"/>
        <v>1</v>
      </c>
      <c r="AB17" s="1577">
        <f t="shared" si="4"/>
        <v>1</v>
      </c>
      <c r="AC17" s="1577">
        <f t="shared" si="5"/>
        <v>1</v>
      </c>
    </row>
    <row r="18" spans="1:29" ht="15">
      <c r="A18" s="532"/>
      <c r="B18" s="595"/>
      <c r="C18" s="873" t="s">
        <v>3203</v>
      </c>
      <c r="D18" s="559"/>
      <c r="E18" s="873" t="s">
        <v>3203</v>
      </c>
      <c r="F18" s="563"/>
      <c r="G18" s="873" t="s">
        <v>3203</v>
      </c>
      <c r="H18" s="555"/>
      <c r="I18" s="873" t="s">
        <v>3203</v>
      </c>
      <c r="J18" s="555"/>
      <c r="K18" s="870"/>
      <c r="L18" s="2144"/>
      <c r="M18" s="2136"/>
      <c r="N18" s="2136"/>
      <c r="O18" s="2143"/>
      <c r="P18" s="3419"/>
      <c r="Q18" s="1573"/>
      <c r="R18" s="1574"/>
      <c r="S18" s="1575"/>
      <c r="T18" s="1574"/>
      <c r="U18" s="1575"/>
      <c r="V18" s="1574"/>
      <c r="W18" s="1575"/>
      <c r="X18" s="1568"/>
      <c r="Y18" s="3419"/>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19"/>
      <c r="Q19" s="1573" t="str">
        <f>B19</f>
        <v>公共配套设施</v>
      </c>
      <c r="R19" s="1574" t="s">
        <v>11</v>
      </c>
      <c r="S19" s="1575">
        <f>F19</f>
        <v>100</v>
      </c>
      <c r="T19" s="1574" t="s">
        <v>11</v>
      </c>
      <c r="U19" s="1575">
        <f>H19</f>
        <v>100</v>
      </c>
      <c r="V19" s="1574" t="s">
        <v>11</v>
      </c>
      <c r="W19" s="1575">
        <f>J19</f>
        <v>100</v>
      </c>
      <c r="X19" s="1568"/>
      <c r="Y19" s="3419"/>
      <c r="Z19" s="1576" t="str">
        <f>Q19</f>
        <v>公共配套设施</v>
      </c>
      <c r="AA19" s="1577">
        <f t="shared" si="3"/>
        <v>1</v>
      </c>
      <c r="AB19" s="1577">
        <f t="shared" si="4"/>
        <v>1</v>
      </c>
      <c r="AC19" s="1577">
        <f t="shared" si="5"/>
        <v>1</v>
      </c>
    </row>
    <row r="20" spans="1:29" ht="15">
      <c r="A20" s="532"/>
      <c r="B20" s="595"/>
      <c r="C20" s="576" t="s">
        <v>3171</v>
      </c>
      <c r="D20" s="555"/>
      <c r="E20" s="576" t="s">
        <v>3171</v>
      </c>
      <c r="F20" s="557"/>
      <c r="G20" s="576" t="s">
        <v>3171</v>
      </c>
      <c r="H20" s="555"/>
      <c r="I20" s="576" t="s">
        <v>3171</v>
      </c>
      <c r="J20" s="555"/>
      <c r="K20" s="870"/>
      <c r="L20" s="2144"/>
      <c r="M20" s="2136"/>
      <c r="N20" s="2136"/>
      <c r="O20" s="2143"/>
      <c r="P20" s="3419"/>
      <c r="Q20" s="1573"/>
      <c r="R20" s="1574"/>
      <c r="S20" s="1575"/>
      <c r="T20" s="1574"/>
      <c r="U20" s="1575"/>
      <c r="V20" s="1574"/>
      <c r="W20" s="1575"/>
      <c r="X20" s="1568"/>
      <c r="Y20" s="3419"/>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419"/>
      <c r="Q21" s="2581" t="str">
        <f>B21</f>
        <v>基础设施水平</v>
      </c>
      <c r="R21" s="1574" t="s">
        <v>11</v>
      </c>
      <c r="S21" s="1575">
        <f>F21</f>
        <v>100</v>
      </c>
      <c r="T21" s="1574" t="s">
        <v>11</v>
      </c>
      <c r="U21" s="1575">
        <f>H21</f>
        <v>100</v>
      </c>
      <c r="V21" s="1574" t="s">
        <v>11</v>
      </c>
      <c r="W21" s="1575">
        <f>J21</f>
        <v>100</v>
      </c>
      <c r="X21" s="2583"/>
      <c r="Y21" s="3419"/>
      <c r="Z21" s="2582" t="str">
        <f>Q21</f>
        <v>基础设施水平</v>
      </c>
      <c r="AA21" s="1577">
        <f t="shared" ref="AA21" si="8">D21/F21</f>
        <v>1</v>
      </c>
      <c r="AB21" s="1577">
        <f t="shared" ref="AB21" si="9">D21/H21</f>
        <v>1</v>
      </c>
      <c r="AC21" s="1577">
        <f t="shared" ref="AC21" si="10">D21/J21</f>
        <v>1</v>
      </c>
    </row>
    <row r="22" spans="1:29" ht="15">
      <c r="A22" s="532"/>
      <c r="B22" s="922"/>
      <c r="C22" s="873" t="s">
        <v>3179</v>
      </c>
      <c r="D22" s="555"/>
      <c r="E22" s="873" t="s">
        <v>3179</v>
      </c>
      <c r="F22" s="557"/>
      <c r="G22" s="873" t="s">
        <v>3179</v>
      </c>
      <c r="H22" s="555"/>
      <c r="I22" s="873" t="s">
        <v>3179</v>
      </c>
      <c r="J22" s="555"/>
      <c r="K22" s="2601"/>
      <c r="L22" s="2144"/>
      <c r="M22" s="2136"/>
      <c r="N22" s="2136"/>
      <c r="O22" s="2143"/>
      <c r="P22" s="3419"/>
      <c r="Q22" s="2581"/>
      <c r="R22" s="1574"/>
      <c r="S22" s="1575"/>
      <c r="T22" s="1574"/>
      <c r="U22" s="1575"/>
      <c r="V22" s="1574"/>
      <c r="W22" s="1575"/>
      <c r="X22" s="2583"/>
      <c r="Y22" s="3419"/>
      <c r="Z22" s="2582"/>
      <c r="AA22" s="1577">
        <v>1</v>
      </c>
      <c r="AB22" s="1577">
        <v>1</v>
      </c>
      <c r="AC22" s="1577">
        <v>1</v>
      </c>
    </row>
    <row r="23" spans="1:29" ht="85.5">
      <c r="A23" s="532"/>
      <c r="B23" s="871" t="s">
        <v>296</v>
      </c>
      <c r="C23" s="872"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419"/>
      <c r="Q23" s="1573" t="str">
        <f>B23</f>
        <v>自然及人文环境</v>
      </c>
      <c r="R23" s="1574" t="s">
        <v>11</v>
      </c>
      <c r="S23" s="1575">
        <f>F23</f>
        <v>100</v>
      </c>
      <c r="T23" s="1574" t="s">
        <v>11</v>
      </c>
      <c r="U23" s="1575">
        <f>H23</f>
        <v>100</v>
      </c>
      <c r="V23" s="1574" t="s">
        <v>11</v>
      </c>
      <c r="W23" s="1575">
        <f>J23</f>
        <v>100</v>
      </c>
      <c r="X23" s="1568"/>
      <c r="Y23" s="3419"/>
      <c r="Z23" s="1576" t="str">
        <f>Q23</f>
        <v>自然及人文环境</v>
      </c>
      <c r="AA23" s="1577">
        <f t="shared" si="3"/>
        <v>1</v>
      </c>
      <c r="AB23" s="1577">
        <f t="shared" si="4"/>
        <v>1</v>
      </c>
      <c r="AC23" s="1577">
        <f t="shared" si="5"/>
        <v>1</v>
      </c>
    </row>
    <row r="24" spans="1:29" ht="15.75" thickBot="1">
      <c r="A24" s="532"/>
      <c r="B24" s="595"/>
      <c r="C24" s="576" t="s">
        <v>3204</v>
      </c>
      <c r="D24" s="555"/>
      <c r="E24" s="576" t="s">
        <v>3204</v>
      </c>
      <c r="F24" s="557"/>
      <c r="G24" s="576" t="s">
        <v>3204</v>
      </c>
      <c r="H24" s="555"/>
      <c r="I24" s="556" t="s">
        <v>3204</v>
      </c>
      <c r="J24" s="555"/>
      <c r="K24" s="870"/>
      <c r="L24" s="2144"/>
      <c r="M24" s="2136"/>
      <c r="N24" s="2136"/>
      <c r="O24" s="2143"/>
      <c r="P24" s="3419"/>
      <c r="Q24" s="1573"/>
      <c r="R24" s="1574"/>
      <c r="S24" s="1575"/>
      <c r="T24" s="1574"/>
      <c r="U24" s="1575"/>
      <c r="V24" s="1574"/>
      <c r="W24" s="1575"/>
      <c r="X24" s="1568"/>
      <c r="Y24" s="3419"/>
      <c r="Z24" s="1576"/>
      <c r="AA24" s="1577">
        <v>1</v>
      </c>
      <c r="AB24" s="1577">
        <v>1</v>
      </c>
      <c r="AC24" s="1577">
        <v>1</v>
      </c>
    </row>
    <row r="25" spans="1:29" ht="15" hidden="1">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19"/>
      <c r="Q25" s="1573" t="str">
        <f t="shared" ref="Q25:Q46" si="11">B25</f>
        <v>楼层-1</v>
      </c>
      <c r="R25" s="1574" t="s">
        <v>11</v>
      </c>
      <c r="S25" s="1575">
        <f>F25</f>
        <v>100</v>
      </c>
      <c r="T25" s="1574" t="s">
        <v>11</v>
      </c>
      <c r="U25" s="1575">
        <f>H25</f>
        <v>100</v>
      </c>
      <c r="V25" s="1574" t="s">
        <v>11</v>
      </c>
      <c r="W25" s="1575">
        <f>J25</f>
        <v>100</v>
      </c>
      <c r="X25" s="1568"/>
      <c r="Y25" s="3419"/>
      <c r="Z25" s="1576" t="str">
        <f>Q25</f>
        <v>楼层-1</v>
      </c>
      <c r="AA25" s="1577">
        <f t="shared" si="3"/>
        <v>1</v>
      </c>
      <c r="AB25" s="1577">
        <f t="shared" si="4"/>
        <v>1</v>
      </c>
      <c r="AC25" s="157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19"/>
      <c r="Q26" s="1573" t="str">
        <f t="shared" si="11"/>
        <v>朝向</v>
      </c>
      <c r="R26" s="1574" t="s">
        <v>11</v>
      </c>
      <c r="S26" s="1575">
        <f>F26</f>
        <v>100</v>
      </c>
      <c r="T26" s="1574" t="s">
        <v>11</v>
      </c>
      <c r="U26" s="1575">
        <f>H26</f>
        <v>100</v>
      </c>
      <c r="V26" s="1574" t="s">
        <v>11</v>
      </c>
      <c r="W26" s="1575">
        <f>J26</f>
        <v>100</v>
      </c>
      <c r="X26" s="1568"/>
      <c r="Y26" s="3419"/>
      <c r="Z26" s="1576" t="str">
        <f>Q26</f>
        <v>朝向</v>
      </c>
      <c r="AA26" s="1577">
        <f t="shared" si="3"/>
        <v>1</v>
      </c>
      <c r="AB26" s="1577">
        <f t="shared" si="4"/>
        <v>1</v>
      </c>
      <c r="AC26" s="1577">
        <f t="shared" si="5"/>
        <v>1</v>
      </c>
    </row>
    <row r="27" spans="1:29" s="1220"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19"/>
      <c r="Q27" s="1151" t="str">
        <f t="shared" si="11"/>
        <v>道路级别</v>
      </c>
      <c r="R27" s="1569" t="s">
        <v>11</v>
      </c>
      <c r="S27" s="1570">
        <f>F27</f>
        <v>100</v>
      </c>
      <c r="T27" s="1569" t="s">
        <v>11</v>
      </c>
      <c r="U27" s="1570">
        <f>H27</f>
        <v>100</v>
      </c>
      <c r="V27" s="1569" t="s">
        <v>11</v>
      </c>
      <c r="W27" s="1570">
        <f>J27</f>
        <v>100</v>
      </c>
      <c r="X27" s="1571"/>
      <c r="Y27" s="3419"/>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19"/>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9"/>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19"/>
      <c r="Q29" s="1573">
        <f t="shared" si="11"/>
        <v>111</v>
      </c>
      <c r="R29" s="1574" t="s">
        <v>11</v>
      </c>
      <c r="S29" s="1575">
        <f t="shared" si="12"/>
        <v>100</v>
      </c>
      <c r="T29" s="1574" t="s">
        <v>11</v>
      </c>
      <c r="U29" s="1575">
        <f t="shared" si="13"/>
        <v>100</v>
      </c>
      <c r="V29" s="1574" t="s">
        <v>11</v>
      </c>
      <c r="W29" s="1575">
        <f t="shared" si="14"/>
        <v>100</v>
      </c>
      <c r="X29" s="1568"/>
      <c r="Y29" s="3419"/>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19"/>
      <c r="Q30" s="1573">
        <f t="shared" si="11"/>
        <v>111</v>
      </c>
      <c r="R30" s="1574" t="s">
        <v>11</v>
      </c>
      <c r="S30" s="1575">
        <f t="shared" si="12"/>
        <v>100</v>
      </c>
      <c r="T30" s="1574" t="s">
        <v>11</v>
      </c>
      <c r="U30" s="1575">
        <f t="shared" si="13"/>
        <v>100</v>
      </c>
      <c r="V30" s="1574" t="s">
        <v>11</v>
      </c>
      <c r="W30" s="1575">
        <f t="shared" si="14"/>
        <v>100</v>
      </c>
      <c r="X30" s="1568"/>
      <c r="Y30" s="3419"/>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19"/>
      <c r="Q31" s="1573">
        <f t="shared" si="11"/>
        <v>111</v>
      </c>
      <c r="R31" s="1574" t="s">
        <v>11</v>
      </c>
      <c r="S31" s="1575">
        <f t="shared" si="12"/>
        <v>100</v>
      </c>
      <c r="T31" s="1574" t="s">
        <v>11</v>
      </c>
      <c r="U31" s="1575">
        <f t="shared" si="13"/>
        <v>100</v>
      </c>
      <c r="V31" s="1574" t="s">
        <v>11</v>
      </c>
      <c r="W31" s="1575">
        <f t="shared" si="14"/>
        <v>100</v>
      </c>
      <c r="X31" s="1568"/>
      <c r="Y31" s="3419"/>
      <c r="Z31" s="1576">
        <f t="shared" si="15"/>
        <v>111</v>
      </c>
      <c r="AA31" s="1577">
        <f t="shared" si="3"/>
        <v>1</v>
      </c>
      <c r="AB31" s="1577">
        <f t="shared" si="4"/>
        <v>1</v>
      </c>
      <c r="AC31" s="1577">
        <f t="shared" si="5"/>
        <v>1</v>
      </c>
    </row>
    <row r="32" spans="1:29" ht="15">
      <c r="A32" s="2909" t="s">
        <v>2757</v>
      </c>
      <c r="B32" s="172" t="s">
        <v>724</v>
      </c>
      <c r="C32" s="878" t="s">
        <v>2998</v>
      </c>
      <c r="D32" s="597">
        <v>100</v>
      </c>
      <c r="E32" s="879" t="s">
        <v>3206</v>
      </c>
      <c r="F32" s="575">
        <f>SUMIF(100:100,E32,101:101)-SUMIF(100:100,C32,101:101)+100</f>
        <v>110</v>
      </c>
      <c r="G32" s="878" t="s">
        <v>2998</v>
      </c>
      <c r="H32" s="597">
        <f>SUMIF(100:100,G32,101:101)-SUMIF(100:100,C32,101:101)+100</f>
        <v>100</v>
      </c>
      <c r="I32" s="879" t="s">
        <v>3206</v>
      </c>
      <c r="J32" s="540">
        <f>SUMIF(100:100,I32,101:101)-SUMIF(100:100,C32,101:101)+100</f>
        <v>110</v>
      </c>
      <c r="K32" s="864">
        <v>10</v>
      </c>
      <c r="L32" s="2144"/>
      <c r="M32" s="2136"/>
      <c r="N32" s="2136"/>
      <c r="O32" s="2143"/>
      <c r="P32" s="3420" t="s">
        <v>549</v>
      </c>
      <c r="Q32" s="1573" t="str">
        <f t="shared" si="11"/>
        <v>建筑类型</v>
      </c>
      <c r="R32" s="1574" t="s">
        <v>11</v>
      </c>
      <c r="S32" s="1575">
        <f t="shared" si="12"/>
        <v>110</v>
      </c>
      <c r="T32" s="1574" t="s">
        <v>11</v>
      </c>
      <c r="U32" s="1575">
        <f t="shared" si="13"/>
        <v>100</v>
      </c>
      <c r="V32" s="1574" t="s">
        <v>11</v>
      </c>
      <c r="W32" s="1575">
        <f t="shared" si="14"/>
        <v>110</v>
      </c>
      <c r="X32" s="1568"/>
      <c r="Y32" s="3421" t="s">
        <v>549</v>
      </c>
      <c r="Z32" s="1576" t="str">
        <f t="shared" si="15"/>
        <v>建筑类型</v>
      </c>
      <c r="AA32" s="1577">
        <f t="shared" si="3"/>
        <v>0.90909090909090906</v>
      </c>
      <c r="AB32" s="1577">
        <f t="shared" si="4"/>
        <v>1</v>
      </c>
      <c r="AC32" s="1577">
        <f t="shared" si="5"/>
        <v>0.90909090909090906</v>
      </c>
    </row>
    <row r="33" spans="1:29" s="1339" customFormat="1" ht="15">
      <c r="A33" s="603"/>
      <c r="B33" s="527" t="s">
        <v>725</v>
      </c>
      <c r="C33" s="880">
        <f>'数据-基础表'!B3</f>
        <v>8732.99</v>
      </c>
      <c r="D33" s="255">
        <v>100</v>
      </c>
      <c r="E33" s="534">
        <v>186476</v>
      </c>
      <c r="F33" s="863">
        <f>LOOKUP(E33,103:103,104:104)-LOOKUP(C33,103:103,104:104)+100</f>
        <v>103</v>
      </c>
      <c r="G33" s="533">
        <v>215900</v>
      </c>
      <c r="H33" s="255">
        <f>LOOKUP(G33,103:103,104:104)-LOOKUP(C33,103:103,104:104)+100</f>
        <v>104</v>
      </c>
      <c r="I33" s="534">
        <v>39680</v>
      </c>
      <c r="J33" s="255">
        <f>LOOKUP(I33,103:103,104:104)-LOOKUP(C33,103:103,104:104)+100</f>
        <v>100</v>
      </c>
      <c r="K33" s="865"/>
      <c r="L33" s="2142"/>
      <c r="M33" s="2173"/>
      <c r="N33" s="2173"/>
      <c r="O33" s="2145"/>
      <c r="P33" s="3421"/>
      <c r="Q33" s="1606" t="str">
        <f t="shared" si="11"/>
        <v>项目建筑规模</v>
      </c>
      <c r="R33" s="1578" t="s">
        <v>11</v>
      </c>
      <c r="S33" s="1579">
        <f t="shared" si="12"/>
        <v>103</v>
      </c>
      <c r="T33" s="1578" t="s">
        <v>11</v>
      </c>
      <c r="U33" s="1579">
        <f t="shared" si="13"/>
        <v>104</v>
      </c>
      <c r="V33" s="1578" t="s">
        <v>11</v>
      </c>
      <c r="W33" s="1579">
        <f t="shared" si="14"/>
        <v>100</v>
      </c>
      <c r="X33" s="1580"/>
      <c r="Y33" s="3421"/>
      <c r="Z33" s="1581" t="str">
        <f t="shared" si="15"/>
        <v>项目建筑规模</v>
      </c>
      <c r="AA33" s="1577">
        <f t="shared" si="3"/>
        <v>0.970873786407767</v>
      </c>
      <c r="AB33" s="1577">
        <f t="shared" si="4"/>
        <v>0.96153846153846156</v>
      </c>
      <c r="AC33" s="1577">
        <f t="shared" si="5"/>
        <v>1</v>
      </c>
    </row>
    <row r="34" spans="1:29" ht="15">
      <c r="A34" s="594"/>
      <c r="B34" s="527" t="s">
        <v>726</v>
      </c>
      <c r="C34" s="881" t="s">
        <v>3148</v>
      </c>
      <c r="D34" s="540">
        <v>100</v>
      </c>
      <c r="E34" s="881" t="s">
        <v>3148</v>
      </c>
      <c r="F34" s="575">
        <f>SUMIF(105:105,E34,106:106)-SUMIF(105:105,C34,106:106)+100</f>
        <v>100</v>
      </c>
      <c r="G34" s="881" t="s">
        <v>3148</v>
      </c>
      <c r="H34" s="540">
        <f>SUMIF(105:105,G34,106:106)-SUMIF(105:105,C34,106:106)+100</f>
        <v>100</v>
      </c>
      <c r="I34" s="881" t="s">
        <v>3148</v>
      </c>
      <c r="J34" s="540">
        <f>SUMIF(105:105,I34,106:106)-SUMIF(105:105,C34,106:106)+100</f>
        <v>100</v>
      </c>
      <c r="K34" s="864">
        <v>2</v>
      </c>
      <c r="L34" s="2144"/>
      <c r="M34" s="2136"/>
      <c r="N34" s="2136"/>
      <c r="O34" s="2143"/>
      <c r="P34" s="3421"/>
      <c r="Q34" s="1573" t="str">
        <f t="shared" si="11"/>
        <v>建筑结构</v>
      </c>
      <c r="R34" s="1574" t="s">
        <v>11</v>
      </c>
      <c r="S34" s="1575">
        <f t="shared" si="12"/>
        <v>100</v>
      </c>
      <c r="T34" s="1574" t="s">
        <v>11</v>
      </c>
      <c r="U34" s="1575">
        <f t="shared" si="13"/>
        <v>100</v>
      </c>
      <c r="V34" s="1574" t="s">
        <v>11</v>
      </c>
      <c r="W34" s="1575">
        <f t="shared" si="14"/>
        <v>100</v>
      </c>
      <c r="X34" s="1568"/>
      <c r="Y34" s="3421"/>
      <c r="Z34" s="1576" t="str">
        <f t="shared" si="15"/>
        <v>建筑结构</v>
      </c>
      <c r="AA34" s="1577">
        <f t="shared" si="3"/>
        <v>1</v>
      </c>
      <c r="AB34" s="1577">
        <f t="shared" si="4"/>
        <v>1</v>
      </c>
      <c r="AC34" s="1577">
        <f t="shared" si="5"/>
        <v>1</v>
      </c>
    </row>
    <row r="35" spans="1:29" ht="15">
      <c r="A35" s="594"/>
      <c r="B35" s="527" t="s">
        <v>727</v>
      </c>
      <c r="C35" s="599" t="s">
        <v>3211</v>
      </c>
      <c r="D35" s="540">
        <v>100</v>
      </c>
      <c r="E35" s="599" t="s">
        <v>3213</v>
      </c>
      <c r="F35" s="575">
        <f>SUMIF(107:107,E35,108:108)-SUMIF(107:107,C35,108:108)+100</f>
        <v>98</v>
      </c>
      <c r="G35" s="599" t="s">
        <v>3211</v>
      </c>
      <c r="H35" s="540">
        <f>SUMIF(107:107,G35,108:108)-SUMIF(107:107,C35,108:108)+100</f>
        <v>100</v>
      </c>
      <c r="I35" s="599" t="s">
        <v>3211</v>
      </c>
      <c r="J35" s="540">
        <f>SUMIF(107:107,I35,108:108)-SUMIF(107:107,C35,108:108)+100</f>
        <v>100</v>
      </c>
      <c r="K35" s="864">
        <v>2</v>
      </c>
      <c r="L35" s="2144"/>
      <c r="M35" s="2136"/>
      <c r="N35" s="2136"/>
      <c r="O35" s="2143"/>
      <c r="P35" s="3421"/>
      <c r="Q35" s="1573" t="str">
        <f t="shared" si="11"/>
        <v>建筑品质</v>
      </c>
      <c r="R35" s="1574" t="s">
        <v>11</v>
      </c>
      <c r="S35" s="1575">
        <f t="shared" si="12"/>
        <v>98</v>
      </c>
      <c r="T35" s="1574" t="s">
        <v>11</v>
      </c>
      <c r="U35" s="1575">
        <f t="shared" si="13"/>
        <v>100</v>
      </c>
      <c r="V35" s="1574" t="s">
        <v>11</v>
      </c>
      <c r="W35" s="1575">
        <f t="shared" si="14"/>
        <v>100</v>
      </c>
      <c r="X35" s="1568"/>
      <c r="Y35" s="3421"/>
      <c r="Z35" s="1576" t="str">
        <f t="shared" si="15"/>
        <v>建筑品质</v>
      </c>
      <c r="AA35" s="1577">
        <f t="shared" si="3"/>
        <v>1.0204081632653061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21"/>
      <c r="Q36" s="1573" t="str">
        <f t="shared" si="11"/>
        <v>公共部分装修</v>
      </c>
      <c r="R36" s="1574" t="s">
        <v>11</v>
      </c>
      <c r="S36" s="1575">
        <f t="shared" si="12"/>
        <v>100</v>
      </c>
      <c r="T36" s="1574" t="s">
        <v>11</v>
      </c>
      <c r="U36" s="1575">
        <f t="shared" si="13"/>
        <v>100</v>
      </c>
      <c r="V36" s="1574" t="s">
        <v>11</v>
      </c>
      <c r="W36" s="1575">
        <f t="shared" si="14"/>
        <v>100</v>
      </c>
      <c r="X36" s="1568"/>
      <c r="Y36" s="3421"/>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421"/>
      <c r="Q37" s="1151" t="str">
        <f t="shared" si="11"/>
        <v>成新度</v>
      </c>
      <c r="R37" s="1569" t="s">
        <v>11</v>
      </c>
      <c r="S37" s="1570">
        <f t="shared" si="12"/>
        <v>100</v>
      </c>
      <c r="T37" s="1569" t="s">
        <v>11</v>
      </c>
      <c r="U37" s="1570">
        <f t="shared" si="13"/>
        <v>100</v>
      </c>
      <c r="V37" s="1569" t="s">
        <v>11</v>
      </c>
      <c r="W37" s="1570">
        <f t="shared" si="14"/>
        <v>100</v>
      </c>
      <c r="X37" s="1571"/>
      <c r="Y37" s="3421"/>
      <c r="Z37" s="1150" t="str">
        <f t="shared" si="15"/>
        <v>成新度</v>
      </c>
      <c r="AA37" s="1572">
        <f t="shared" si="3"/>
        <v>1</v>
      </c>
      <c r="AB37" s="1572">
        <f t="shared" si="4"/>
        <v>1</v>
      </c>
      <c r="AC37" s="1572">
        <f t="shared" si="5"/>
        <v>1</v>
      </c>
    </row>
    <row r="38" spans="1:29" ht="15">
      <c r="A38" s="594"/>
      <c r="B38" s="527" t="s">
        <v>730</v>
      </c>
      <c r="C38" s="599" t="s">
        <v>3215</v>
      </c>
      <c r="D38" s="540">
        <v>100</v>
      </c>
      <c r="E38" s="599" t="s">
        <v>3215</v>
      </c>
      <c r="F38" s="575">
        <f>SUMIF(114:114,E38,115:115)-SUMIF(114:114,C38,115:115)+100</f>
        <v>100</v>
      </c>
      <c r="G38" s="599" t="s">
        <v>3215</v>
      </c>
      <c r="H38" s="540">
        <f>SUMIF(114:114,G38,115:115)-SUMIF(114:114,C38,115:115)+100</f>
        <v>100</v>
      </c>
      <c r="I38" s="599" t="s">
        <v>3215</v>
      </c>
      <c r="J38" s="540">
        <f>SUMIF(114:114,I38,115:115)-SUMIF(114:114,C38,115:115)+100</f>
        <v>100</v>
      </c>
      <c r="K38" s="864">
        <v>1</v>
      </c>
      <c r="L38" s="2144"/>
      <c r="M38" s="2136"/>
      <c r="N38" s="2136"/>
      <c r="O38" s="2143"/>
      <c r="P38" s="3421" t="s">
        <v>549</v>
      </c>
      <c r="Q38" s="1573" t="str">
        <f t="shared" si="11"/>
        <v>物业管理</v>
      </c>
      <c r="R38" s="1574" t="s">
        <v>11</v>
      </c>
      <c r="S38" s="1575">
        <f t="shared" si="12"/>
        <v>100</v>
      </c>
      <c r="T38" s="1574" t="s">
        <v>11</v>
      </c>
      <c r="U38" s="1575">
        <f t="shared" si="13"/>
        <v>100</v>
      </c>
      <c r="V38" s="1574" t="s">
        <v>11</v>
      </c>
      <c r="W38" s="1575">
        <f t="shared" si="14"/>
        <v>100</v>
      </c>
      <c r="X38" s="1568"/>
      <c r="Y38" s="3421" t="s">
        <v>549</v>
      </c>
      <c r="Z38" s="1576" t="str">
        <f t="shared" si="15"/>
        <v>物业管理</v>
      </c>
      <c r="AA38" s="1577">
        <f t="shared" si="3"/>
        <v>1</v>
      </c>
      <c r="AB38" s="1577">
        <f t="shared" si="4"/>
        <v>1</v>
      </c>
      <c r="AC38" s="1577">
        <f t="shared" si="5"/>
        <v>1</v>
      </c>
    </row>
    <row r="39" spans="1:29" ht="15">
      <c r="A39" s="594"/>
      <c r="B39" s="1897" t="s">
        <v>2566</v>
      </c>
      <c r="C39" s="599" t="s">
        <v>3179</v>
      </c>
      <c r="D39" s="540">
        <v>100</v>
      </c>
      <c r="E39" s="599" t="s">
        <v>3179</v>
      </c>
      <c r="F39" s="575">
        <f>SUMIF(116:116,E39,117:117)-SUMIF(116:116,C39,117:117)+100</f>
        <v>100</v>
      </c>
      <c r="G39" s="599" t="s">
        <v>3179</v>
      </c>
      <c r="H39" s="540">
        <f>SUMIF(116:116,G39,117:117)-SUMIF(116:116,C39,117:117)+100</f>
        <v>100</v>
      </c>
      <c r="I39" s="599" t="s">
        <v>3179</v>
      </c>
      <c r="J39" s="540">
        <f>SUMIF(116:116,I39,117:117)-SUMIF(116:116,C39,117:117)+100</f>
        <v>100</v>
      </c>
      <c r="K39" s="864">
        <v>1</v>
      </c>
      <c r="L39" s="2144"/>
      <c r="M39" s="2136"/>
      <c r="N39" s="2136"/>
      <c r="O39" s="2143"/>
      <c r="P39" s="3421"/>
      <c r="Q39" s="1573" t="str">
        <f t="shared" si="11"/>
        <v>市政基础设施</v>
      </c>
      <c r="R39" s="1574" t="s">
        <v>11</v>
      </c>
      <c r="S39" s="1575">
        <f t="shared" si="12"/>
        <v>100</v>
      </c>
      <c r="T39" s="1574" t="s">
        <v>11</v>
      </c>
      <c r="U39" s="1575">
        <f t="shared" si="13"/>
        <v>100</v>
      </c>
      <c r="V39" s="1574" t="s">
        <v>11</v>
      </c>
      <c r="W39" s="1575">
        <f t="shared" si="14"/>
        <v>100</v>
      </c>
      <c r="X39" s="1568"/>
      <c r="Y39" s="3421"/>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421"/>
      <c r="Q40" s="1573" t="str">
        <f t="shared" si="11"/>
        <v>房型</v>
      </c>
      <c r="R40" s="1574" t="s">
        <v>11</v>
      </c>
      <c r="S40" s="1575">
        <f t="shared" si="12"/>
        <v>100</v>
      </c>
      <c r="T40" s="1574" t="s">
        <v>11</v>
      </c>
      <c r="U40" s="1575">
        <f t="shared" si="13"/>
        <v>100</v>
      </c>
      <c r="V40" s="1574" t="s">
        <v>11</v>
      </c>
      <c r="W40" s="1575">
        <f t="shared" si="14"/>
        <v>100</v>
      </c>
      <c r="X40" s="1568"/>
      <c r="Y40" s="3421"/>
      <c r="Z40" s="1576" t="str">
        <f t="shared" si="15"/>
        <v>房型</v>
      </c>
      <c r="AA40" s="1577">
        <f t="shared" si="3"/>
        <v>1</v>
      </c>
      <c r="AB40" s="1577">
        <f t="shared" si="4"/>
        <v>1</v>
      </c>
      <c r="AC40" s="1577">
        <f t="shared" si="5"/>
        <v>1</v>
      </c>
    </row>
    <row r="41" spans="1:29" s="1339" customFormat="1" ht="28.5" hidden="1">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21"/>
      <c r="Q41" s="1606" t="str">
        <f t="shared" si="11"/>
        <v>单套/主力户型建筑面积</v>
      </c>
      <c r="R41" s="1578" t="s">
        <v>11</v>
      </c>
      <c r="S41" s="1579">
        <f t="shared" si="12"/>
        <v>100</v>
      </c>
      <c r="T41" s="1578" t="s">
        <v>11</v>
      </c>
      <c r="U41" s="1579">
        <f t="shared" si="13"/>
        <v>100</v>
      </c>
      <c r="V41" s="1578" t="s">
        <v>11</v>
      </c>
      <c r="W41" s="1579">
        <f t="shared" si="14"/>
        <v>100</v>
      </c>
      <c r="X41" s="1580"/>
      <c r="Y41" s="3421"/>
      <c r="Z41" s="1581" t="str">
        <f t="shared" si="15"/>
        <v>单套/主力户型建筑面积</v>
      </c>
      <c r="AA41" s="1577">
        <f t="shared" si="3"/>
        <v>1</v>
      </c>
      <c r="AB41" s="1577">
        <f t="shared" si="4"/>
        <v>1</v>
      </c>
      <c r="AC41" s="1577">
        <f t="shared" si="5"/>
        <v>1</v>
      </c>
    </row>
    <row r="42" spans="1:29" ht="15">
      <c r="A42" s="594"/>
      <c r="B42" s="527" t="s">
        <v>733</v>
      </c>
      <c r="C42" s="599" t="s">
        <v>3218</v>
      </c>
      <c r="D42" s="540">
        <v>100</v>
      </c>
      <c r="E42" s="599" t="s">
        <v>3218</v>
      </c>
      <c r="F42" s="575">
        <f>SUMIF(122:122,E42,123:123)-SUMIF(122:122,C42,123:123)+100</f>
        <v>100</v>
      </c>
      <c r="G42" s="599" t="s">
        <v>3218</v>
      </c>
      <c r="H42" s="540">
        <f>SUMIF(122:122,G42,123:123)-SUMIF(122:122,C42,123:123)+100</f>
        <v>100</v>
      </c>
      <c r="I42" s="599" t="s">
        <v>3218</v>
      </c>
      <c r="J42" s="540">
        <f>SUMIF(122:122,I42,123:123)-SUMIF(122:122,C42,123:123)+100</f>
        <v>100</v>
      </c>
      <c r="K42" s="864">
        <v>3</v>
      </c>
      <c r="L42" s="2144"/>
      <c r="M42" s="2136"/>
      <c r="N42" s="2136"/>
      <c r="O42" s="2143"/>
      <c r="P42" s="3421"/>
      <c r="Q42" s="1573" t="str">
        <f t="shared" si="11"/>
        <v>内部装修</v>
      </c>
      <c r="R42" s="1574" t="s">
        <v>11</v>
      </c>
      <c r="S42" s="1575">
        <f t="shared" si="12"/>
        <v>100</v>
      </c>
      <c r="T42" s="1574" t="s">
        <v>11</v>
      </c>
      <c r="U42" s="1575">
        <f t="shared" si="13"/>
        <v>100</v>
      </c>
      <c r="V42" s="1574" t="s">
        <v>11</v>
      </c>
      <c r="W42" s="1575">
        <f t="shared" si="14"/>
        <v>100</v>
      </c>
      <c r="X42" s="1568"/>
      <c r="Y42" s="3421"/>
      <c r="Z42" s="1576" t="str">
        <f t="shared" si="15"/>
        <v>内部装修</v>
      </c>
      <c r="AA42" s="1577">
        <f t="shared" si="3"/>
        <v>1</v>
      </c>
      <c r="AB42" s="1577">
        <f t="shared" si="4"/>
        <v>1</v>
      </c>
      <c r="AC42" s="1577">
        <f t="shared" si="5"/>
        <v>1</v>
      </c>
    </row>
    <row r="43" spans="1:29" ht="27.75" thickBot="1">
      <c r="A43" s="594"/>
      <c r="B43" s="527" t="s">
        <v>734</v>
      </c>
      <c r="C43" s="599" t="s">
        <v>3220</v>
      </c>
      <c r="D43" s="540">
        <v>100</v>
      </c>
      <c r="E43" s="599" t="s">
        <v>3220</v>
      </c>
      <c r="F43" s="575">
        <f>SUMIF(124:124,E43,125:125)-SUMIF(124:124,C43,125:125)+100</f>
        <v>100</v>
      </c>
      <c r="G43" s="599" t="s">
        <v>3220</v>
      </c>
      <c r="H43" s="540">
        <f>SUMIF(124:124,G43,125:125)-SUMIF(124:124,C43,125:125)+100</f>
        <v>100</v>
      </c>
      <c r="I43" s="599" t="s">
        <v>3220</v>
      </c>
      <c r="J43" s="540">
        <f>SUMIF(124:124,I43,125:125)-SUMIF(124:124,C43,125:125)+100</f>
        <v>100</v>
      </c>
      <c r="K43" s="864">
        <v>2</v>
      </c>
      <c r="L43" s="2144"/>
      <c r="M43" s="2136"/>
      <c r="N43" s="2136"/>
      <c r="O43" s="2143"/>
      <c r="P43" s="3421"/>
      <c r="Q43" s="1573" t="str">
        <f t="shared" si="11"/>
        <v>内部装修维护情况</v>
      </c>
      <c r="R43" s="1574" t="s">
        <v>11</v>
      </c>
      <c r="S43" s="1575">
        <f t="shared" si="12"/>
        <v>100</v>
      </c>
      <c r="T43" s="1574" t="s">
        <v>11</v>
      </c>
      <c r="U43" s="1575">
        <f t="shared" si="13"/>
        <v>100</v>
      </c>
      <c r="V43" s="1574" t="s">
        <v>11</v>
      </c>
      <c r="W43" s="1575">
        <f t="shared" si="14"/>
        <v>100</v>
      </c>
      <c r="X43" s="1568"/>
      <c r="Y43" s="3421"/>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21"/>
      <c r="Q44" s="1151">
        <f t="shared" si="11"/>
        <v>111</v>
      </c>
      <c r="R44" s="1569" t="s">
        <v>11</v>
      </c>
      <c r="S44" s="1570">
        <f t="shared" si="12"/>
        <v>100</v>
      </c>
      <c r="T44" s="1569" t="s">
        <v>11</v>
      </c>
      <c r="U44" s="1570">
        <f t="shared" si="13"/>
        <v>100</v>
      </c>
      <c r="V44" s="1569" t="s">
        <v>11</v>
      </c>
      <c r="W44" s="1570">
        <f t="shared" si="14"/>
        <v>100</v>
      </c>
      <c r="X44" s="1571"/>
      <c r="Y44" s="3421"/>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1"/>
      <c r="Q45" s="1573">
        <f t="shared" si="11"/>
        <v>111</v>
      </c>
      <c r="R45" s="1574" t="s">
        <v>11</v>
      </c>
      <c r="S45" s="1575">
        <f t="shared" si="12"/>
        <v>100</v>
      </c>
      <c r="T45" s="1574" t="s">
        <v>11</v>
      </c>
      <c r="U45" s="1575">
        <f t="shared" si="13"/>
        <v>100</v>
      </c>
      <c r="V45" s="1574" t="s">
        <v>11</v>
      </c>
      <c r="W45" s="1575">
        <f t="shared" si="14"/>
        <v>100</v>
      </c>
      <c r="X45" s="1568"/>
      <c r="Y45" s="3421"/>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6"/>
      <c r="Q46" s="1573">
        <f t="shared" si="11"/>
        <v>111</v>
      </c>
      <c r="R46" s="1574" t="s">
        <v>10</v>
      </c>
      <c r="S46" s="1575">
        <f t="shared" si="12"/>
        <v>100</v>
      </c>
      <c r="T46" s="1574" t="s">
        <v>10</v>
      </c>
      <c r="U46" s="1575">
        <f t="shared" si="13"/>
        <v>100</v>
      </c>
      <c r="V46" s="1574" t="s">
        <v>10</v>
      </c>
      <c r="W46" s="1575">
        <f t="shared" si="14"/>
        <v>100</v>
      </c>
      <c r="X46" s="1568"/>
      <c r="Y46" s="3496"/>
      <c r="Z46" s="1576">
        <f t="shared" si="15"/>
        <v>111</v>
      </c>
      <c r="AA46" s="1577">
        <f t="shared" si="3"/>
        <v>1</v>
      </c>
      <c r="AB46" s="1577">
        <f t="shared" si="4"/>
        <v>1</v>
      </c>
      <c r="AC46" s="1577">
        <f t="shared" si="5"/>
        <v>1</v>
      </c>
    </row>
    <row r="47" spans="1:29" ht="15">
      <c r="A47" s="607" t="s">
        <v>735</v>
      </c>
      <c r="B47" s="887"/>
      <c r="C47" s="2629" t="s">
        <v>9</v>
      </c>
      <c r="D47" s="2630"/>
      <c r="E47" s="2631">
        <v>15000</v>
      </c>
      <c r="F47" s="2632"/>
      <c r="G47" s="2633">
        <v>14000</v>
      </c>
      <c r="H47" s="2634"/>
      <c r="I47" s="2631">
        <v>13000</v>
      </c>
      <c r="J47" s="2634"/>
      <c r="K47" s="1607"/>
      <c r="L47" s="2146"/>
      <c r="M47" s="2147"/>
      <c r="N47" s="2136"/>
      <c r="O47" s="2147"/>
      <c r="P47" s="3384" t="str">
        <f>A47</f>
        <v>成交单价（元/平方米）</v>
      </c>
      <c r="Q47" s="3384"/>
      <c r="R47" s="3495">
        <f>E47</f>
        <v>15000</v>
      </c>
      <c r="S47" s="3495"/>
      <c r="T47" s="3495">
        <f>G47</f>
        <v>14000</v>
      </c>
      <c r="U47" s="3495"/>
      <c r="V47" s="3495">
        <f>I47</f>
        <v>13000</v>
      </c>
      <c r="W47" s="3495"/>
      <c r="X47" s="1560"/>
      <c r="Y47" s="1582"/>
      <c r="Z47" s="1560"/>
      <c r="AA47" s="1560"/>
      <c r="AB47" s="1560"/>
      <c r="AC47" s="1560"/>
    </row>
    <row r="48" spans="1:29" ht="15.75" thickBot="1">
      <c r="A48" s="615" t="s">
        <v>2762</v>
      </c>
      <c r="B48" s="888"/>
      <c r="C48" s="2635">
        <f>R49</f>
        <v>12684</v>
      </c>
      <c r="D48" s="2636"/>
      <c r="E48" s="2637">
        <f>R48</f>
        <v>13509</v>
      </c>
      <c r="F48" s="2637"/>
      <c r="G48" s="2635">
        <f>T48</f>
        <v>13069</v>
      </c>
      <c r="H48" s="2636"/>
      <c r="I48" s="2637">
        <f>V48</f>
        <v>11474</v>
      </c>
      <c r="J48" s="2636"/>
      <c r="K48" s="1608"/>
      <c r="L48" s="2146"/>
      <c r="M48" s="2147"/>
      <c r="N48" s="2147"/>
      <c r="O48" s="2147"/>
      <c r="P48" s="3384" t="str">
        <f>A48</f>
        <v>比较价格（元/平方米）</v>
      </c>
      <c r="Q48" s="3384"/>
      <c r="R48" s="3495">
        <f>IF(F1="售价",ROUND(PRODUCT(R47,AA7:AA46),0),ROUND(PRODUCT(R47,AA7:AA46),1))</f>
        <v>13509</v>
      </c>
      <c r="S48" s="3495"/>
      <c r="T48" s="3495">
        <f>IF(F1="售价",ROUND(PRODUCT(T47,AB7:AB46),0),ROUND(PRODUCT(T47,AB7:AB46),1))</f>
        <v>13069</v>
      </c>
      <c r="U48" s="3495"/>
      <c r="V48" s="3495">
        <f>IF(F1="售价",ROUND(PRODUCT(V47,AC7:AC46),0),ROUND(PRODUCT(V47,AC7:AC46),1))</f>
        <v>11474</v>
      </c>
      <c r="W48" s="3495"/>
      <c r="X48" s="1560"/>
      <c r="Y48" s="1560"/>
      <c r="Z48" s="1560"/>
      <c r="AA48" s="1560"/>
      <c r="AB48" s="1560"/>
      <c r="AC48" s="1560"/>
    </row>
    <row r="49" spans="1:29" ht="15.75" thickBot="1">
      <c r="A49" s="621" t="s">
        <v>2936</v>
      </c>
      <c r="B49" s="622"/>
      <c r="C49" s="2638">
        <f>R49</f>
        <v>12684</v>
      </c>
      <c r="D49" s="2638"/>
      <c r="E49" s="2638"/>
      <c r="F49" s="2638"/>
      <c r="G49" s="2638"/>
      <c r="H49" s="2638"/>
      <c r="I49" s="2638"/>
      <c r="J49" s="2638"/>
      <c r="K49" s="1609"/>
      <c r="L49" s="2146"/>
      <c r="M49" s="2147"/>
      <c r="N49" s="2147"/>
      <c r="O49" s="2147"/>
      <c r="P49" s="3381" t="str">
        <f>A49</f>
        <v>估价对象XX用房的比较价格（楼面单价，元/平方米）</v>
      </c>
      <c r="Q49" s="3382"/>
      <c r="R49" s="3494">
        <f>IF(F1="售价",ROUND(AVERAGE(R48:V48),0),ROUND(AVERAGE(R48:V48),1))</f>
        <v>12684</v>
      </c>
      <c r="S49" s="3494"/>
      <c r="T49" s="3494"/>
      <c r="U49" s="3494"/>
      <c r="V49" s="3494"/>
      <c r="W49" s="349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0.11037086386853212</v>
      </c>
      <c r="F52" s="627" t="str">
        <f>IF(OR(E52&gt;=0.3,E52&lt;=-0.3),"超过30%","")</f>
        <v/>
      </c>
      <c r="G52" s="626">
        <f>IF(G47&lt;G48,G48/G47-1,G47/G48-1)</f>
        <v>7.1237279057311254E-2</v>
      </c>
      <c r="H52" s="627" t="str">
        <f>IF(OR(G52&gt;=0.3,G52&lt;=-0.3),"超过30%","")</f>
        <v/>
      </c>
      <c r="I52" s="626">
        <f>IF(I47&lt;I48,I48/I47-1,I47/I48-1)</f>
        <v>0.13299633955028756</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3.366745734180121E-2</v>
      </c>
      <c r="F53" s="627" t="str">
        <f>IF(OR(E53&gt;=0.2,E53&lt;=-0.2),"超过20%","")</f>
        <v/>
      </c>
      <c r="G53" s="626">
        <f>IF(G48&lt;I48,I48/G48-1,G48/I48-1)</f>
        <v>0.13900993550636231</v>
      </c>
      <c r="H53" s="627" t="str">
        <f>IF(OR(G53&gt;=0.2,G53&lt;=-0.2),"超过20%","")</f>
        <v/>
      </c>
      <c r="I53" s="626">
        <f>IF(I48&lt;E48,E48/I48-1,I48/E48-1)</f>
        <v>0.17735750392191041</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7.1428571428571397E-2</v>
      </c>
      <c r="F54" s="627" t="str">
        <f>IF(OR(E54&gt;=0.3,E54&lt;=-0.3),"超过30%","")</f>
        <v/>
      </c>
      <c r="G54" s="626">
        <f>IF(G47&lt;I47,I47/G47-1,G47/I47-1)</f>
        <v>7.6923076923076872E-2</v>
      </c>
      <c r="H54" s="627" t="str">
        <f>IF(OR(G54&gt;=0.3,G54&lt;=-0.3),"超过30%","")</f>
        <v/>
      </c>
      <c r="I54" s="626">
        <f>IF(I47&lt;E47,E47/I47-1,I47/E47-1)</f>
        <v>0.15384615384615374</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6"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9" t="s">
        <v>3205</v>
      </c>
      <c r="D100" s="3189" t="s">
        <v>3207</v>
      </c>
      <c r="E100" s="3189" t="s">
        <v>3208</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200000(含)-300000</v>
      </c>
      <c r="H102" s="708" t="str">
        <f t="shared" si="23"/>
        <v>300000(含)-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v>300000</v>
      </c>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209" t="s">
        <v>3209</v>
      </c>
      <c r="D105" s="3209" t="s">
        <v>3210</v>
      </c>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210" t="s">
        <v>3212</v>
      </c>
      <c r="D107" s="3210" t="s">
        <v>3214</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209" t="s">
        <v>3216</v>
      </c>
      <c r="D114" s="3209" t="s">
        <v>3214</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3209" t="s">
        <v>3217</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209" t="s">
        <v>3219</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D24" sqref="D2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3001</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57" t="s">
        <v>2465</v>
      </c>
      <c r="C6" s="783" t="e">
        <f ca="1">ROUND(F6*F8*F7*(1-F9)/10000,0)</f>
        <v>#N/A</v>
      </c>
      <c r="D6" s="2499" t="s">
        <v>2464</v>
      </c>
      <c r="E6" s="784" t="s">
        <v>1738</v>
      </c>
      <c r="F6" s="785" t="e">
        <f ca="1">INDIRECT("'数据-取费表'!u"&amp;$G$1)</f>
        <v>#N/A</v>
      </c>
      <c r="G6" s="1593"/>
      <c r="H6" s="2506" t="s">
        <v>2470</v>
      </c>
      <c r="I6" s="3457" t="s">
        <v>2465</v>
      </c>
      <c r="J6" s="783" t="e">
        <f ca="1">ROUND(M6*M8*M7*(1-M9)/10000,0)</f>
        <v>#N/A</v>
      </c>
      <c r="K6" s="341" t="s">
        <v>1737</v>
      </c>
      <c r="L6" s="784" t="s">
        <v>1738</v>
      </c>
      <c r="M6" s="785" t="e">
        <f ca="1">INDIRECT("'数据-取费表'!z"&amp;$G$1)</f>
        <v>#N/A</v>
      </c>
    </row>
    <row r="7" spans="1:33" ht="18" customHeight="1">
      <c r="A7" s="2502"/>
      <c r="B7" s="3458"/>
      <c r="C7" s="788"/>
      <c r="D7" s="789"/>
      <c r="E7" s="784" t="s">
        <v>1739</v>
      </c>
      <c r="F7" s="785" t="e">
        <f ca="1">IF(INDIRECT("'数据-取费表'!ah"&amp;$G$1)="",INDIRECT("'数据-取费表'!k"&amp;$G$1),INDIRECT("'数据-取费表'!ah"&amp;$G$1))</f>
        <v>#N/A</v>
      </c>
      <c r="G7" s="1593"/>
      <c r="H7" s="2491"/>
      <c r="I7" s="3458"/>
      <c r="J7" s="788"/>
      <c r="K7" s="789"/>
      <c r="L7" s="784" t="s">
        <v>1739</v>
      </c>
      <c r="M7" s="785" t="e">
        <f ca="1">F7</f>
        <v>#N/A</v>
      </c>
    </row>
    <row r="8" spans="1:33" ht="18" customHeight="1">
      <c r="A8" s="2495"/>
      <c r="B8" s="3459"/>
      <c r="C8" s="788"/>
      <c r="D8" s="789"/>
      <c r="E8" s="784" t="s">
        <v>1740</v>
      </c>
      <c r="F8" s="785" t="e">
        <f ca="1">INDIRECT("'数据-取费表'!ai"&amp;$G$1)</f>
        <v>#N/A</v>
      </c>
      <c r="G8" s="1593"/>
      <c r="H8" s="2491"/>
      <c r="I8" s="3459"/>
      <c r="J8" s="788"/>
      <c r="K8" s="789"/>
      <c r="L8" s="784" t="s">
        <v>1740</v>
      </c>
      <c r="M8" s="785" t="e">
        <f ca="1">INDIRECT("'数据-取费表'!ai"&amp;$G$1)</f>
        <v>#N/A</v>
      </c>
    </row>
    <row r="9" spans="1:33" ht="18" customHeight="1">
      <c r="A9" s="786"/>
      <c r="B9" s="3460"/>
      <c r="C9" s="788"/>
      <c r="D9" s="789"/>
      <c r="E9" s="784" t="s">
        <v>1741</v>
      </c>
      <c r="F9" s="794" t="e">
        <f ca="1">INDIRECT("'数据-取费表'!w"&amp;$G$1)</f>
        <v>#N/A</v>
      </c>
      <c r="G9" s="1593"/>
      <c r="H9" s="2507"/>
      <c r="I9" s="3459"/>
      <c r="J9" s="788"/>
      <c r="K9" s="789"/>
      <c r="L9" s="795" t="s">
        <v>1741</v>
      </c>
      <c r="M9" s="796" t="e">
        <f ca="1">INDIRECT("'数据-取费表'!ab"&amp;$G$1)</f>
        <v>#N/A</v>
      </c>
    </row>
    <row r="10" spans="1:33" ht="18" customHeight="1">
      <c r="A10" s="1832" t="s">
        <v>2468</v>
      </c>
      <c r="B10" s="2496" t="s">
        <v>2461</v>
      </c>
      <c r="C10" s="799">
        <f ca="1">ROUND(IF(F10="押一",C6/12*F11,IF(F10="押二",C6/12*2*F11,IF(F10="押三",C6/12*3*F11,C11*F11))),0)</f>
        <v>0</v>
      </c>
      <c r="D10" s="2503" t="s">
        <v>2977</v>
      </c>
      <c r="E10" s="2500" t="s">
        <v>2466</v>
      </c>
      <c r="F10" s="2623"/>
      <c r="G10" s="1593"/>
      <c r="H10" s="2563" t="s">
        <v>2471</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1884</v>
      </c>
      <c r="B14" s="784" t="s">
        <v>644</v>
      </c>
      <c r="C14" s="804" t="e">
        <f ca="1">INDIRECT("'数据-取费表'!m"&amp;$G$1)+INDIRECT("'数据-取费表'!t"&amp;$G$1)</f>
        <v>#N/A</v>
      </c>
      <c r="D14" s="1981" t="s">
        <v>1745</v>
      </c>
      <c r="E14" s="1982"/>
      <c r="F14" s="805"/>
      <c r="G14" s="1593"/>
      <c r="H14" s="1650" t="s">
        <v>1830</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2488"/>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1830</v>
      </c>
      <c r="I17" s="784" t="s">
        <v>655</v>
      </c>
      <c r="J17" s="53" t="e">
        <f ca="1">ROUND(IF(项目基本情况!B11="自然人",J5*M17,J18+J19+J20),0)</f>
        <v>#N/A</v>
      </c>
      <c r="K17" s="2487" t="s">
        <v>1753</v>
      </c>
      <c r="L17" s="2486"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1884</v>
      </c>
      <c r="I18" s="784" t="s">
        <v>1755</v>
      </c>
      <c r="J18" s="53" t="e">
        <f ca="1">ROUND(J5*M18/1.05,1)</f>
        <v>#N/A</v>
      </c>
      <c r="K18" s="2486"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t="e">
        <f ca="1">SUM(C14:C18)</f>
        <v>#N/A</v>
      </c>
      <c r="D19" s="261" t="s">
        <v>1757</v>
      </c>
      <c r="E19" s="1984"/>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1984"/>
      <c r="F22" s="56"/>
      <c r="G22" s="1593"/>
      <c r="H22" s="1650" t="s">
        <v>1889</v>
      </c>
      <c r="I22" s="784" t="s">
        <v>1768</v>
      </c>
      <c r="J22" s="53" t="e">
        <f ca="1">ROUND(J14*M22,0)</f>
        <v>#N/A</v>
      </c>
      <c r="K22" s="2486"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2486"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1774</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2488"/>
      <c r="F30" s="2493"/>
      <c r="G30" s="2064"/>
      <c r="H30" s="2067"/>
      <c r="I30" s="2068"/>
      <c r="J30" s="2069"/>
      <c r="K30" s="2070"/>
      <c r="L30" s="2071"/>
      <c r="M30" s="2072"/>
    </row>
    <row r="31" spans="1:33" ht="18" customHeight="1">
      <c r="A31" s="1650" t="s">
        <v>1830</v>
      </c>
      <c r="B31" s="784" t="s">
        <v>655</v>
      </c>
      <c r="C31" s="53" t="e">
        <f ca="1">ROUND(IF(项目基本情况!B11="自然人",C5*F31,C32+C33+C34),1)</f>
        <v>#N/A</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1979"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1979"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1979"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3148</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01" t="s">
        <v>2969</v>
      </c>
      <c r="L53" s="3502"/>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2304</v>
      </c>
      <c r="C56" s="53" t="e">
        <f ca="1">C29</f>
        <v>#N/A</v>
      </c>
      <c r="D56" s="2641"/>
      <c r="E56" s="784"/>
      <c r="F56" s="809"/>
      <c r="I56" s="3174" t="s">
        <v>2359</v>
      </c>
      <c r="J56" s="3184" t="s">
        <v>3149</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2642"/>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2640" t="s">
        <v>656</v>
      </c>
      <c r="E58" s="2641"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2641"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2641"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2641"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2641"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2641"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2640" t="s">
        <v>699</v>
      </c>
      <c r="E66" s="2639"/>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1" sqref="F4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3000</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57" t="s">
        <v>2465</v>
      </c>
      <c r="C6" s="783" t="e">
        <f ca="1">ROUND(F6*F8*F7*(1-F9)/10000,0)</f>
        <v>#N/A</v>
      </c>
      <c r="D6" s="2499" t="s">
        <v>2464</v>
      </c>
      <c r="E6" s="784" t="s">
        <v>1738</v>
      </c>
      <c r="F6" s="785" t="e">
        <f ca="1">INDIRECT("'数据-取费表'!u"&amp;$G$1)</f>
        <v>#N/A</v>
      </c>
      <c r="G6" s="1593"/>
      <c r="H6" s="2506" t="s">
        <v>1824</v>
      </c>
      <c r="I6" s="3457" t="s">
        <v>2465</v>
      </c>
      <c r="J6" s="783" t="e">
        <f ca="1">ROUND(M6*M8*M7*(1-M9)/10000,0)</f>
        <v>#N/A</v>
      </c>
      <c r="K6" s="341" t="s">
        <v>1737</v>
      </c>
      <c r="L6" s="784" t="s">
        <v>1738</v>
      </c>
      <c r="M6" s="785" t="e">
        <f ca="1">INDIRECT("'数据-取费表'!z"&amp;$G$1)</f>
        <v>#N/A</v>
      </c>
    </row>
    <row r="7" spans="1:33" ht="18" customHeight="1">
      <c r="A7" s="2502"/>
      <c r="B7" s="3458"/>
      <c r="C7" s="788"/>
      <c r="D7" s="789"/>
      <c r="E7" s="784" t="s">
        <v>1739</v>
      </c>
      <c r="F7" s="785" t="e">
        <f ca="1">IF(INDIRECT("'数据-取费表'!ah"&amp;$G$1)="",INDIRECT("'数据-取费表'!k"&amp;$G$1),INDIRECT("'数据-取费表'!ah"&amp;$G$1))</f>
        <v>#N/A</v>
      </c>
      <c r="G7" s="1593"/>
      <c r="H7" s="2491"/>
      <c r="I7" s="3458"/>
      <c r="J7" s="788"/>
      <c r="K7" s="789"/>
      <c r="L7" s="784" t="s">
        <v>1739</v>
      </c>
      <c r="M7" s="785" t="e">
        <f ca="1">F7</f>
        <v>#N/A</v>
      </c>
    </row>
    <row r="8" spans="1:33" ht="18" customHeight="1">
      <c r="A8" s="2495"/>
      <c r="B8" s="3459"/>
      <c r="C8" s="788"/>
      <c r="D8" s="789"/>
      <c r="E8" s="784" t="s">
        <v>1740</v>
      </c>
      <c r="F8" s="785" t="e">
        <f ca="1">INDIRECT("'数据-取费表'!ai"&amp;$G$1)</f>
        <v>#N/A</v>
      </c>
      <c r="G8" s="1593"/>
      <c r="H8" s="2491"/>
      <c r="I8" s="3459"/>
      <c r="J8" s="788"/>
      <c r="K8" s="789"/>
      <c r="L8" s="784" t="s">
        <v>1740</v>
      </c>
      <c r="M8" s="785" t="e">
        <f ca="1">INDIRECT("'数据-取费表'!ai"&amp;$G$1)</f>
        <v>#N/A</v>
      </c>
    </row>
    <row r="9" spans="1:33" ht="18" customHeight="1">
      <c r="A9" s="786"/>
      <c r="B9" s="3460"/>
      <c r="C9" s="788"/>
      <c r="D9" s="789"/>
      <c r="E9" s="784" t="s">
        <v>1741</v>
      </c>
      <c r="F9" s="794" t="e">
        <f ca="1">INDIRECT("'数据-取费表'!w"&amp;$G$1)</f>
        <v>#N/A</v>
      </c>
      <c r="G9" s="1593"/>
      <c r="H9" s="2507"/>
      <c r="I9" s="3459"/>
      <c r="J9" s="788"/>
      <c r="K9" s="789"/>
      <c r="L9" s="795" t="s">
        <v>1741</v>
      </c>
      <c r="M9" s="796" t="e">
        <f ca="1">INDIRECT("'数据-取费表'!ab"&amp;$G$1)</f>
        <v>#N/A</v>
      </c>
    </row>
    <row r="10" spans="1:33" ht="18" customHeight="1">
      <c r="A10" s="1832" t="s">
        <v>1825</v>
      </c>
      <c r="B10" s="2496" t="s">
        <v>2461</v>
      </c>
      <c r="C10" s="799">
        <f ca="1">ROUND(IF(F10="押一",C6/12*F11,IF(F10="押二",C6/12*2*F11,IF(F10="押三",C6/12*3*F11,C11*F11))),0)</f>
        <v>0</v>
      </c>
      <c r="D10" s="2503" t="s">
        <v>2977</v>
      </c>
      <c r="E10" s="2500" t="s">
        <v>2466</v>
      </c>
      <c r="F10" s="2623"/>
      <c r="G10" s="1593"/>
      <c r="H10" s="2563" t="s">
        <v>1825</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2458</v>
      </c>
      <c r="F11" s="796">
        <f ca="1">'数据-取费表'!B39</f>
        <v>1.4999999999999999E-2</v>
      </c>
      <c r="G11" s="1593"/>
      <c r="H11" s="2564"/>
      <c r="I11" s="2497" t="s">
        <v>2575</v>
      </c>
      <c r="J11" s="2501"/>
      <c r="K11" s="2565"/>
      <c r="L11" s="2500" t="s">
        <v>2458</v>
      </c>
      <c r="M11" s="2494">
        <f ca="1">'数据-取费表'!B39</f>
        <v>1.4999999999999999E-2</v>
      </c>
    </row>
    <row r="12" spans="1:33" ht="18" customHeight="1" thickBot="1">
      <c r="A12" s="2539" t="s">
        <v>2469</v>
      </c>
      <c r="B12" s="2540" t="s">
        <v>2462</v>
      </c>
      <c r="C12" s="2541"/>
      <c r="D12" s="2542"/>
      <c r="E12" s="2543"/>
      <c r="F12" s="2544"/>
      <c r="G12" s="1593"/>
      <c r="H12" s="2553" t="s">
        <v>2469</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1831</v>
      </c>
      <c r="B14" s="784" t="s">
        <v>644</v>
      </c>
      <c r="C14" s="804" t="e">
        <f ca="1">INDIRECT("'数据-取费表'!m"&amp;$G$1)+INDIRECT("'数据-取费表'!t"&amp;$G$1)</f>
        <v>#N/A</v>
      </c>
      <c r="D14" s="3153" t="s">
        <v>1745</v>
      </c>
      <c r="E14" s="3152"/>
      <c r="F14" s="805"/>
      <c r="G14" s="1593"/>
      <c r="H14" s="1650" t="s">
        <v>1824</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3155"/>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1824</v>
      </c>
      <c r="I17" s="784" t="s">
        <v>655</v>
      </c>
      <c r="J17" s="53" t="e">
        <f ca="1">ROUND(IF(项目基本情况!B11="自然人",J5*M17,J18+J19+J20),0)</f>
        <v>#N/A</v>
      </c>
      <c r="K17" s="3153" t="s">
        <v>1753</v>
      </c>
      <c r="L17" s="3154"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1831</v>
      </c>
      <c r="I18" s="784" t="s">
        <v>1755</v>
      </c>
      <c r="J18" s="53" t="e">
        <f ca="1">ROUND(J5*M18/1.05,1)</f>
        <v>#N/A</v>
      </c>
      <c r="K18" s="3154"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661</v>
      </c>
      <c r="C19" s="53" t="e">
        <f ca="1">SUM(C14:C18)</f>
        <v>#N/A</v>
      </c>
      <c r="D19" s="261" t="s">
        <v>1757</v>
      </c>
      <c r="E19" s="3156"/>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3156"/>
      <c r="F22" s="56"/>
      <c r="G22" s="1593"/>
      <c r="H22" s="1650" t="s">
        <v>1889</v>
      </c>
      <c r="I22" s="784" t="s">
        <v>1768</v>
      </c>
      <c r="J22" s="53" t="e">
        <f ca="1">ROUND(J14*M22,0)</f>
        <v>#N/A</v>
      </c>
      <c r="K22" s="3154"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3154"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682</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684</v>
      </c>
      <c r="E25" s="3156"/>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3155"/>
      <c r="F30" s="2493"/>
      <c r="G30" s="2064"/>
      <c r="H30" s="2067"/>
      <c r="I30" s="2068"/>
      <c r="J30" s="2069"/>
      <c r="K30" s="2070"/>
      <c r="L30" s="2071"/>
      <c r="M30" s="2072"/>
    </row>
    <row r="31" spans="1:33" ht="18" customHeight="1">
      <c r="A31" s="1650" t="s">
        <v>1824</v>
      </c>
      <c r="B31" s="784" t="s">
        <v>655</v>
      </c>
      <c r="C31" s="53" t="e">
        <f ca="1">ROUND(IF(项目基本情况!B11="自然人",C5*F31,C32+C33+C34),1)</f>
        <v>#N/A</v>
      </c>
      <c r="D31" s="3153" t="s">
        <v>1792</v>
      </c>
      <c r="E31" s="3154"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3154"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3154"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3154"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3148</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01" t="s">
        <v>2969</v>
      </c>
      <c r="L53" s="3502"/>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2302</v>
      </c>
      <c r="C56" s="53" t="e">
        <f ca="1">C29</f>
        <v>#N/A</v>
      </c>
      <c r="D56" s="3154"/>
      <c r="E56" s="784"/>
      <c r="F56" s="809"/>
      <c r="I56" s="3174" t="s">
        <v>2359</v>
      </c>
      <c r="J56" s="3184" t="s">
        <v>3149</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3156"/>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3153" t="s">
        <v>656</v>
      </c>
      <c r="E58" s="3154"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3154"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3154"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3154"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3154"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3154"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3153" t="s">
        <v>699</v>
      </c>
      <c r="E66" s="3151"/>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390" t="s">
        <v>521</v>
      </c>
      <c r="D4" s="3391"/>
      <c r="E4" s="3424" t="s">
        <v>522</v>
      </c>
      <c r="F4" s="3425"/>
      <c r="G4" s="3390" t="s">
        <v>523</v>
      </c>
      <c r="H4" s="3391"/>
      <c r="I4" s="3390" t="s">
        <v>524</v>
      </c>
      <c r="J4" s="3391"/>
      <c r="K4" s="514" t="s">
        <v>525</v>
      </c>
      <c r="L4" s="2135"/>
      <c r="M4" s="2136"/>
      <c r="N4" s="2136"/>
      <c r="O4" s="2136"/>
      <c r="P4" s="3392" t="s">
        <v>526</v>
      </c>
      <c r="Q4" s="3393"/>
      <c r="R4" s="3398" t="s">
        <v>522</v>
      </c>
      <c r="S4" s="3399"/>
      <c r="T4" s="3398" t="s">
        <v>523</v>
      </c>
      <c r="U4" s="3399"/>
      <c r="V4" s="3385" t="s">
        <v>524</v>
      </c>
      <c r="W4" s="3385"/>
      <c r="X4" s="1568"/>
      <c r="Y4" s="3398" t="s">
        <v>526</v>
      </c>
      <c r="Z4" s="3399"/>
      <c r="AA4" s="3387" t="s">
        <v>522</v>
      </c>
      <c r="AB4" s="3385" t="s">
        <v>523</v>
      </c>
      <c r="AC4" s="3387" t="s">
        <v>524</v>
      </c>
    </row>
    <row r="5" spans="1:29" ht="15">
      <c r="A5" s="515"/>
      <c r="B5" s="516"/>
      <c r="C5" s="3406" t="s">
        <v>2930</v>
      </c>
      <c r="D5" s="3407"/>
      <c r="E5" s="3426" t="s">
        <v>2931</v>
      </c>
      <c r="F5" s="3427"/>
      <c r="G5" s="3406" t="s">
        <v>2932</v>
      </c>
      <c r="H5" s="3407"/>
      <c r="I5" s="3406" t="s">
        <v>2933</v>
      </c>
      <c r="J5" s="3407"/>
      <c r="K5" s="514"/>
      <c r="L5" s="2135"/>
      <c r="M5" s="2136"/>
      <c r="N5" s="2136"/>
      <c r="O5" s="2136"/>
      <c r="P5" s="3394"/>
      <c r="Q5" s="3395"/>
      <c r="R5" s="3400"/>
      <c r="S5" s="3401"/>
      <c r="T5" s="3400"/>
      <c r="U5" s="3401"/>
      <c r="V5" s="3385"/>
      <c r="W5" s="3385"/>
      <c r="X5" s="1568"/>
      <c r="Y5" s="3400"/>
      <c r="Z5" s="3401"/>
      <c r="AA5" s="3388"/>
      <c r="AB5" s="3385"/>
      <c r="AC5" s="3388"/>
    </row>
    <row r="6" spans="1:29" ht="15.75" thickBot="1">
      <c r="A6" s="517"/>
      <c r="B6" s="518"/>
      <c r="C6" s="3404" t="s">
        <v>2934</v>
      </c>
      <c r="D6" s="3405"/>
      <c r="E6" s="3422" t="s">
        <v>2934</v>
      </c>
      <c r="F6" s="3423"/>
      <c r="G6" s="3404" t="s">
        <v>2934</v>
      </c>
      <c r="H6" s="3405"/>
      <c r="I6" s="3404" t="s">
        <v>2934</v>
      </c>
      <c r="J6" s="3405"/>
      <c r="K6" s="514" t="s">
        <v>527</v>
      </c>
      <c r="L6" s="2135"/>
      <c r="M6" s="2136"/>
      <c r="N6" s="2136"/>
      <c r="O6" s="2136"/>
      <c r="P6" s="3396"/>
      <c r="Q6" s="3397"/>
      <c r="R6" s="3400"/>
      <c r="S6" s="3401"/>
      <c r="T6" s="3402"/>
      <c r="U6" s="3403"/>
      <c r="V6" s="3385"/>
      <c r="W6" s="3385"/>
      <c r="X6" s="1568"/>
      <c r="Y6" s="3402"/>
      <c r="Z6" s="3403"/>
      <c r="AA6" s="3389"/>
      <c r="AB6" s="3385"/>
      <c r="AC6" s="3389"/>
    </row>
    <row r="7" spans="1:29" s="1220" customFormat="1" ht="15.75" thickBot="1">
      <c r="A7" s="2914"/>
      <c r="B7" s="2921" t="s">
        <v>528</v>
      </c>
      <c r="C7" s="519">
        <f>'数据-取费表'!B2</f>
        <v>43276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5" t="s">
        <v>529</v>
      </c>
      <c r="Q7" s="3417"/>
      <c r="R7" s="1569" t="s">
        <v>8</v>
      </c>
      <c r="S7" s="1570">
        <f t="shared" ref="S7:S15" si="0">F7</f>
        <v>0</v>
      </c>
      <c r="T7" s="1569" t="s">
        <v>8</v>
      </c>
      <c r="U7" s="1570">
        <f t="shared" ref="U7:U15" si="1">H7</f>
        <v>0</v>
      </c>
      <c r="V7" s="1569" t="s">
        <v>8</v>
      </c>
      <c r="W7" s="1570">
        <f t="shared" ref="W7:W15" si="2">J7</f>
        <v>0</v>
      </c>
      <c r="X7" s="1571"/>
      <c r="Y7" s="3415" t="s">
        <v>529</v>
      </c>
      <c r="Z7" s="3416"/>
      <c r="AA7" s="1572" t="e">
        <f>D7/F7</f>
        <v>#DIV/0!</v>
      </c>
      <c r="AB7" s="1572" t="e">
        <f>D7/H7</f>
        <v>#DIV/0!</v>
      </c>
      <c r="AC7" s="1572" t="e">
        <f>D7/J7</f>
        <v>#DIV/0!</v>
      </c>
    </row>
    <row r="8" spans="1:29" s="1220" customFormat="1" ht="15.75" thickBot="1">
      <c r="A8" s="2915"/>
      <c r="B8" s="2922"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5" t="s">
        <v>532</v>
      </c>
      <c r="Q8" s="3416"/>
      <c r="R8" s="1569" t="s">
        <v>8</v>
      </c>
      <c r="S8" s="1570">
        <f t="shared" si="0"/>
        <v>0</v>
      </c>
      <c r="T8" s="1569" t="s">
        <v>8</v>
      </c>
      <c r="U8" s="1570">
        <f t="shared" si="1"/>
        <v>0</v>
      </c>
      <c r="V8" s="1569" t="s">
        <v>8</v>
      </c>
      <c r="W8" s="1570">
        <f t="shared" si="2"/>
        <v>0</v>
      </c>
      <c r="X8" s="1571"/>
      <c r="Y8" s="3415" t="s">
        <v>532</v>
      </c>
      <c r="Z8" s="3416"/>
      <c r="AA8" s="1572" t="e">
        <f t="shared" ref="AA8:AA46" si="3">D8/F8</f>
        <v>#DIV/0!</v>
      </c>
      <c r="AB8" s="1572" t="e">
        <f t="shared" ref="AB8:AB46" si="4">D8/H8</f>
        <v>#DIV/0!</v>
      </c>
      <c r="AC8" s="1572" t="e">
        <f t="shared" ref="AC8:AC46" si="5">D8/J8</f>
        <v>#DIV/0!</v>
      </c>
    </row>
    <row r="9" spans="1:29" s="1220" customFormat="1" ht="15">
      <c r="A9" s="2916"/>
      <c r="B9" s="2923"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4" t="s">
        <v>534</v>
      </c>
      <c r="Q9" s="1151" t="str">
        <f t="shared" ref="Q9:Q15" si="6">B9</f>
        <v>用途</v>
      </c>
      <c r="R9" s="1569" t="s">
        <v>8</v>
      </c>
      <c r="S9" s="1570">
        <f t="shared" si="0"/>
        <v>100</v>
      </c>
      <c r="T9" s="1569" t="s">
        <v>8</v>
      </c>
      <c r="U9" s="1570">
        <f t="shared" si="1"/>
        <v>100</v>
      </c>
      <c r="V9" s="1569" t="s">
        <v>8</v>
      </c>
      <c r="W9" s="1570">
        <f t="shared" si="2"/>
        <v>100</v>
      </c>
      <c r="X9" s="1571"/>
      <c r="Y9" s="3330"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4"/>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71.25">
      <c r="A15" s="2912"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18" t="s">
        <v>539</v>
      </c>
      <c r="Q15" s="1573" t="str">
        <f t="shared" si="6"/>
        <v>商业繁华度</v>
      </c>
      <c r="R15" s="1574" t="s">
        <v>8</v>
      </c>
      <c r="S15" s="1575">
        <f t="shared" si="0"/>
        <v>100</v>
      </c>
      <c r="T15" s="1574" t="s">
        <v>8</v>
      </c>
      <c r="U15" s="1575">
        <f t="shared" si="1"/>
        <v>100</v>
      </c>
      <c r="V15" s="1574" t="s">
        <v>8</v>
      </c>
      <c r="W15" s="1575">
        <f t="shared" si="2"/>
        <v>100</v>
      </c>
      <c r="X15" s="1568"/>
      <c r="Y15" s="3418"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9"/>
      <c r="Q16" s="1573"/>
      <c r="R16" s="1574"/>
      <c r="S16" s="1575"/>
      <c r="T16" s="1574"/>
      <c r="U16" s="1575"/>
      <c r="V16" s="1574"/>
      <c r="W16" s="1575"/>
      <c r="X16" s="1568"/>
      <c r="Y16" s="3419"/>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19"/>
      <c r="Q17" s="1573" t="str">
        <f>B17</f>
        <v>交通便捷度</v>
      </c>
      <c r="R17" s="1574" t="s">
        <v>8</v>
      </c>
      <c r="S17" s="1575">
        <f>F17</f>
        <v>100</v>
      </c>
      <c r="T17" s="1574" t="s">
        <v>8</v>
      </c>
      <c r="U17" s="1575">
        <f>H17</f>
        <v>100</v>
      </c>
      <c r="V17" s="1574" t="s">
        <v>8</v>
      </c>
      <c r="W17" s="1575">
        <f>J17</f>
        <v>100</v>
      </c>
      <c r="X17" s="1568"/>
      <c r="Y17" s="341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9"/>
      <c r="Q18" s="1573"/>
      <c r="R18" s="1574"/>
      <c r="S18" s="1575"/>
      <c r="T18" s="1574"/>
      <c r="U18" s="1575"/>
      <c r="V18" s="1574"/>
      <c r="W18" s="1575"/>
      <c r="X18" s="1568"/>
      <c r="Y18" s="3419"/>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19"/>
      <c r="Q19" s="1573" t="str">
        <f>B19</f>
        <v>公共配套设施</v>
      </c>
      <c r="R19" s="1574" t="s">
        <v>8</v>
      </c>
      <c r="S19" s="1575">
        <f>F19</f>
        <v>100</v>
      </c>
      <c r="T19" s="1574" t="s">
        <v>8</v>
      </c>
      <c r="U19" s="1575">
        <f>H19</f>
        <v>100</v>
      </c>
      <c r="V19" s="1574" t="s">
        <v>8</v>
      </c>
      <c r="W19" s="1575">
        <f>J19</f>
        <v>100</v>
      </c>
      <c r="X19" s="1568"/>
      <c r="Y19" s="341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19"/>
      <c r="Q20" s="1573"/>
      <c r="R20" s="1574"/>
      <c r="S20" s="1575"/>
      <c r="T20" s="1574"/>
      <c r="U20" s="1575"/>
      <c r="V20" s="1574"/>
      <c r="W20" s="1575"/>
      <c r="X20" s="1568"/>
      <c r="Y20" s="3419"/>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19"/>
      <c r="Q21" s="2581" t="str">
        <f>B21</f>
        <v>基础设施水平</v>
      </c>
      <c r="R21" s="1574" t="s">
        <v>8</v>
      </c>
      <c r="S21" s="1575">
        <f>F21</f>
        <v>100</v>
      </c>
      <c r="T21" s="1574" t="s">
        <v>8</v>
      </c>
      <c r="U21" s="1575">
        <f>H21</f>
        <v>100</v>
      </c>
      <c r="V21" s="1574" t="s">
        <v>8</v>
      </c>
      <c r="W21" s="1575">
        <f>J21</f>
        <v>100</v>
      </c>
      <c r="X21" s="2583"/>
      <c r="Y21" s="3419"/>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19"/>
      <c r="Q22" s="2581"/>
      <c r="R22" s="1574"/>
      <c r="S22" s="1575"/>
      <c r="T22" s="1574"/>
      <c r="U22" s="1575"/>
      <c r="V22" s="1574"/>
      <c r="W22" s="1575"/>
      <c r="X22" s="2583"/>
      <c r="Y22" s="3419"/>
      <c r="Z22" s="2582"/>
      <c r="AA22" s="1577">
        <v>1</v>
      </c>
      <c r="AB22" s="1577">
        <v>1</v>
      </c>
      <c r="AC22" s="1577">
        <v>1</v>
      </c>
    </row>
    <row r="23" spans="1:29" ht="85.5">
      <c r="A23" s="532"/>
      <c r="B23" s="871" t="s">
        <v>296</v>
      </c>
      <c r="C23" s="900"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19"/>
      <c r="Q23" s="1573" t="str">
        <f>B23</f>
        <v>自然及人文环境</v>
      </c>
      <c r="R23" s="1574" t="s">
        <v>8</v>
      </c>
      <c r="S23" s="1575">
        <f>F23</f>
        <v>100</v>
      </c>
      <c r="T23" s="1574" t="s">
        <v>8</v>
      </c>
      <c r="U23" s="1575">
        <f>H23</f>
        <v>100</v>
      </c>
      <c r="V23" s="1574" t="s">
        <v>8</v>
      </c>
      <c r="W23" s="1575">
        <f>J23</f>
        <v>100</v>
      </c>
      <c r="X23" s="1568"/>
      <c r="Y23" s="341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19"/>
      <c r="Q24" s="1573"/>
      <c r="R24" s="1574"/>
      <c r="S24" s="1575"/>
      <c r="T24" s="1574"/>
      <c r="U24" s="1575"/>
      <c r="V24" s="1574"/>
      <c r="W24" s="1575"/>
      <c r="X24" s="1568"/>
      <c r="Y24" s="3419"/>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19"/>
      <c r="Q25" s="1573" t="str">
        <f t="shared" ref="Q25:Q46" si="11">B25</f>
        <v>临街状况</v>
      </c>
      <c r="R25" s="1574" t="s">
        <v>8</v>
      </c>
      <c r="S25" s="1575">
        <f>F25</f>
        <v>100</v>
      </c>
      <c r="T25" s="1574" t="s">
        <v>8</v>
      </c>
      <c r="U25" s="1575">
        <f>H25</f>
        <v>100</v>
      </c>
      <c r="V25" s="1574" t="s">
        <v>8</v>
      </c>
      <c r="W25" s="1575">
        <f>J25</f>
        <v>100</v>
      </c>
      <c r="X25" s="1568"/>
      <c r="Y25" s="3419"/>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19"/>
      <c r="Q26" s="1573" t="str">
        <f t="shared" si="11"/>
        <v>平面位置/可视性</v>
      </c>
      <c r="R26" s="1574" t="s">
        <v>8</v>
      </c>
      <c r="S26" s="1575">
        <f>F26</f>
        <v>100</v>
      </c>
      <c r="T26" s="1574" t="s">
        <v>8</v>
      </c>
      <c r="U26" s="1575">
        <f>H26</f>
        <v>100</v>
      </c>
      <c r="V26" s="1574" t="s">
        <v>8</v>
      </c>
      <c r="W26" s="1575">
        <f>J26</f>
        <v>100</v>
      </c>
      <c r="X26" s="1568"/>
      <c r="Y26" s="3419"/>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19"/>
      <c r="Q27" s="1151" t="str">
        <f t="shared" si="11"/>
        <v>人流量</v>
      </c>
      <c r="R27" s="1569" t="s">
        <v>8</v>
      </c>
      <c r="S27" s="1570">
        <f>F27</f>
        <v>100</v>
      </c>
      <c r="T27" s="1569" t="s">
        <v>8</v>
      </c>
      <c r="U27" s="1570">
        <f>H27</f>
        <v>100</v>
      </c>
      <c r="V27" s="1569" t="s">
        <v>8</v>
      </c>
      <c r="W27" s="1570">
        <f>J27</f>
        <v>100</v>
      </c>
      <c r="X27" s="1571"/>
      <c r="Y27" s="3419"/>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1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19"/>
      <c r="Q29" s="1573">
        <f t="shared" si="11"/>
        <v>111</v>
      </c>
      <c r="R29" s="1574" t="s">
        <v>8</v>
      </c>
      <c r="S29" s="1575">
        <f t="shared" si="12"/>
        <v>100</v>
      </c>
      <c r="T29" s="1574" t="s">
        <v>8</v>
      </c>
      <c r="U29" s="1575">
        <f t="shared" si="13"/>
        <v>100</v>
      </c>
      <c r="V29" s="1574" t="s">
        <v>8</v>
      </c>
      <c r="W29" s="1575">
        <f t="shared" si="14"/>
        <v>100</v>
      </c>
      <c r="X29" s="1568"/>
      <c r="Y29" s="341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19"/>
      <c r="Q30" s="1573">
        <f t="shared" si="11"/>
        <v>111</v>
      </c>
      <c r="R30" s="1574" t="s">
        <v>8</v>
      </c>
      <c r="S30" s="1575">
        <f t="shared" si="12"/>
        <v>100</v>
      </c>
      <c r="T30" s="1574" t="s">
        <v>8</v>
      </c>
      <c r="U30" s="1575">
        <f t="shared" si="13"/>
        <v>100</v>
      </c>
      <c r="V30" s="1574" t="s">
        <v>8</v>
      </c>
      <c r="W30" s="1575">
        <f t="shared" si="14"/>
        <v>100</v>
      </c>
      <c r="X30" s="1568"/>
      <c r="Y30" s="341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19"/>
      <c r="Q31" s="1573">
        <f t="shared" si="11"/>
        <v>111</v>
      </c>
      <c r="R31" s="1574" t="s">
        <v>8</v>
      </c>
      <c r="S31" s="1575">
        <f t="shared" si="12"/>
        <v>100</v>
      </c>
      <c r="T31" s="1574" t="s">
        <v>8</v>
      </c>
      <c r="U31" s="1575">
        <f t="shared" si="13"/>
        <v>100</v>
      </c>
      <c r="V31" s="1574" t="s">
        <v>8</v>
      </c>
      <c r="W31" s="1575">
        <f t="shared" si="14"/>
        <v>100</v>
      </c>
      <c r="X31" s="1568"/>
      <c r="Y31" s="3419"/>
      <c r="Z31" s="1576">
        <f t="shared" si="15"/>
        <v>111</v>
      </c>
      <c r="AA31" s="1577">
        <f t="shared" si="3"/>
        <v>1</v>
      </c>
      <c r="AB31" s="1577">
        <f t="shared" si="4"/>
        <v>1</v>
      </c>
      <c r="AC31" s="1577">
        <f t="shared" si="5"/>
        <v>1</v>
      </c>
    </row>
    <row r="32" spans="1:29" ht="15">
      <c r="A32" s="2909"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20" t="s">
        <v>549</v>
      </c>
      <c r="Q32" s="1573" t="str">
        <f t="shared" si="11"/>
        <v>商业类型</v>
      </c>
      <c r="R32" s="1574" t="s">
        <v>8</v>
      </c>
      <c r="S32" s="1575">
        <f t="shared" si="12"/>
        <v>100</v>
      </c>
      <c r="T32" s="1574" t="s">
        <v>8</v>
      </c>
      <c r="U32" s="1575">
        <f t="shared" si="13"/>
        <v>100</v>
      </c>
      <c r="V32" s="1574" t="s">
        <v>8</v>
      </c>
      <c r="W32" s="1575">
        <f t="shared" si="14"/>
        <v>100</v>
      </c>
      <c r="X32" s="1568"/>
      <c r="Y32" s="3421"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21"/>
      <c r="Q33" s="1606" t="str">
        <f t="shared" si="11"/>
        <v>项目建筑规模</v>
      </c>
      <c r="R33" s="1578" t="s">
        <v>8</v>
      </c>
      <c r="S33" s="1579" t="e">
        <f t="shared" si="12"/>
        <v>#N/A</v>
      </c>
      <c r="T33" s="1578" t="s">
        <v>8</v>
      </c>
      <c r="U33" s="1579" t="e">
        <f t="shared" si="13"/>
        <v>#N/A</v>
      </c>
      <c r="V33" s="1578" t="s">
        <v>8</v>
      </c>
      <c r="W33" s="1579" t="e">
        <f t="shared" si="14"/>
        <v>#N/A</v>
      </c>
      <c r="X33" s="1580"/>
      <c r="Y33" s="3421"/>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21"/>
      <c r="Q34" s="1573" t="str">
        <f t="shared" si="11"/>
        <v>建筑结构</v>
      </c>
      <c r="R34" s="1574" t="s">
        <v>8</v>
      </c>
      <c r="S34" s="1575">
        <f t="shared" si="12"/>
        <v>100</v>
      </c>
      <c r="T34" s="1574" t="s">
        <v>8</v>
      </c>
      <c r="U34" s="1575">
        <f t="shared" si="13"/>
        <v>100</v>
      </c>
      <c r="V34" s="1574" t="s">
        <v>8</v>
      </c>
      <c r="W34" s="1575">
        <f t="shared" si="14"/>
        <v>100</v>
      </c>
      <c r="X34" s="1568"/>
      <c r="Y34" s="3421"/>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21"/>
      <c r="Q35" s="1573" t="str">
        <f t="shared" si="11"/>
        <v>公共部分装修</v>
      </c>
      <c r="R35" s="1574" t="s">
        <v>8</v>
      </c>
      <c r="S35" s="1575">
        <f t="shared" si="12"/>
        <v>100</v>
      </c>
      <c r="T35" s="1574" t="s">
        <v>8</v>
      </c>
      <c r="U35" s="1575">
        <f t="shared" si="13"/>
        <v>100</v>
      </c>
      <c r="V35" s="1574" t="s">
        <v>8</v>
      </c>
      <c r="W35" s="1575">
        <f t="shared" si="14"/>
        <v>100</v>
      </c>
      <c r="X35" s="1568"/>
      <c r="Y35" s="3421"/>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21"/>
      <c r="Q36" s="1573" t="str">
        <f t="shared" si="11"/>
        <v>成新度</v>
      </c>
      <c r="R36" s="1574" t="s">
        <v>8</v>
      </c>
      <c r="S36" s="1575" t="e">
        <f t="shared" si="12"/>
        <v>#N/A</v>
      </c>
      <c r="T36" s="1574" t="s">
        <v>8</v>
      </c>
      <c r="U36" s="1575" t="e">
        <f t="shared" si="13"/>
        <v>#N/A</v>
      </c>
      <c r="V36" s="1574" t="s">
        <v>8</v>
      </c>
      <c r="W36" s="1575" t="e">
        <f t="shared" si="14"/>
        <v>#N/A</v>
      </c>
      <c r="X36" s="1568"/>
      <c r="Y36" s="3421"/>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21"/>
      <c r="Q37" s="1151" t="str">
        <f t="shared" si="11"/>
        <v>市政基础设施</v>
      </c>
      <c r="R37" s="1569" t="s">
        <v>8</v>
      </c>
      <c r="S37" s="1570">
        <f t="shared" si="12"/>
        <v>100</v>
      </c>
      <c r="T37" s="1569" t="s">
        <v>8</v>
      </c>
      <c r="U37" s="1570">
        <f t="shared" si="13"/>
        <v>100</v>
      </c>
      <c r="V37" s="1569" t="s">
        <v>8</v>
      </c>
      <c r="W37" s="1570">
        <f t="shared" si="14"/>
        <v>100</v>
      </c>
      <c r="X37" s="1571"/>
      <c r="Y37" s="3421"/>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21" t="s">
        <v>765</v>
      </c>
      <c r="Q38" s="1573" t="str">
        <f t="shared" si="11"/>
        <v>业态</v>
      </c>
      <c r="R38" s="1574" t="s">
        <v>8</v>
      </c>
      <c r="S38" s="1575">
        <f t="shared" si="12"/>
        <v>100</v>
      </c>
      <c r="T38" s="1574" t="s">
        <v>8</v>
      </c>
      <c r="U38" s="1575">
        <f t="shared" si="13"/>
        <v>100</v>
      </c>
      <c r="V38" s="1574" t="s">
        <v>8</v>
      </c>
      <c r="W38" s="1575">
        <f t="shared" si="14"/>
        <v>100</v>
      </c>
      <c r="X38" s="1568"/>
      <c r="Y38" s="3421"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1"/>
      <c r="Q39" s="1573" t="str">
        <f t="shared" si="11"/>
        <v>层高</v>
      </c>
      <c r="R39" s="1574" t="s">
        <v>8</v>
      </c>
      <c r="S39" s="1575">
        <f t="shared" si="12"/>
        <v>100</v>
      </c>
      <c r="T39" s="1574" t="s">
        <v>8</v>
      </c>
      <c r="U39" s="1575">
        <f t="shared" si="13"/>
        <v>100</v>
      </c>
      <c r="V39" s="1574" t="s">
        <v>8</v>
      </c>
      <c r="W39" s="1575">
        <f t="shared" si="14"/>
        <v>100</v>
      </c>
      <c r="X39" s="1568"/>
      <c r="Y39" s="3421"/>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1"/>
      <c r="Q40" s="1573" t="str">
        <f t="shared" si="11"/>
        <v>单套建筑面积</v>
      </c>
      <c r="R40" s="1574" t="s">
        <v>8</v>
      </c>
      <c r="S40" s="1575">
        <f t="shared" si="12"/>
        <v>100</v>
      </c>
      <c r="T40" s="1574" t="s">
        <v>8</v>
      </c>
      <c r="U40" s="1575">
        <f t="shared" si="13"/>
        <v>100</v>
      </c>
      <c r="V40" s="1574" t="s">
        <v>8</v>
      </c>
      <c r="W40" s="1575">
        <f t="shared" si="14"/>
        <v>100</v>
      </c>
      <c r="X40" s="1568"/>
      <c r="Y40" s="3421"/>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21"/>
      <c r="Q41" s="1606" t="str">
        <f t="shared" si="11"/>
        <v>进深比</v>
      </c>
      <c r="R41" s="1578" t="s">
        <v>8</v>
      </c>
      <c r="S41" s="1579">
        <f t="shared" si="12"/>
        <v>100</v>
      </c>
      <c r="T41" s="1578" t="s">
        <v>8</v>
      </c>
      <c r="U41" s="1579">
        <f t="shared" si="13"/>
        <v>100</v>
      </c>
      <c r="V41" s="1578" t="s">
        <v>8</v>
      </c>
      <c r="W41" s="1579">
        <f t="shared" si="14"/>
        <v>100</v>
      </c>
      <c r="X41" s="1580"/>
      <c r="Y41" s="3421"/>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21"/>
      <c r="Q42" s="1573" t="str">
        <f t="shared" si="11"/>
        <v>内部装修</v>
      </c>
      <c r="R42" s="1574" t="s">
        <v>8</v>
      </c>
      <c r="S42" s="1575">
        <f t="shared" si="12"/>
        <v>100</v>
      </c>
      <c r="T42" s="1574" t="s">
        <v>8</v>
      </c>
      <c r="U42" s="1575">
        <f t="shared" si="13"/>
        <v>100</v>
      </c>
      <c r="V42" s="1574" t="s">
        <v>8</v>
      </c>
      <c r="W42" s="1575">
        <f t="shared" si="14"/>
        <v>100</v>
      </c>
      <c r="X42" s="1568"/>
      <c r="Y42" s="3421"/>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21"/>
      <c r="Q43" s="1573" t="str">
        <f t="shared" si="11"/>
        <v>内部装修维护情况</v>
      </c>
      <c r="R43" s="1574" t="s">
        <v>8</v>
      </c>
      <c r="S43" s="1575">
        <f t="shared" si="12"/>
        <v>100</v>
      </c>
      <c r="T43" s="1574" t="s">
        <v>8</v>
      </c>
      <c r="U43" s="1575">
        <f t="shared" si="13"/>
        <v>100</v>
      </c>
      <c r="V43" s="1574" t="s">
        <v>8</v>
      </c>
      <c r="W43" s="1575">
        <f t="shared" si="14"/>
        <v>100</v>
      </c>
      <c r="X43" s="1568"/>
      <c r="Y43" s="342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1"/>
      <c r="Q44" s="1151">
        <f t="shared" si="11"/>
        <v>111</v>
      </c>
      <c r="R44" s="1569" t="s">
        <v>8</v>
      </c>
      <c r="S44" s="1570">
        <f t="shared" si="12"/>
        <v>100</v>
      </c>
      <c r="T44" s="1569" t="s">
        <v>8</v>
      </c>
      <c r="U44" s="1570">
        <f t="shared" si="13"/>
        <v>100</v>
      </c>
      <c r="V44" s="1569" t="s">
        <v>8</v>
      </c>
      <c r="W44" s="1570">
        <f t="shared" si="14"/>
        <v>100</v>
      </c>
      <c r="X44" s="1571"/>
      <c r="Y44" s="342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1"/>
      <c r="Q45" s="1573">
        <f t="shared" si="11"/>
        <v>111</v>
      </c>
      <c r="R45" s="1574" t="s">
        <v>8</v>
      </c>
      <c r="S45" s="1575">
        <f t="shared" si="12"/>
        <v>100</v>
      </c>
      <c r="T45" s="1574" t="s">
        <v>8</v>
      </c>
      <c r="U45" s="1575">
        <f t="shared" si="13"/>
        <v>100</v>
      </c>
      <c r="V45" s="1574" t="s">
        <v>8</v>
      </c>
      <c r="W45" s="1575">
        <f t="shared" si="14"/>
        <v>100</v>
      </c>
      <c r="X45" s="1568"/>
      <c r="Y45" s="342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6"/>
      <c r="Q46" s="1573">
        <f t="shared" si="11"/>
        <v>111</v>
      </c>
      <c r="R46" s="1574" t="s">
        <v>8</v>
      </c>
      <c r="S46" s="1575">
        <f t="shared" si="12"/>
        <v>100</v>
      </c>
      <c r="T46" s="1574" t="s">
        <v>8</v>
      </c>
      <c r="U46" s="1575">
        <f t="shared" si="13"/>
        <v>100</v>
      </c>
      <c r="V46" s="1574" t="s">
        <v>8</v>
      </c>
      <c r="W46" s="1575">
        <f t="shared" si="14"/>
        <v>100</v>
      </c>
      <c r="X46" s="1568"/>
      <c r="Y46" s="3496"/>
      <c r="Z46" s="1576">
        <f t="shared" si="15"/>
        <v>111</v>
      </c>
      <c r="AA46" s="1577">
        <f t="shared" si="3"/>
        <v>1</v>
      </c>
      <c r="AB46" s="1577">
        <f t="shared" si="4"/>
        <v>1</v>
      </c>
      <c r="AC46" s="1577">
        <f t="shared" si="5"/>
        <v>1</v>
      </c>
    </row>
    <row r="47" spans="1:29" ht="15">
      <c r="A47" s="607" t="s">
        <v>735</v>
      </c>
      <c r="B47" s="887"/>
      <c r="C47" s="2629" t="s">
        <v>1</v>
      </c>
      <c r="D47" s="2630"/>
      <c r="E47" s="2631"/>
      <c r="F47" s="2632"/>
      <c r="G47" s="2633"/>
      <c r="H47" s="2634"/>
      <c r="I47" s="2631"/>
      <c r="J47" s="2634"/>
      <c r="K47" s="1612"/>
      <c r="L47" s="2146"/>
      <c r="M47" s="2147"/>
      <c r="N47" s="2136"/>
      <c r="O47" s="2147"/>
      <c r="P47" s="3384" t="str">
        <f>A47</f>
        <v>成交单价（元/平方米）</v>
      </c>
      <c r="Q47" s="3384"/>
      <c r="R47" s="3495">
        <f>E47</f>
        <v>0</v>
      </c>
      <c r="S47" s="3495"/>
      <c r="T47" s="3495">
        <f>G47</f>
        <v>0</v>
      </c>
      <c r="U47" s="3495"/>
      <c r="V47" s="3495">
        <f>I47</f>
        <v>0</v>
      </c>
      <c r="W47" s="3495"/>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84" t="str">
        <f>A48</f>
        <v>比较价格（元/平方米）</v>
      </c>
      <c r="Q48" s="338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381" t="str">
        <f>A49</f>
        <v>估价对象XX用房的比较价格（楼面单价，元/平方米）</v>
      </c>
      <c r="Q49" s="3382"/>
      <c r="R49" s="3494" t="e">
        <f>IF(F1="售价",ROUND(AVERAGE(R48:V48),0),ROUND(AVERAGE(R48:V48),1))</f>
        <v>#DIV/0!</v>
      </c>
      <c r="S49" s="3494"/>
      <c r="T49" s="3494"/>
      <c r="U49" s="3494"/>
      <c r="V49" s="3494"/>
      <c r="W49" s="349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4"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9"/>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390" t="s">
        <v>521</v>
      </c>
      <c r="D4" s="3391"/>
      <c r="E4" s="3424" t="s">
        <v>522</v>
      </c>
      <c r="F4" s="3425"/>
      <c r="G4" s="3390" t="s">
        <v>523</v>
      </c>
      <c r="H4" s="3391"/>
      <c r="I4" s="3390" t="s">
        <v>524</v>
      </c>
      <c r="J4" s="3391"/>
      <c r="K4" s="514" t="s">
        <v>525</v>
      </c>
      <c r="L4" s="2135"/>
      <c r="M4" s="2136"/>
      <c r="N4" s="2136"/>
      <c r="O4" s="2136"/>
      <c r="P4" s="3504" t="s">
        <v>526</v>
      </c>
      <c r="Q4" s="3393"/>
      <c r="R4" s="3398" t="s">
        <v>522</v>
      </c>
      <c r="S4" s="3399"/>
      <c r="T4" s="3398" t="s">
        <v>523</v>
      </c>
      <c r="U4" s="3399"/>
      <c r="V4" s="3385" t="s">
        <v>524</v>
      </c>
      <c r="W4" s="3385"/>
      <c r="X4" s="1568"/>
      <c r="Y4" s="3398" t="s">
        <v>526</v>
      </c>
      <c r="Z4" s="3399"/>
      <c r="AA4" s="3387" t="s">
        <v>522</v>
      </c>
      <c r="AB4" s="3387" t="s">
        <v>523</v>
      </c>
      <c r="AC4" s="3387" t="s">
        <v>524</v>
      </c>
    </row>
    <row r="5" spans="1:29" ht="15">
      <c r="A5" s="515"/>
      <c r="B5" s="516"/>
      <c r="C5" s="3406" t="s">
        <v>2930</v>
      </c>
      <c r="D5" s="3407"/>
      <c r="E5" s="3426" t="s">
        <v>2931</v>
      </c>
      <c r="F5" s="3427"/>
      <c r="G5" s="3406" t="s">
        <v>2932</v>
      </c>
      <c r="H5" s="3407"/>
      <c r="I5" s="3406" t="s">
        <v>2933</v>
      </c>
      <c r="J5" s="3407"/>
      <c r="K5" s="514"/>
      <c r="L5" s="2135"/>
      <c r="M5" s="2136"/>
      <c r="N5" s="2136"/>
      <c r="O5" s="2136"/>
      <c r="P5" s="3505"/>
      <c r="Q5" s="3395"/>
      <c r="R5" s="3400"/>
      <c r="S5" s="3401"/>
      <c r="T5" s="3400"/>
      <c r="U5" s="3401"/>
      <c r="V5" s="3385"/>
      <c r="W5" s="3385"/>
      <c r="X5" s="1568"/>
      <c r="Y5" s="3400"/>
      <c r="Z5" s="3401"/>
      <c r="AA5" s="3388"/>
      <c r="AB5" s="3388"/>
      <c r="AC5" s="3388"/>
    </row>
    <row r="6" spans="1:29" ht="15.75" thickBot="1">
      <c r="A6" s="517"/>
      <c r="B6" s="518"/>
      <c r="C6" s="3404" t="s">
        <v>2934</v>
      </c>
      <c r="D6" s="3405"/>
      <c r="E6" s="3422" t="s">
        <v>2934</v>
      </c>
      <c r="F6" s="3423"/>
      <c r="G6" s="3404" t="s">
        <v>2934</v>
      </c>
      <c r="H6" s="3405"/>
      <c r="I6" s="3404" t="s">
        <v>2934</v>
      </c>
      <c r="J6" s="3405"/>
      <c r="K6" s="514" t="s">
        <v>527</v>
      </c>
      <c r="L6" s="2135"/>
      <c r="M6" s="2136"/>
      <c r="N6" s="2136"/>
      <c r="O6" s="2136"/>
      <c r="P6" s="3506"/>
      <c r="Q6" s="3397"/>
      <c r="R6" s="3400"/>
      <c r="S6" s="3401"/>
      <c r="T6" s="3402"/>
      <c r="U6" s="3403"/>
      <c r="V6" s="3385"/>
      <c r="W6" s="3385"/>
      <c r="X6" s="1568"/>
      <c r="Y6" s="3402"/>
      <c r="Z6" s="3403"/>
      <c r="AA6" s="3389"/>
      <c r="AB6" s="3389"/>
      <c r="AC6" s="3389"/>
    </row>
    <row r="7" spans="1:29" s="1220" customFormat="1" ht="15.75" thickBot="1">
      <c r="A7" s="2914"/>
      <c r="B7" s="2921" t="s">
        <v>528</v>
      </c>
      <c r="C7" s="519">
        <f>'数据-取费表'!B2</f>
        <v>43276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17" t="s">
        <v>529</v>
      </c>
      <c r="Q7" s="3417"/>
      <c r="R7" s="1569" t="s">
        <v>8</v>
      </c>
      <c r="S7" s="1570">
        <f t="shared" ref="S7:S15" si="0">F7</f>
        <v>0</v>
      </c>
      <c r="T7" s="1569" t="s">
        <v>8</v>
      </c>
      <c r="U7" s="1570">
        <f t="shared" ref="U7:U15" si="1">H7</f>
        <v>0</v>
      </c>
      <c r="V7" s="1569" t="s">
        <v>8</v>
      </c>
      <c r="W7" s="1570">
        <f t="shared" ref="W7:W15" si="2">J7</f>
        <v>0</v>
      </c>
      <c r="X7" s="1571"/>
      <c r="Y7" s="3415" t="s">
        <v>529</v>
      </c>
      <c r="Z7" s="3416"/>
      <c r="AA7" s="1572" t="e">
        <f>D7/F7</f>
        <v>#DIV/0!</v>
      </c>
      <c r="AB7" s="1572" t="e">
        <f>D7/H7</f>
        <v>#DIV/0!</v>
      </c>
      <c r="AC7" s="1572" t="e">
        <f>D7/J7</f>
        <v>#DIV/0!</v>
      </c>
    </row>
    <row r="8" spans="1:29" s="1220" customFormat="1" ht="15.75" thickBot="1">
      <c r="A8" s="2915"/>
      <c r="B8" s="2922"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17" t="s">
        <v>532</v>
      </c>
      <c r="Q8" s="3416"/>
      <c r="R8" s="1569" t="s">
        <v>8</v>
      </c>
      <c r="S8" s="1570">
        <f t="shared" si="0"/>
        <v>0</v>
      </c>
      <c r="T8" s="1569" t="s">
        <v>8</v>
      </c>
      <c r="U8" s="1570">
        <f t="shared" si="1"/>
        <v>0</v>
      </c>
      <c r="V8" s="1569" t="s">
        <v>8</v>
      </c>
      <c r="W8" s="1570">
        <f t="shared" si="2"/>
        <v>0</v>
      </c>
      <c r="X8" s="1571"/>
      <c r="Y8" s="3415" t="s">
        <v>532</v>
      </c>
      <c r="Z8" s="3416"/>
      <c r="AA8" s="1572" t="e">
        <f t="shared" ref="AA8:AA47" si="3">D8/F8</f>
        <v>#DIV/0!</v>
      </c>
      <c r="AB8" s="1572" t="e">
        <f t="shared" ref="AB8:AB47" si="4">D8/H8</f>
        <v>#DIV/0!</v>
      </c>
      <c r="AC8" s="1572" t="e">
        <f t="shared" ref="AC8:AC47" si="5">D8/J8</f>
        <v>#DIV/0!</v>
      </c>
    </row>
    <row r="9" spans="1:29" s="1220" customFormat="1" ht="15">
      <c r="A9" s="2916"/>
      <c r="B9" s="2923" t="s">
        <v>2758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4" t="s">
        <v>534</v>
      </c>
      <c r="Q9" s="1151" t="str">
        <f t="shared" ref="Q9:Q15" si="6">B9</f>
        <v>用途</v>
      </c>
      <c r="R9" s="1569" t="s">
        <v>8</v>
      </c>
      <c r="S9" s="1570">
        <f t="shared" si="0"/>
        <v>100</v>
      </c>
      <c r="T9" s="1569" t="s">
        <v>8</v>
      </c>
      <c r="U9" s="1570">
        <f t="shared" si="1"/>
        <v>100</v>
      </c>
      <c r="V9" s="1569" t="s">
        <v>8</v>
      </c>
      <c r="W9" s="1570">
        <f t="shared" si="2"/>
        <v>100</v>
      </c>
      <c r="X9" s="1571"/>
      <c r="Y9" s="3330"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4"/>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71.25">
      <c r="A15" s="2912"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18" t="s">
        <v>539</v>
      </c>
      <c r="Q15" s="1573" t="str">
        <f t="shared" si="6"/>
        <v>办公集聚程度</v>
      </c>
      <c r="R15" s="1574" t="s">
        <v>8</v>
      </c>
      <c r="S15" s="1575">
        <f t="shared" si="0"/>
        <v>100</v>
      </c>
      <c r="T15" s="1574" t="s">
        <v>8</v>
      </c>
      <c r="U15" s="1575">
        <f t="shared" si="1"/>
        <v>100</v>
      </c>
      <c r="V15" s="1574" t="s">
        <v>8</v>
      </c>
      <c r="W15" s="1575">
        <f t="shared" si="2"/>
        <v>100</v>
      </c>
      <c r="X15" s="1568"/>
      <c r="Y15" s="3418"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19"/>
      <c r="Q16" s="1573"/>
      <c r="R16" s="1574"/>
      <c r="S16" s="1575"/>
      <c r="T16" s="1574"/>
      <c r="U16" s="1575"/>
      <c r="V16" s="1574"/>
      <c r="W16" s="1575"/>
      <c r="X16" s="1568"/>
      <c r="Y16" s="3419"/>
      <c r="Z16" s="1576"/>
      <c r="AA16" s="1577">
        <v>1</v>
      </c>
      <c r="AB16" s="1577">
        <v>1</v>
      </c>
      <c r="AC16" s="1577">
        <v>1</v>
      </c>
    </row>
    <row r="17" spans="1:29" ht="42.75">
      <c r="A17" s="532"/>
      <c r="B17" s="560" t="s">
        <v>295</v>
      </c>
      <c r="C17" s="573" t="str">
        <f>估价对象房地状况!C6</f>
        <v>临支路，1公里内无公共交通，较差</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19"/>
      <c r="Q17" s="1573" t="str">
        <f>B17</f>
        <v>交通便捷度</v>
      </c>
      <c r="R17" s="1574" t="s">
        <v>8</v>
      </c>
      <c r="S17" s="1575">
        <f>F17</f>
        <v>100</v>
      </c>
      <c r="T17" s="1574" t="s">
        <v>8</v>
      </c>
      <c r="U17" s="1575">
        <f>H17</f>
        <v>100</v>
      </c>
      <c r="V17" s="1574" t="s">
        <v>8</v>
      </c>
      <c r="W17" s="1575">
        <f>J17</f>
        <v>100</v>
      </c>
      <c r="X17" s="1568"/>
      <c r="Y17" s="341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19"/>
      <c r="Q18" s="1573"/>
      <c r="R18" s="1574"/>
      <c r="S18" s="1575"/>
      <c r="T18" s="1574"/>
      <c r="U18" s="1575"/>
      <c r="V18" s="1574"/>
      <c r="W18" s="1575"/>
      <c r="X18" s="1568"/>
      <c r="Y18" s="3419"/>
      <c r="Z18" s="1576"/>
      <c r="AA18" s="1577">
        <v>1</v>
      </c>
      <c r="AB18" s="1577">
        <v>1</v>
      </c>
      <c r="AC18" s="1577">
        <v>1</v>
      </c>
    </row>
    <row r="19" spans="1:29" ht="42.75">
      <c r="A19" s="532"/>
      <c r="B19" s="2605" t="s">
        <v>2548</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19"/>
      <c r="Q19" s="1573" t="str">
        <f>B19</f>
        <v>公共配套设施</v>
      </c>
      <c r="R19" s="1574" t="s">
        <v>8</v>
      </c>
      <c r="S19" s="1575">
        <f>F19</f>
        <v>100</v>
      </c>
      <c r="T19" s="1574" t="s">
        <v>8</v>
      </c>
      <c r="U19" s="1575">
        <f>H19</f>
        <v>100</v>
      </c>
      <c r="V19" s="1574" t="s">
        <v>8</v>
      </c>
      <c r="W19" s="1575">
        <f>J19</f>
        <v>100</v>
      </c>
      <c r="X19" s="1568"/>
      <c r="Y19" s="341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19"/>
      <c r="Q20" s="1573"/>
      <c r="R20" s="1574"/>
      <c r="S20" s="1575"/>
      <c r="T20" s="1574"/>
      <c r="U20" s="1575"/>
      <c r="V20" s="1574"/>
      <c r="W20" s="1575"/>
      <c r="X20" s="1568"/>
      <c r="Y20" s="3419"/>
      <c r="Z20" s="1576"/>
      <c r="AA20" s="1577">
        <v>1</v>
      </c>
      <c r="AB20" s="1577">
        <v>1</v>
      </c>
      <c r="AC20" s="1577">
        <v>1</v>
      </c>
    </row>
    <row r="21" spans="1:29" ht="42.75">
      <c r="A21" s="532"/>
      <c r="B21" s="2593" t="s">
        <v>2560</v>
      </c>
      <c r="C21" s="573" t="str">
        <f>估价对象房地状况!C8</f>
        <v>估价对象所在区域基础设施水平七通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19"/>
      <c r="Q21" s="2581" t="str">
        <f>B21</f>
        <v>基础设施水平</v>
      </c>
      <c r="R21" s="1574" t="s">
        <v>8</v>
      </c>
      <c r="S21" s="1575">
        <f>F21</f>
        <v>100</v>
      </c>
      <c r="T21" s="1574" t="s">
        <v>8</v>
      </c>
      <c r="U21" s="1575">
        <f>H21</f>
        <v>100</v>
      </c>
      <c r="V21" s="1574" t="s">
        <v>8</v>
      </c>
      <c r="W21" s="1575">
        <f>J21</f>
        <v>100</v>
      </c>
      <c r="X21" s="2583"/>
      <c r="Y21" s="3419"/>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19"/>
      <c r="Q22" s="2581"/>
      <c r="R22" s="1574"/>
      <c r="S22" s="1575"/>
      <c r="T22" s="1574"/>
      <c r="U22" s="1575"/>
      <c r="V22" s="1574"/>
      <c r="W22" s="1575"/>
      <c r="X22" s="2583"/>
      <c r="Y22" s="3419"/>
      <c r="Z22" s="2582"/>
      <c r="AA22" s="1577">
        <v>1</v>
      </c>
      <c r="AB22" s="1577">
        <v>1</v>
      </c>
      <c r="AC22" s="1577">
        <v>1</v>
      </c>
    </row>
    <row r="23" spans="1:29" ht="85.5">
      <c r="A23" s="532"/>
      <c r="B23" s="560" t="s">
        <v>777</v>
      </c>
      <c r="C23" s="573" t="str">
        <f>估价对象房地状况!C9</f>
        <v>贾平凹文化艺术馆、鹦鹉寺公园、西安工程大学、北京大学光华管理学院西安分院，较好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19"/>
      <c r="Q23" s="1573" t="str">
        <f>B23</f>
        <v>环境质量</v>
      </c>
      <c r="R23" s="1574" t="s">
        <v>8</v>
      </c>
      <c r="S23" s="1575">
        <f>F23</f>
        <v>100</v>
      </c>
      <c r="T23" s="1574" t="s">
        <v>8</v>
      </c>
      <c r="U23" s="1575">
        <f>H23</f>
        <v>100</v>
      </c>
      <c r="V23" s="1574" t="s">
        <v>8</v>
      </c>
      <c r="W23" s="1575">
        <f>J23</f>
        <v>100</v>
      </c>
      <c r="X23" s="1568"/>
      <c r="Y23" s="341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19"/>
      <c r="Q24" s="1573"/>
      <c r="R24" s="1574"/>
      <c r="S24" s="1575"/>
      <c r="T24" s="1574"/>
      <c r="U24" s="1575"/>
      <c r="V24" s="1574"/>
      <c r="W24" s="1575"/>
      <c r="X24" s="1568"/>
      <c r="Y24" s="3419"/>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19"/>
      <c r="Q25" s="1573" t="str">
        <f>B25</f>
        <v>毗邻道路的类型与等级</v>
      </c>
      <c r="R25" s="1574" t="s">
        <v>8</v>
      </c>
      <c r="S25" s="1575">
        <f>F25</f>
        <v>100</v>
      </c>
      <c r="T25" s="1574" t="s">
        <v>8</v>
      </c>
      <c r="U25" s="1575">
        <f>H25</f>
        <v>100</v>
      </c>
      <c r="V25" s="1574" t="s">
        <v>8</v>
      </c>
      <c r="W25" s="1575">
        <f>J25</f>
        <v>100</v>
      </c>
      <c r="X25" s="1568"/>
      <c r="Y25" s="341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19"/>
      <c r="Q26" s="1573"/>
      <c r="R26" s="1574"/>
      <c r="S26" s="1575"/>
      <c r="T26" s="1574"/>
      <c r="U26" s="1575"/>
      <c r="V26" s="1574"/>
      <c r="W26" s="1575"/>
      <c r="X26" s="1568"/>
      <c r="Y26" s="3419"/>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19"/>
      <c r="Q27" s="1573" t="str">
        <f t="shared" ref="Q27:Q47" si="11">B27</f>
        <v>楼层</v>
      </c>
      <c r="R27" s="1574" t="s">
        <v>8</v>
      </c>
      <c r="S27" s="1575">
        <f>F27</f>
        <v>100</v>
      </c>
      <c r="T27" s="1574" t="s">
        <v>8</v>
      </c>
      <c r="U27" s="1575">
        <f>H27</f>
        <v>100</v>
      </c>
      <c r="V27" s="1574" t="s">
        <v>8</v>
      </c>
      <c r="W27" s="1575">
        <f>J27</f>
        <v>100</v>
      </c>
      <c r="X27" s="1568"/>
      <c r="Y27" s="3419"/>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19"/>
      <c r="Q28" s="1151" t="str">
        <f t="shared" si="11"/>
        <v>朝向</v>
      </c>
      <c r="R28" s="1569" t="s">
        <v>8</v>
      </c>
      <c r="S28" s="1570">
        <f>F28</f>
        <v>100</v>
      </c>
      <c r="T28" s="1569" t="s">
        <v>8</v>
      </c>
      <c r="U28" s="1570">
        <f>H28</f>
        <v>100</v>
      </c>
      <c r="V28" s="1569" t="s">
        <v>8</v>
      </c>
      <c r="W28" s="1570">
        <f>J28</f>
        <v>100</v>
      </c>
      <c r="X28" s="1571"/>
      <c r="Y28" s="341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19"/>
      <c r="Q29" s="1573">
        <f t="shared" si="11"/>
        <v>111</v>
      </c>
      <c r="R29" s="1574" t="s">
        <v>8</v>
      </c>
      <c r="S29" s="1575">
        <f t="shared" ref="S29:S47" si="12">F29</f>
        <v>100</v>
      </c>
      <c r="T29" s="1574" t="s">
        <v>8</v>
      </c>
      <c r="U29" s="1575">
        <f t="shared" ref="U29:U47" si="13">H29</f>
        <v>100</v>
      </c>
      <c r="V29" s="1574" t="s">
        <v>8</v>
      </c>
      <c r="W29" s="1575">
        <f t="shared" ref="W29:W47" si="14">J29</f>
        <v>100</v>
      </c>
      <c r="X29" s="1568"/>
      <c r="Y29" s="341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19"/>
      <c r="Q30" s="1573">
        <f t="shared" si="11"/>
        <v>111</v>
      </c>
      <c r="R30" s="1574" t="s">
        <v>8</v>
      </c>
      <c r="S30" s="1575">
        <f t="shared" si="12"/>
        <v>100</v>
      </c>
      <c r="T30" s="1574" t="s">
        <v>8</v>
      </c>
      <c r="U30" s="1575">
        <f t="shared" si="13"/>
        <v>100</v>
      </c>
      <c r="V30" s="1574" t="s">
        <v>8</v>
      </c>
      <c r="W30" s="1575">
        <f t="shared" si="14"/>
        <v>100</v>
      </c>
      <c r="X30" s="1568"/>
      <c r="Y30" s="341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19"/>
      <c r="Q31" s="1573">
        <f t="shared" si="11"/>
        <v>111</v>
      </c>
      <c r="R31" s="1574" t="s">
        <v>8</v>
      </c>
      <c r="S31" s="1575">
        <f t="shared" si="12"/>
        <v>100</v>
      </c>
      <c r="T31" s="1574" t="s">
        <v>8</v>
      </c>
      <c r="U31" s="1575">
        <f t="shared" si="13"/>
        <v>100</v>
      </c>
      <c r="V31" s="1574" t="s">
        <v>8</v>
      </c>
      <c r="W31" s="1575">
        <f t="shared" si="14"/>
        <v>100</v>
      </c>
      <c r="X31" s="1568"/>
      <c r="Y31" s="341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19"/>
      <c r="Q32" s="1573">
        <f t="shared" si="11"/>
        <v>111</v>
      </c>
      <c r="R32" s="1574" t="s">
        <v>8</v>
      </c>
      <c r="S32" s="1575">
        <f t="shared" si="12"/>
        <v>100</v>
      </c>
      <c r="T32" s="1574" t="s">
        <v>8</v>
      </c>
      <c r="U32" s="1575">
        <f t="shared" si="13"/>
        <v>100</v>
      </c>
      <c r="V32" s="1574" t="s">
        <v>8</v>
      </c>
      <c r="W32" s="1575">
        <f t="shared" si="14"/>
        <v>100</v>
      </c>
      <c r="X32" s="1568"/>
      <c r="Y32" s="3419"/>
      <c r="Z32" s="1576">
        <f t="shared" si="15"/>
        <v>111</v>
      </c>
      <c r="AA32" s="1577">
        <f t="shared" si="3"/>
        <v>1</v>
      </c>
      <c r="AB32" s="1577">
        <f t="shared" si="4"/>
        <v>1</v>
      </c>
      <c r="AC32" s="1577">
        <f t="shared" si="5"/>
        <v>1</v>
      </c>
    </row>
    <row r="33" spans="1:29" ht="15">
      <c r="A33" s="2909"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0" t="s">
        <v>549</v>
      </c>
      <c r="Q33" s="1573" t="str">
        <f t="shared" si="11"/>
        <v>建筑类型</v>
      </c>
      <c r="R33" s="1574" t="s">
        <v>8</v>
      </c>
      <c r="S33" s="1575">
        <f t="shared" si="12"/>
        <v>100</v>
      </c>
      <c r="T33" s="1574" t="s">
        <v>8</v>
      </c>
      <c r="U33" s="1575">
        <f t="shared" si="13"/>
        <v>100</v>
      </c>
      <c r="V33" s="1574" t="s">
        <v>8</v>
      </c>
      <c r="W33" s="1575">
        <f t="shared" si="14"/>
        <v>100</v>
      </c>
      <c r="X33" s="1568"/>
      <c r="Y33" s="3421"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1"/>
      <c r="Q34" s="1606" t="str">
        <f t="shared" si="11"/>
        <v>项目建筑规模</v>
      </c>
      <c r="R34" s="1578" t="s">
        <v>8</v>
      </c>
      <c r="S34" s="1579" t="e">
        <f t="shared" si="12"/>
        <v>#N/A</v>
      </c>
      <c r="T34" s="1578" t="s">
        <v>8</v>
      </c>
      <c r="U34" s="1579" t="e">
        <f t="shared" si="13"/>
        <v>#N/A</v>
      </c>
      <c r="V34" s="1578" t="s">
        <v>8</v>
      </c>
      <c r="W34" s="1579" t="e">
        <f t="shared" si="14"/>
        <v>#N/A</v>
      </c>
      <c r="X34" s="1580"/>
      <c r="Y34" s="3421"/>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1"/>
      <c r="Q35" s="1573" t="str">
        <f t="shared" si="11"/>
        <v>建筑结构</v>
      </c>
      <c r="R35" s="1574" t="s">
        <v>8</v>
      </c>
      <c r="S35" s="1575">
        <f t="shared" si="12"/>
        <v>100</v>
      </c>
      <c r="T35" s="1574" t="s">
        <v>8</v>
      </c>
      <c r="U35" s="1575">
        <f t="shared" si="13"/>
        <v>100</v>
      </c>
      <c r="V35" s="1574" t="s">
        <v>8</v>
      </c>
      <c r="W35" s="1575">
        <f t="shared" si="14"/>
        <v>100</v>
      </c>
      <c r="X35" s="1568"/>
      <c r="Y35" s="3421"/>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1"/>
      <c r="Q36" s="1573" t="str">
        <f t="shared" si="11"/>
        <v>公共部分装修</v>
      </c>
      <c r="R36" s="1574" t="s">
        <v>8</v>
      </c>
      <c r="S36" s="1575">
        <f t="shared" si="12"/>
        <v>100</v>
      </c>
      <c r="T36" s="1574" t="s">
        <v>8</v>
      </c>
      <c r="U36" s="1575">
        <f t="shared" si="13"/>
        <v>100</v>
      </c>
      <c r="V36" s="1574" t="s">
        <v>8</v>
      </c>
      <c r="W36" s="1575">
        <f t="shared" si="14"/>
        <v>100</v>
      </c>
      <c r="X36" s="1568"/>
      <c r="Y36" s="3421"/>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1"/>
      <c r="Q37" s="1573" t="str">
        <f t="shared" si="11"/>
        <v>成新度</v>
      </c>
      <c r="R37" s="1574" t="s">
        <v>8</v>
      </c>
      <c r="S37" s="1575" t="e">
        <f t="shared" si="12"/>
        <v>#N/A</v>
      </c>
      <c r="T37" s="1574" t="s">
        <v>8</v>
      </c>
      <c r="U37" s="1575" t="e">
        <f t="shared" si="13"/>
        <v>#N/A</v>
      </c>
      <c r="V37" s="1574" t="s">
        <v>8</v>
      </c>
      <c r="W37" s="1575" t="e">
        <f t="shared" si="14"/>
        <v>#N/A</v>
      </c>
      <c r="X37" s="1568"/>
      <c r="Y37" s="3421"/>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1"/>
      <c r="Q38" s="1151" t="str">
        <f t="shared" si="11"/>
        <v>写字楼等级</v>
      </c>
      <c r="R38" s="1569" t="s">
        <v>8</v>
      </c>
      <c r="S38" s="1570">
        <f t="shared" si="12"/>
        <v>100</v>
      </c>
      <c r="T38" s="1569" t="s">
        <v>8</v>
      </c>
      <c r="U38" s="1570">
        <f t="shared" si="13"/>
        <v>100</v>
      </c>
      <c r="V38" s="1569" t="s">
        <v>8</v>
      </c>
      <c r="W38" s="1570">
        <f t="shared" si="14"/>
        <v>100</v>
      </c>
      <c r="X38" s="1571"/>
      <c r="Y38" s="3421"/>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1" t="s">
        <v>549</v>
      </c>
      <c r="Q39" s="1573" t="str">
        <f t="shared" si="11"/>
        <v>物业管理</v>
      </c>
      <c r="R39" s="1574" t="s">
        <v>8</v>
      </c>
      <c r="S39" s="1575">
        <f t="shared" si="12"/>
        <v>100</v>
      </c>
      <c r="T39" s="1574" t="s">
        <v>8</v>
      </c>
      <c r="U39" s="1575">
        <f t="shared" si="13"/>
        <v>100</v>
      </c>
      <c r="V39" s="1574" t="s">
        <v>8</v>
      </c>
      <c r="W39" s="1575">
        <f t="shared" si="14"/>
        <v>100</v>
      </c>
      <c r="X39" s="1568"/>
      <c r="Y39" s="3421" t="s">
        <v>549</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1"/>
      <c r="Q40" s="1573" t="str">
        <f t="shared" si="11"/>
        <v>市政基础设施</v>
      </c>
      <c r="R40" s="1574" t="s">
        <v>8</v>
      </c>
      <c r="S40" s="1575">
        <f t="shared" si="12"/>
        <v>100</v>
      </c>
      <c r="T40" s="1574" t="s">
        <v>8</v>
      </c>
      <c r="U40" s="1575">
        <f t="shared" si="13"/>
        <v>100</v>
      </c>
      <c r="V40" s="1574" t="s">
        <v>8</v>
      </c>
      <c r="W40" s="1575">
        <f t="shared" si="14"/>
        <v>100</v>
      </c>
      <c r="X40" s="1568"/>
      <c r="Y40" s="3421"/>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1"/>
      <c r="Q41" s="1573" t="str">
        <f t="shared" si="11"/>
        <v>层高</v>
      </c>
      <c r="R41" s="1574" t="s">
        <v>8</v>
      </c>
      <c r="S41" s="1575">
        <f t="shared" si="12"/>
        <v>100</v>
      </c>
      <c r="T41" s="1574" t="s">
        <v>8</v>
      </c>
      <c r="U41" s="1575">
        <f t="shared" si="13"/>
        <v>100</v>
      </c>
      <c r="V41" s="1574" t="s">
        <v>8</v>
      </c>
      <c r="W41" s="1575">
        <f t="shared" si="14"/>
        <v>100</v>
      </c>
      <c r="X41" s="1568"/>
      <c r="Y41" s="3421"/>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1"/>
      <c r="Q42" s="1606" t="str">
        <f t="shared" si="11"/>
        <v>单套建筑面积</v>
      </c>
      <c r="R42" s="1578" t="s">
        <v>8</v>
      </c>
      <c r="S42" s="1579">
        <f t="shared" si="12"/>
        <v>100</v>
      </c>
      <c r="T42" s="1578" t="s">
        <v>8</v>
      </c>
      <c r="U42" s="1579">
        <f t="shared" si="13"/>
        <v>100</v>
      </c>
      <c r="V42" s="1578" t="s">
        <v>8</v>
      </c>
      <c r="W42" s="1579">
        <f t="shared" si="14"/>
        <v>100</v>
      </c>
      <c r="X42" s="1580"/>
      <c r="Y42" s="3421"/>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1"/>
      <c r="Q43" s="1573" t="str">
        <f t="shared" si="11"/>
        <v>内部装修</v>
      </c>
      <c r="R43" s="1574" t="s">
        <v>8</v>
      </c>
      <c r="S43" s="1575">
        <f t="shared" si="12"/>
        <v>100</v>
      </c>
      <c r="T43" s="1574" t="s">
        <v>8</v>
      </c>
      <c r="U43" s="1575">
        <f t="shared" si="13"/>
        <v>100</v>
      </c>
      <c r="V43" s="1574" t="s">
        <v>8</v>
      </c>
      <c r="W43" s="1575">
        <f t="shared" si="14"/>
        <v>100</v>
      </c>
      <c r="X43" s="1568"/>
      <c r="Y43" s="3421"/>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1"/>
      <c r="Q44" s="1573" t="str">
        <f t="shared" si="11"/>
        <v>内部装修维护情况</v>
      </c>
      <c r="R44" s="1574" t="s">
        <v>8</v>
      </c>
      <c r="S44" s="1575">
        <f t="shared" si="12"/>
        <v>100</v>
      </c>
      <c r="T44" s="1574" t="s">
        <v>8</v>
      </c>
      <c r="U44" s="1575">
        <f t="shared" si="13"/>
        <v>100</v>
      </c>
      <c r="V44" s="1574" t="s">
        <v>8</v>
      </c>
      <c r="W44" s="1575">
        <f t="shared" si="14"/>
        <v>100</v>
      </c>
      <c r="X44" s="1568"/>
      <c r="Y44" s="342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1"/>
      <c r="Q45" s="1151">
        <f t="shared" si="11"/>
        <v>111</v>
      </c>
      <c r="R45" s="1569" t="s">
        <v>8</v>
      </c>
      <c r="S45" s="1570">
        <f t="shared" si="12"/>
        <v>100</v>
      </c>
      <c r="T45" s="1569" t="s">
        <v>8</v>
      </c>
      <c r="U45" s="1570">
        <f t="shared" si="13"/>
        <v>100</v>
      </c>
      <c r="V45" s="1569" t="s">
        <v>8</v>
      </c>
      <c r="W45" s="1570">
        <f t="shared" si="14"/>
        <v>100</v>
      </c>
      <c r="X45" s="1571"/>
      <c r="Y45" s="342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1"/>
      <c r="Q46" s="1573">
        <f t="shared" si="11"/>
        <v>111</v>
      </c>
      <c r="R46" s="1574" t="s">
        <v>8</v>
      </c>
      <c r="S46" s="1575">
        <f t="shared" si="12"/>
        <v>100</v>
      </c>
      <c r="T46" s="1574" t="s">
        <v>8</v>
      </c>
      <c r="U46" s="1575">
        <f t="shared" si="13"/>
        <v>100</v>
      </c>
      <c r="V46" s="1574" t="s">
        <v>8</v>
      </c>
      <c r="W46" s="1575">
        <f t="shared" si="14"/>
        <v>100</v>
      </c>
      <c r="X46" s="1568"/>
      <c r="Y46" s="342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6"/>
      <c r="Q47" s="1573">
        <f t="shared" si="11"/>
        <v>111</v>
      </c>
      <c r="R47" s="1574" t="s">
        <v>8</v>
      </c>
      <c r="S47" s="1575">
        <f t="shared" si="12"/>
        <v>100</v>
      </c>
      <c r="T47" s="1574" t="s">
        <v>8</v>
      </c>
      <c r="U47" s="1575">
        <f t="shared" si="13"/>
        <v>100</v>
      </c>
      <c r="V47" s="1574" t="s">
        <v>8</v>
      </c>
      <c r="W47" s="1575">
        <f t="shared" si="14"/>
        <v>100</v>
      </c>
      <c r="X47" s="1568"/>
      <c r="Y47" s="3496"/>
      <c r="Z47" s="1576">
        <f t="shared" si="15"/>
        <v>111</v>
      </c>
      <c r="AA47" s="1577">
        <f t="shared" si="3"/>
        <v>1</v>
      </c>
      <c r="AB47" s="1577">
        <f t="shared" si="4"/>
        <v>1</v>
      </c>
      <c r="AC47" s="1577">
        <f t="shared" si="5"/>
        <v>1</v>
      </c>
    </row>
    <row r="48" spans="1:29" ht="15">
      <c r="A48" s="607" t="s">
        <v>735</v>
      </c>
      <c r="B48" s="887"/>
      <c r="C48" s="2629" t="s">
        <v>1</v>
      </c>
      <c r="D48" s="2630"/>
      <c r="E48" s="2631"/>
      <c r="F48" s="2632"/>
      <c r="G48" s="2633"/>
      <c r="H48" s="2634"/>
      <c r="I48" s="2631"/>
      <c r="J48" s="2634"/>
      <c r="K48" s="1612"/>
      <c r="L48" s="2146"/>
      <c r="M48" s="2136"/>
      <c r="N48" s="2136"/>
      <c r="O48" s="2136"/>
      <c r="P48" s="3382" t="str">
        <f>A48</f>
        <v>成交单价（元/平方米）</v>
      </c>
      <c r="Q48" s="3384"/>
      <c r="R48" s="3495">
        <f>E48</f>
        <v>0</v>
      </c>
      <c r="S48" s="3495"/>
      <c r="T48" s="3495">
        <f>G48</f>
        <v>0</v>
      </c>
      <c r="U48" s="3495"/>
      <c r="V48" s="3495">
        <f>I48</f>
        <v>0</v>
      </c>
      <c r="W48" s="3495"/>
      <c r="X48" s="1560"/>
      <c r="Y48" s="1582"/>
      <c r="Z48" s="1560"/>
      <c r="AA48" s="1560"/>
      <c r="AB48" s="1560"/>
      <c r="AC48" s="1560"/>
    </row>
    <row r="49" spans="1:29" ht="15.75" thickBot="1">
      <c r="A49" s="615" t="s">
        <v>2762</v>
      </c>
      <c r="B49" s="888"/>
      <c r="C49" s="2635" t="e">
        <f>R50</f>
        <v>#DIV/0!</v>
      </c>
      <c r="D49" s="2636"/>
      <c r="E49" s="2637" t="e">
        <f>R49</f>
        <v>#DIV/0!</v>
      </c>
      <c r="F49" s="2637"/>
      <c r="G49" s="2635" t="e">
        <f>T49</f>
        <v>#DIV/0!</v>
      </c>
      <c r="H49" s="2636"/>
      <c r="I49" s="2637" t="e">
        <f>V49</f>
        <v>#DIV/0!</v>
      </c>
      <c r="J49" s="2636"/>
      <c r="K49" s="1613"/>
      <c r="L49" s="2146"/>
      <c r="M49" s="2136"/>
      <c r="N49" s="2136"/>
      <c r="O49" s="2136"/>
      <c r="P49" s="3382" t="str">
        <f>A49</f>
        <v>比较价格（元/平方米）</v>
      </c>
      <c r="Q49" s="3384"/>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503" t="str">
        <f>A50</f>
        <v>估价对象XX用房的比较价格（楼面单价，元/平方米）</v>
      </c>
      <c r="Q50" s="3382"/>
      <c r="R50" s="3494" t="e">
        <f>IF(F1="售价",ROUND(AVERAGE(R49:V49),0),ROUND(AVERAGE(R49:V49),1))</f>
        <v>#DIV/0!</v>
      </c>
      <c r="S50" s="3494"/>
      <c r="T50" s="3494"/>
      <c r="U50" s="3494"/>
      <c r="V50" s="3494"/>
      <c r="W50" s="349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04" t="str">
        <f>YEAR(C7)&amp;"-"&amp;MONTH(C7)</f>
        <v>2018-6</v>
      </c>
      <c r="D59" s="2806">
        <f>EDATE(C59,-1)</f>
        <v>43221</v>
      </c>
      <c r="E59" s="2806">
        <f t="shared" ref="E59:O59" si="16">EDATE(D59,-1)</f>
        <v>43191</v>
      </c>
      <c r="F59" s="2806">
        <f t="shared" si="16"/>
        <v>43160</v>
      </c>
      <c r="G59" s="2806">
        <f t="shared" si="16"/>
        <v>43132</v>
      </c>
      <c r="H59" s="2806">
        <f t="shared" si="16"/>
        <v>43101</v>
      </c>
      <c r="I59" s="2806">
        <f t="shared" si="16"/>
        <v>43070</v>
      </c>
      <c r="J59" s="2806">
        <f t="shared" si="16"/>
        <v>43040</v>
      </c>
      <c r="K59" s="2806">
        <f t="shared" si="16"/>
        <v>43009</v>
      </c>
      <c r="L59" s="2806">
        <f t="shared" si="16"/>
        <v>42979</v>
      </c>
      <c r="M59" s="2806">
        <f t="shared" si="16"/>
        <v>42948</v>
      </c>
      <c r="N59" s="2806">
        <f t="shared" si="16"/>
        <v>42917</v>
      </c>
      <c r="O59" s="2806">
        <f t="shared" si="16"/>
        <v>42887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390" t="s">
        <v>521</v>
      </c>
      <c r="D4" s="3391"/>
      <c r="E4" s="3424" t="s">
        <v>522</v>
      </c>
      <c r="F4" s="3425"/>
      <c r="G4" s="3390" t="s">
        <v>523</v>
      </c>
      <c r="H4" s="3391"/>
      <c r="I4" s="3390" t="s">
        <v>524</v>
      </c>
      <c r="J4" s="3391"/>
      <c r="K4" s="514" t="s">
        <v>525</v>
      </c>
      <c r="L4" s="2135"/>
      <c r="M4" s="2136"/>
      <c r="N4" s="2136"/>
      <c r="O4" s="2136"/>
      <c r="P4" s="3392" t="s">
        <v>526</v>
      </c>
      <c r="Q4" s="3393"/>
      <c r="R4" s="3398" t="s">
        <v>522</v>
      </c>
      <c r="S4" s="3399"/>
      <c r="T4" s="3398" t="s">
        <v>523</v>
      </c>
      <c r="U4" s="3399"/>
      <c r="V4" s="3385" t="s">
        <v>524</v>
      </c>
      <c r="W4" s="3385"/>
      <c r="X4" s="1568"/>
      <c r="Y4" s="3398" t="s">
        <v>526</v>
      </c>
      <c r="Z4" s="3399"/>
      <c r="AA4" s="3387" t="s">
        <v>522</v>
      </c>
      <c r="AB4" s="3388" t="s">
        <v>523</v>
      </c>
      <c r="AC4" s="3387" t="s">
        <v>524</v>
      </c>
    </row>
    <row r="5" spans="1:29" ht="15">
      <c r="A5" s="515"/>
      <c r="B5" s="516"/>
      <c r="C5" s="3406" t="s">
        <v>2930</v>
      </c>
      <c r="D5" s="3407"/>
      <c r="E5" s="3426" t="s">
        <v>2931</v>
      </c>
      <c r="F5" s="3427"/>
      <c r="G5" s="3406" t="s">
        <v>2932</v>
      </c>
      <c r="H5" s="3407"/>
      <c r="I5" s="3406" t="s">
        <v>2933</v>
      </c>
      <c r="J5" s="3407"/>
      <c r="K5" s="514"/>
      <c r="L5" s="2135"/>
      <c r="M5" s="2136"/>
      <c r="N5" s="2136"/>
      <c r="O5" s="2136"/>
      <c r="P5" s="3394"/>
      <c r="Q5" s="3395"/>
      <c r="R5" s="3400"/>
      <c r="S5" s="3401"/>
      <c r="T5" s="3400"/>
      <c r="U5" s="3401"/>
      <c r="V5" s="3385"/>
      <c r="W5" s="3385"/>
      <c r="X5" s="1568"/>
      <c r="Y5" s="3400"/>
      <c r="Z5" s="3401"/>
      <c r="AA5" s="3388"/>
      <c r="AB5" s="3388"/>
      <c r="AC5" s="3388"/>
    </row>
    <row r="6" spans="1:29" ht="15.75" thickBot="1">
      <c r="A6" s="517"/>
      <c r="B6" s="518"/>
      <c r="C6" s="3404" t="s">
        <v>2934</v>
      </c>
      <c r="D6" s="3405"/>
      <c r="E6" s="3422" t="s">
        <v>2934</v>
      </c>
      <c r="F6" s="3423"/>
      <c r="G6" s="3404" t="s">
        <v>2934</v>
      </c>
      <c r="H6" s="3405"/>
      <c r="I6" s="3404" t="s">
        <v>2934</v>
      </c>
      <c r="J6" s="3405"/>
      <c r="K6" s="514" t="s">
        <v>527</v>
      </c>
      <c r="L6" s="2135"/>
      <c r="M6" s="2136"/>
      <c r="N6" s="2136"/>
      <c r="O6" s="2136"/>
      <c r="P6" s="3396"/>
      <c r="Q6" s="3397"/>
      <c r="R6" s="3400"/>
      <c r="S6" s="3401"/>
      <c r="T6" s="3402"/>
      <c r="U6" s="3403"/>
      <c r="V6" s="3385"/>
      <c r="W6" s="3385"/>
      <c r="X6" s="1568"/>
      <c r="Y6" s="3402"/>
      <c r="Z6" s="3403"/>
      <c r="AA6" s="3389"/>
      <c r="AB6" s="3389"/>
      <c r="AC6" s="3389"/>
    </row>
    <row r="7" spans="1:29" s="1220" customFormat="1" ht="15.75" thickBot="1">
      <c r="A7" s="2914"/>
      <c r="B7" s="2921" t="s">
        <v>528</v>
      </c>
      <c r="C7" s="519">
        <f>'数据-取费表'!B2</f>
        <v>43276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5" t="s">
        <v>529</v>
      </c>
      <c r="Q7" s="3417"/>
      <c r="R7" s="1569" t="s">
        <v>8</v>
      </c>
      <c r="S7" s="1570">
        <f t="shared" ref="S7:S15" si="0">F7</f>
        <v>0</v>
      </c>
      <c r="T7" s="1569" t="s">
        <v>8</v>
      </c>
      <c r="U7" s="1570">
        <f t="shared" ref="U7:U15" si="1">H7</f>
        <v>0</v>
      </c>
      <c r="V7" s="1569" t="s">
        <v>8</v>
      </c>
      <c r="W7" s="1570">
        <f t="shared" ref="W7:W15" si="2">J7</f>
        <v>0</v>
      </c>
      <c r="X7" s="1571"/>
      <c r="Y7" s="3415" t="s">
        <v>529</v>
      </c>
      <c r="Z7" s="3416"/>
      <c r="AA7" s="1572" t="e">
        <f>D7/F7</f>
        <v>#DIV/0!</v>
      </c>
      <c r="AB7" s="1572" t="e">
        <f>D7/H7</f>
        <v>#DIV/0!</v>
      </c>
      <c r="AC7" s="1572" t="e">
        <f>D7/J7</f>
        <v>#DIV/0!</v>
      </c>
    </row>
    <row r="8" spans="1:29" s="1220" customFormat="1" ht="15.75" thickBot="1">
      <c r="A8" s="2915"/>
      <c r="B8" s="2922"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5" t="s">
        <v>532</v>
      </c>
      <c r="Q8" s="3416"/>
      <c r="R8" s="1569" t="s">
        <v>8</v>
      </c>
      <c r="S8" s="1570">
        <f t="shared" si="0"/>
        <v>0</v>
      </c>
      <c r="T8" s="1569" t="s">
        <v>8</v>
      </c>
      <c r="U8" s="1570">
        <f t="shared" si="1"/>
        <v>0</v>
      </c>
      <c r="V8" s="1569" t="s">
        <v>8</v>
      </c>
      <c r="W8" s="1570">
        <f t="shared" si="2"/>
        <v>0</v>
      </c>
      <c r="X8" s="1571"/>
      <c r="Y8" s="3415" t="s">
        <v>532</v>
      </c>
      <c r="Z8" s="3416"/>
      <c r="AA8" s="1572" t="e">
        <f t="shared" ref="AA8:AA40" si="3">D8/F8</f>
        <v>#DIV/0!</v>
      </c>
      <c r="AB8" s="1572" t="e">
        <f t="shared" ref="AB8:AB40" si="4">D8/H8</f>
        <v>#DIV/0!</v>
      </c>
      <c r="AC8" s="1572" t="e">
        <f t="shared" ref="AC8:AC40" si="5">D8/J8</f>
        <v>#DIV/0!</v>
      </c>
    </row>
    <row r="9" spans="1:29" s="1220" customFormat="1" ht="15">
      <c r="A9" s="2916"/>
      <c r="B9" s="2923"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4" t="s">
        <v>534</v>
      </c>
      <c r="Q9" s="1151" t="str">
        <f t="shared" ref="Q9:Q15" si="6">B9</f>
        <v>用途</v>
      </c>
      <c r="R9" s="1569" t="s">
        <v>8</v>
      </c>
      <c r="S9" s="1570">
        <f t="shared" si="0"/>
        <v>100</v>
      </c>
      <c r="T9" s="1569" t="s">
        <v>8</v>
      </c>
      <c r="U9" s="1570">
        <f t="shared" si="1"/>
        <v>100</v>
      </c>
      <c r="V9" s="1569" t="s">
        <v>8</v>
      </c>
      <c r="W9" s="1570">
        <f t="shared" si="2"/>
        <v>100</v>
      </c>
      <c r="X9" s="1571"/>
      <c r="Y9" s="3330"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4"/>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57">
      <c r="A15" s="2912"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18" t="s">
        <v>539</v>
      </c>
      <c r="Q15" s="1573" t="str">
        <f t="shared" si="6"/>
        <v>产业集聚程度</v>
      </c>
      <c r="R15" s="1574" t="s">
        <v>8</v>
      </c>
      <c r="S15" s="1575">
        <f t="shared" si="0"/>
        <v>100</v>
      </c>
      <c r="T15" s="1574" t="s">
        <v>8</v>
      </c>
      <c r="U15" s="1575">
        <f t="shared" si="1"/>
        <v>100</v>
      </c>
      <c r="V15" s="1574" t="s">
        <v>8</v>
      </c>
      <c r="W15" s="1575">
        <f t="shared" si="2"/>
        <v>100</v>
      </c>
      <c r="X15" s="1568"/>
      <c r="Y15" s="3418"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9"/>
      <c r="Q16" s="1573"/>
      <c r="R16" s="1574"/>
      <c r="S16" s="1575"/>
      <c r="T16" s="1574"/>
      <c r="U16" s="1575"/>
      <c r="V16" s="1574"/>
      <c r="W16" s="1575"/>
      <c r="X16" s="1568"/>
      <c r="Y16" s="3419"/>
      <c r="Z16" s="1576"/>
      <c r="AA16" s="1577">
        <v>1</v>
      </c>
      <c r="AB16" s="1577">
        <v>1</v>
      </c>
      <c r="AC16" s="1577">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19"/>
      <c r="Q17" s="1573" t="str">
        <f>B17</f>
        <v>交通便捷度</v>
      </c>
      <c r="R17" s="1574" t="s">
        <v>8</v>
      </c>
      <c r="S17" s="1575">
        <f>F17</f>
        <v>100</v>
      </c>
      <c r="T17" s="1574" t="s">
        <v>8</v>
      </c>
      <c r="U17" s="1575">
        <f>H17</f>
        <v>100</v>
      </c>
      <c r="V17" s="1574" t="s">
        <v>8</v>
      </c>
      <c r="W17" s="1575">
        <f>J17</f>
        <v>100</v>
      </c>
      <c r="X17" s="1568"/>
      <c r="Y17" s="341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9"/>
      <c r="Q18" s="1573"/>
      <c r="R18" s="1574"/>
      <c r="S18" s="1575"/>
      <c r="T18" s="1574"/>
      <c r="U18" s="1575"/>
      <c r="V18" s="1574"/>
      <c r="W18" s="1575"/>
      <c r="X18" s="1568"/>
      <c r="Y18" s="3419"/>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19"/>
      <c r="Q19" s="1573" t="str">
        <f>B19</f>
        <v>公共配套设施</v>
      </c>
      <c r="R19" s="1574" t="s">
        <v>8</v>
      </c>
      <c r="S19" s="1575">
        <f>F19</f>
        <v>100</v>
      </c>
      <c r="T19" s="1574" t="s">
        <v>8</v>
      </c>
      <c r="U19" s="1575">
        <f>H19</f>
        <v>100</v>
      </c>
      <c r="V19" s="1574" t="s">
        <v>8</v>
      </c>
      <c r="W19" s="1575">
        <f>J19</f>
        <v>100</v>
      </c>
      <c r="X19" s="1568"/>
      <c r="Y19" s="341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19"/>
      <c r="Q20" s="1573"/>
      <c r="R20" s="1574"/>
      <c r="S20" s="1575"/>
      <c r="T20" s="1574"/>
      <c r="U20" s="1575"/>
      <c r="V20" s="1574"/>
      <c r="W20" s="1575"/>
      <c r="X20" s="1568"/>
      <c r="Y20" s="3419"/>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19"/>
      <c r="Q21" s="2581" t="str">
        <f>B21</f>
        <v>基础设施水平</v>
      </c>
      <c r="R21" s="1574" t="s">
        <v>8</v>
      </c>
      <c r="S21" s="1575">
        <f>F21</f>
        <v>100</v>
      </c>
      <c r="T21" s="1574" t="s">
        <v>8</v>
      </c>
      <c r="U21" s="1575">
        <f>H21</f>
        <v>100</v>
      </c>
      <c r="V21" s="1574" t="s">
        <v>8</v>
      </c>
      <c r="W21" s="1575">
        <f>J21</f>
        <v>100</v>
      </c>
      <c r="X21" s="2583"/>
      <c r="Y21" s="3419"/>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19"/>
      <c r="Q22" s="2581"/>
      <c r="R22" s="1574"/>
      <c r="S22" s="1575"/>
      <c r="T22" s="1574"/>
      <c r="U22" s="1575"/>
      <c r="V22" s="1574"/>
      <c r="W22" s="1575"/>
      <c r="X22" s="2583"/>
      <c r="Y22" s="3419"/>
      <c r="Z22" s="2582"/>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19"/>
      <c r="Q23" s="1573" t="str">
        <f>B23</f>
        <v>环境质量</v>
      </c>
      <c r="R23" s="1574" t="s">
        <v>8</v>
      </c>
      <c r="S23" s="1575">
        <f>F23</f>
        <v>100</v>
      </c>
      <c r="T23" s="1574" t="s">
        <v>8</v>
      </c>
      <c r="U23" s="1575">
        <f>H23</f>
        <v>100</v>
      </c>
      <c r="V23" s="1574" t="s">
        <v>8</v>
      </c>
      <c r="W23" s="1575">
        <f>J23</f>
        <v>100</v>
      </c>
      <c r="X23" s="1568"/>
      <c r="Y23" s="341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19"/>
      <c r="Q24" s="1573"/>
      <c r="R24" s="1574"/>
      <c r="S24" s="1575"/>
      <c r="T24" s="1574"/>
      <c r="U24" s="1575"/>
      <c r="V24" s="1574"/>
      <c r="W24" s="1575"/>
      <c r="X24" s="1568"/>
      <c r="Y24" s="341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19"/>
      <c r="Q25" s="1573">
        <f>B25</f>
        <v>111</v>
      </c>
      <c r="R25" s="1574" t="s">
        <v>8</v>
      </c>
      <c r="S25" s="1575">
        <f>F25</f>
        <v>100</v>
      </c>
      <c r="T25" s="1574" t="s">
        <v>8</v>
      </c>
      <c r="U25" s="1575">
        <f>H25</f>
        <v>100</v>
      </c>
      <c r="V25" s="1574" t="s">
        <v>8</v>
      </c>
      <c r="W25" s="1575">
        <f>J25</f>
        <v>100</v>
      </c>
      <c r="X25" s="1568"/>
      <c r="Y25" s="341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19"/>
      <c r="Q26" s="1573">
        <f t="shared" ref="Q26:Q40" si="11">B26</f>
        <v>111</v>
      </c>
      <c r="R26" s="1574" t="s">
        <v>8</v>
      </c>
      <c r="S26" s="1575">
        <f>F26</f>
        <v>100</v>
      </c>
      <c r="T26" s="1574" t="s">
        <v>8</v>
      </c>
      <c r="U26" s="1575">
        <f>H26</f>
        <v>100</v>
      </c>
      <c r="V26" s="1574" t="s">
        <v>8</v>
      </c>
      <c r="W26" s="1575">
        <f>J26</f>
        <v>100</v>
      </c>
      <c r="X26" s="1568"/>
      <c r="Y26" s="341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19"/>
      <c r="Q27" s="1151">
        <f t="shared" si="11"/>
        <v>111</v>
      </c>
      <c r="R27" s="1569" t="s">
        <v>8</v>
      </c>
      <c r="S27" s="1570">
        <f>F27</f>
        <v>100</v>
      </c>
      <c r="T27" s="1569" t="s">
        <v>8</v>
      </c>
      <c r="U27" s="1570">
        <f>H27</f>
        <v>100</v>
      </c>
      <c r="V27" s="1569" t="s">
        <v>8</v>
      </c>
      <c r="W27" s="1570">
        <f>J27</f>
        <v>100</v>
      </c>
      <c r="X27" s="1571"/>
      <c r="Y27" s="341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19"/>
      <c r="Q28" s="1573">
        <f t="shared" si="11"/>
        <v>111</v>
      </c>
      <c r="R28" s="1574" t="s">
        <v>8</v>
      </c>
      <c r="S28" s="1575">
        <f t="shared" ref="S28:S40" si="12">F28</f>
        <v>100</v>
      </c>
      <c r="T28" s="1574" t="s">
        <v>8</v>
      </c>
      <c r="U28" s="1575">
        <f t="shared" ref="U28:U40" si="13">H28</f>
        <v>100</v>
      </c>
      <c r="V28" s="1574" t="s">
        <v>8</v>
      </c>
      <c r="W28" s="1575">
        <f t="shared" ref="W28:W40" si="14">J28</f>
        <v>100</v>
      </c>
      <c r="X28" s="1568"/>
      <c r="Y28" s="3419"/>
      <c r="Z28" s="1576">
        <f t="shared" ref="Z28:Z40" si="15">Q28</f>
        <v>111</v>
      </c>
      <c r="AA28" s="1577">
        <f t="shared" si="3"/>
        <v>1</v>
      </c>
      <c r="AB28" s="1577">
        <f t="shared" si="4"/>
        <v>1</v>
      </c>
      <c r="AC28" s="1577">
        <f t="shared" si="5"/>
        <v>1</v>
      </c>
    </row>
    <row r="29" spans="1:29" ht="15">
      <c r="A29" s="2909"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0" t="s">
        <v>549</v>
      </c>
      <c r="Q29" s="1573" t="str">
        <f t="shared" si="11"/>
        <v>建筑类型</v>
      </c>
      <c r="R29" s="1574" t="s">
        <v>8</v>
      </c>
      <c r="S29" s="1575">
        <f t="shared" si="12"/>
        <v>100</v>
      </c>
      <c r="T29" s="1574" t="s">
        <v>8</v>
      </c>
      <c r="U29" s="1575">
        <f t="shared" si="13"/>
        <v>100</v>
      </c>
      <c r="V29" s="1574" t="s">
        <v>8</v>
      </c>
      <c r="W29" s="1575">
        <f t="shared" si="14"/>
        <v>100</v>
      </c>
      <c r="X29" s="1568"/>
      <c r="Y29" s="3421"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1"/>
      <c r="Q30" s="1606" t="str">
        <f t="shared" si="11"/>
        <v>项目建筑规模</v>
      </c>
      <c r="R30" s="1578" t="s">
        <v>8</v>
      </c>
      <c r="S30" s="1579" t="e">
        <f t="shared" si="12"/>
        <v>#N/A</v>
      </c>
      <c r="T30" s="1578" t="s">
        <v>8</v>
      </c>
      <c r="U30" s="1579" t="e">
        <f t="shared" si="13"/>
        <v>#N/A</v>
      </c>
      <c r="V30" s="1578" t="s">
        <v>8</v>
      </c>
      <c r="W30" s="1579" t="e">
        <f t="shared" si="14"/>
        <v>#N/A</v>
      </c>
      <c r="X30" s="1580"/>
      <c r="Y30" s="3421"/>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1"/>
      <c r="Q31" s="1573" t="str">
        <f t="shared" si="11"/>
        <v>建筑结构</v>
      </c>
      <c r="R31" s="1574" t="s">
        <v>8</v>
      </c>
      <c r="S31" s="1575">
        <f t="shared" si="12"/>
        <v>100</v>
      </c>
      <c r="T31" s="1574" t="s">
        <v>8</v>
      </c>
      <c r="U31" s="1575">
        <f t="shared" si="13"/>
        <v>100</v>
      </c>
      <c r="V31" s="1574" t="s">
        <v>8</v>
      </c>
      <c r="W31" s="1575">
        <f t="shared" si="14"/>
        <v>100</v>
      </c>
      <c r="X31" s="1568"/>
      <c r="Y31" s="3421"/>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1"/>
      <c r="Q32" s="1573" t="str">
        <f t="shared" si="11"/>
        <v>公共部分装修</v>
      </c>
      <c r="R32" s="1574" t="s">
        <v>8</v>
      </c>
      <c r="S32" s="1575">
        <f t="shared" si="12"/>
        <v>100</v>
      </c>
      <c r="T32" s="1574" t="s">
        <v>8</v>
      </c>
      <c r="U32" s="1575">
        <f t="shared" si="13"/>
        <v>100</v>
      </c>
      <c r="V32" s="1574" t="s">
        <v>8</v>
      </c>
      <c r="W32" s="1575">
        <f t="shared" si="14"/>
        <v>100</v>
      </c>
      <c r="X32" s="1568"/>
      <c r="Y32" s="3421"/>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1"/>
      <c r="Q33" s="1573" t="str">
        <f t="shared" si="11"/>
        <v>成新度</v>
      </c>
      <c r="R33" s="1574" t="s">
        <v>8</v>
      </c>
      <c r="S33" s="1575" t="e">
        <f t="shared" si="12"/>
        <v>#N/A</v>
      </c>
      <c r="T33" s="1574" t="s">
        <v>8</v>
      </c>
      <c r="U33" s="1575" t="e">
        <f t="shared" si="13"/>
        <v>#N/A</v>
      </c>
      <c r="V33" s="1574" t="s">
        <v>8</v>
      </c>
      <c r="W33" s="1575" t="e">
        <f t="shared" si="14"/>
        <v>#N/A</v>
      </c>
      <c r="X33" s="1568"/>
      <c r="Y33" s="3421"/>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1"/>
      <c r="Q34" s="1151" t="str">
        <f t="shared" si="11"/>
        <v>物业管理</v>
      </c>
      <c r="R34" s="1569" t="s">
        <v>8</v>
      </c>
      <c r="S34" s="1570">
        <f t="shared" si="12"/>
        <v>100</v>
      </c>
      <c r="T34" s="1569" t="s">
        <v>8</v>
      </c>
      <c r="U34" s="1570">
        <f t="shared" si="13"/>
        <v>100</v>
      </c>
      <c r="V34" s="1569" t="s">
        <v>8</v>
      </c>
      <c r="W34" s="1570">
        <f t="shared" si="14"/>
        <v>100</v>
      </c>
      <c r="X34" s="1571"/>
      <c r="Y34" s="3421"/>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1" t="s">
        <v>549</v>
      </c>
      <c r="Q35" s="1573" t="str">
        <f t="shared" si="11"/>
        <v>市政基础设施</v>
      </c>
      <c r="R35" s="1574" t="s">
        <v>8</v>
      </c>
      <c r="S35" s="1575">
        <f t="shared" si="12"/>
        <v>100</v>
      </c>
      <c r="T35" s="1574" t="s">
        <v>8</v>
      </c>
      <c r="U35" s="1575">
        <f t="shared" si="13"/>
        <v>100</v>
      </c>
      <c r="V35" s="1574" t="s">
        <v>8</v>
      </c>
      <c r="W35" s="1575">
        <f t="shared" si="14"/>
        <v>100</v>
      </c>
      <c r="X35" s="1568"/>
      <c r="Y35" s="3421"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1"/>
      <c r="Q36" s="1573" t="str">
        <f t="shared" si="11"/>
        <v>内部装修</v>
      </c>
      <c r="R36" s="1574" t="s">
        <v>8</v>
      </c>
      <c r="S36" s="1575">
        <f t="shared" si="12"/>
        <v>100</v>
      </c>
      <c r="T36" s="1574" t="s">
        <v>8</v>
      </c>
      <c r="U36" s="1575">
        <f t="shared" si="13"/>
        <v>100</v>
      </c>
      <c r="V36" s="1574" t="s">
        <v>8</v>
      </c>
      <c r="W36" s="1575">
        <f t="shared" si="14"/>
        <v>100</v>
      </c>
      <c r="X36" s="1568"/>
      <c r="Y36" s="3421"/>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1"/>
      <c r="Q37" s="1573" t="str">
        <f t="shared" si="11"/>
        <v>内部装修状况</v>
      </c>
      <c r="R37" s="1574" t="s">
        <v>8</v>
      </c>
      <c r="S37" s="1575">
        <f t="shared" si="12"/>
        <v>100</v>
      </c>
      <c r="T37" s="1574" t="s">
        <v>8</v>
      </c>
      <c r="U37" s="1575">
        <f t="shared" si="13"/>
        <v>100</v>
      </c>
      <c r="V37" s="1574" t="s">
        <v>8</v>
      </c>
      <c r="W37" s="1575">
        <f t="shared" si="14"/>
        <v>100</v>
      </c>
      <c r="X37" s="1568"/>
      <c r="Y37" s="342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1"/>
      <c r="Q38" s="1606">
        <f t="shared" si="11"/>
        <v>111</v>
      </c>
      <c r="R38" s="1578" t="s">
        <v>8</v>
      </c>
      <c r="S38" s="1579">
        <f t="shared" si="12"/>
        <v>100</v>
      </c>
      <c r="T38" s="1578" t="s">
        <v>8</v>
      </c>
      <c r="U38" s="1579">
        <f t="shared" si="13"/>
        <v>100</v>
      </c>
      <c r="V38" s="1578" t="s">
        <v>8</v>
      </c>
      <c r="W38" s="1579">
        <f t="shared" si="14"/>
        <v>100</v>
      </c>
      <c r="X38" s="1580"/>
      <c r="Y38" s="342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1"/>
      <c r="Q39" s="1573">
        <f t="shared" si="11"/>
        <v>111</v>
      </c>
      <c r="R39" s="1574" t="s">
        <v>8</v>
      </c>
      <c r="S39" s="1575">
        <f t="shared" si="12"/>
        <v>100</v>
      </c>
      <c r="T39" s="1574" t="s">
        <v>8</v>
      </c>
      <c r="U39" s="1575">
        <f t="shared" si="13"/>
        <v>100</v>
      </c>
      <c r="V39" s="1574" t="s">
        <v>8</v>
      </c>
      <c r="W39" s="1575">
        <f t="shared" si="14"/>
        <v>100</v>
      </c>
      <c r="X39" s="1568"/>
      <c r="Y39" s="342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6"/>
      <c r="Q40" s="1573">
        <f t="shared" si="11"/>
        <v>111</v>
      </c>
      <c r="R40" s="1574" t="s">
        <v>8</v>
      </c>
      <c r="S40" s="1575">
        <f t="shared" si="12"/>
        <v>100</v>
      </c>
      <c r="T40" s="1574" t="s">
        <v>8</v>
      </c>
      <c r="U40" s="1575">
        <f t="shared" si="13"/>
        <v>100</v>
      </c>
      <c r="V40" s="1574" t="s">
        <v>8</v>
      </c>
      <c r="W40" s="1575">
        <f t="shared" si="14"/>
        <v>100</v>
      </c>
      <c r="X40" s="1568"/>
      <c r="Y40" s="3496"/>
      <c r="Z40" s="1576">
        <f t="shared" si="15"/>
        <v>111</v>
      </c>
      <c r="AA40" s="1577">
        <f t="shared" si="3"/>
        <v>1</v>
      </c>
      <c r="AB40" s="1577">
        <f t="shared" si="4"/>
        <v>1</v>
      </c>
      <c r="AC40" s="1577">
        <f t="shared" si="5"/>
        <v>1</v>
      </c>
    </row>
    <row r="41" spans="1:29" ht="15">
      <c r="A41" s="607" t="s">
        <v>735</v>
      </c>
      <c r="B41" s="887"/>
      <c r="C41" s="2629" t="s">
        <v>1</v>
      </c>
      <c r="D41" s="2630"/>
      <c r="E41" s="2631"/>
      <c r="F41" s="2632"/>
      <c r="G41" s="2633"/>
      <c r="H41" s="2634"/>
      <c r="I41" s="2631"/>
      <c r="J41" s="2634"/>
      <c r="K41" s="1612"/>
      <c r="L41" s="2146"/>
      <c r="M41" s="2147"/>
      <c r="N41" s="2136"/>
      <c r="O41" s="2147"/>
      <c r="P41" s="3384" t="str">
        <f>A41</f>
        <v>成交单价（元/平方米）</v>
      </c>
      <c r="Q41" s="3384"/>
      <c r="R41" s="3495">
        <f>E41</f>
        <v>0</v>
      </c>
      <c r="S41" s="3495"/>
      <c r="T41" s="3495">
        <f>G41</f>
        <v>0</v>
      </c>
      <c r="U41" s="3495"/>
      <c r="V41" s="3495">
        <f>I41</f>
        <v>0</v>
      </c>
      <c r="W41" s="3495"/>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84" t="str">
        <f>A42</f>
        <v>比较价格（元/平方米）</v>
      </c>
      <c r="Q42" s="3384"/>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381" t="str">
        <f>A43</f>
        <v>估价对象XX用房的比较价格（楼面单价，元/平方米）</v>
      </c>
      <c r="Q43" s="3382"/>
      <c r="R43" s="3494" t="e">
        <f>IF(F1="售价",ROUND(AVERAGE(R42:V42),0),ROUND(AVERAGE(R42:V42),1))</f>
        <v>#DIV/0!</v>
      </c>
      <c r="S43" s="3494"/>
      <c r="T43" s="3494"/>
      <c r="U43" s="3494"/>
      <c r="V43" s="3494"/>
      <c r="W43" s="349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04" t="str">
        <f>YEAR(C7)&amp;"-"&amp;MONTH(C7)</f>
        <v>2018-6</v>
      </c>
      <c r="D52" s="2806">
        <f>EDATE(C52,-1)</f>
        <v>43221</v>
      </c>
      <c r="E52" s="2806">
        <f t="shared" ref="E52:O52" si="16">EDATE(D52,-1)</f>
        <v>43191</v>
      </c>
      <c r="F52" s="2806">
        <f t="shared" si="16"/>
        <v>43160</v>
      </c>
      <c r="G52" s="2806">
        <f t="shared" si="16"/>
        <v>43132</v>
      </c>
      <c r="H52" s="2806">
        <f t="shared" si="16"/>
        <v>43101</v>
      </c>
      <c r="I52" s="2806">
        <f t="shared" si="16"/>
        <v>43070</v>
      </c>
      <c r="J52" s="2806">
        <f t="shared" si="16"/>
        <v>43040</v>
      </c>
      <c r="K52" s="2806">
        <f t="shared" si="16"/>
        <v>43009</v>
      </c>
      <c r="L52" s="2806">
        <f t="shared" si="16"/>
        <v>42979</v>
      </c>
      <c r="M52" s="2806">
        <f t="shared" si="16"/>
        <v>42948</v>
      </c>
      <c r="N52" s="2806">
        <f t="shared" si="16"/>
        <v>42917</v>
      </c>
      <c r="O52" s="2806">
        <f t="shared" si="16"/>
        <v>42887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0" t="s">
        <v>797</v>
      </c>
      <c r="D4" s="3391"/>
      <c r="E4" s="3390" t="s">
        <v>798</v>
      </c>
      <c r="F4" s="3391"/>
      <c r="G4" s="3390" t="s">
        <v>799</v>
      </c>
      <c r="H4" s="3391"/>
      <c r="I4" s="3390" t="s">
        <v>800</v>
      </c>
      <c r="J4" s="3391"/>
      <c r="K4" s="514" t="s">
        <v>801</v>
      </c>
      <c r="L4" s="2135"/>
      <c r="M4" s="2136"/>
      <c r="N4" s="2136"/>
      <c r="O4" s="2136"/>
      <c r="P4" s="3392" t="s">
        <v>802</v>
      </c>
      <c r="Q4" s="3393"/>
      <c r="R4" s="3398" t="s">
        <v>798</v>
      </c>
      <c r="S4" s="3399"/>
      <c r="T4" s="3398" t="s">
        <v>799</v>
      </c>
      <c r="U4" s="3399"/>
      <c r="V4" s="3385" t="s">
        <v>800</v>
      </c>
      <c r="W4" s="3385"/>
      <c r="X4" s="1568"/>
      <c r="Y4" s="3398" t="s">
        <v>802</v>
      </c>
      <c r="Z4" s="3399"/>
      <c r="AA4" s="3387" t="s">
        <v>798</v>
      </c>
      <c r="AB4" s="3388" t="s">
        <v>799</v>
      </c>
      <c r="AC4" s="3387" t="s">
        <v>800</v>
      </c>
    </row>
    <row r="5" spans="1:29" ht="15">
      <c r="A5" s="515"/>
      <c r="B5" s="516"/>
      <c r="C5" s="3406" t="s">
        <v>2930</v>
      </c>
      <c r="D5" s="3407"/>
      <c r="E5" s="3406" t="s">
        <v>2931</v>
      </c>
      <c r="F5" s="3407"/>
      <c r="G5" s="3406" t="s">
        <v>2932</v>
      </c>
      <c r="H5" s="3407"/>
      <c r="I5" s="3406" t="s">
        <v>2933</v>
      </c>
      <c r="J5" s="3407"/>
      <c r="K5" s="514"/>
      <c r="L5" s="2135"/>
      <c r="M5" s="2136"/>
      <c r="N5" s="2136"/>
      <c r="O5" s="2136"/>
      <c r="P5" s="3394"/>
      <c r="Q5" s="3395"/>
      <c r="R5" s="3400"/>
      <c r="S5" s="3401"/>
      <c r="T5" s="3400"/>
      <c r="U5" s="3401"/>
      <c r="V5" s="3385"/>
      <c r="W5" s="3385"/>
      <c r="X5" s="1568"/>
      <c r="Y5" s="3400"/>
      <c r="Z5" s="3401"/>
      <c r="AA5" s="3388"/>
      <c r="AB5" s="3388"/>
      <c r="AC5" s="3388"/>
    </row>
    <row r="6" spans="1:29" ht="15.75" thickBot="1">
      <c r="A6" s="517"/>
      <c r="B6" s="518"/>
      <c r="C6" s="3404" t="s">
        <v>2934</v>
      </c>
      <c r="D6" s="3405"/>
      <c r="E6" s="3408" t="s">
        <v>2934</v>
      </c>
      <c r="F6" s="3409"/>
      <c r="G6" s="3404" t="s">
        <v>2934</v>
      </c>
      <c r="H6" s="3405"/>
      <c r="I6" s="3404" t="s">
        <v>2934</v>
      </c>
      <c r="J6" s="3405"/>
      <c r="K6" s="514" t="s">
        <v>527</v>
      </c>
      <c r="L6" s="2135"/>
      <c r="M6" s="2136"/>
      <c r="N6" s="2136"/>
      <c r="O6" s="2136"/>
      <c r="P6" s="3396"/>
      <c r="Q6" s="3397"/>
      <c r="R6" s="3400"/>
      <c r="S6" s="3401"/>
      <c r="T6" s="3402"/>
      <c r="U6" s="3403"/>
      <c r="V6" s="3385"/>
      <c r="W6" s="3385"/>
      <c r="X6" s="1568"/>
      <c r="Y6" s="3402"/>
      <c r="Z6" s="3403"/>
      <c r="AA6" s="3389"/>
      <c r="AB6" s="3389"/>
      <c r="AC6" s="3389"/>
    </row>
    <row r="7" spans="1:29" s="1220" customFormat="1" ht="15.75" thickBot="1">
      <c r="A7" s="2914"/>
      <c r="B7" s="2921" t="s">
        <v>528</v>
      </c>
      <c r="C7" s="519">
        <f>'数据-取费表'!B2</f>
        <v>43276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5" t="s">
        <v>529</v>
      </c>
      <c r="Q7" s="3417"/>
      <c r="R7" s="1569" t="s">
        <v>8</v>
      </c>
      <c r="S7" s="1570">
        <f t="shared" ref="S7:S14" si="0">F7</f>
        <v>0</v>
      </c>
      <c r="T7" s="1569" t="s">
        <v>8</v>
      </c>
      <c r="U7" s="1570">
        <f t="shared" ref="U7:U14" si="1">H7</f>
        <v>0</v>
      </c>
      <c r="V7" s="1569" t="s">
        <v>8</v>
      </c>
      <c r="W7" s="1570">
        <f t="shared" ref="W7:W14" si="2">J7</f>
        <v>0</v>
      </c>
      <c r="X7" s="1571"/>
      <c r="Y7" s="3415" t="s">
        <v>529</v>
      </c>
      <c r="Z7" s="3416"/>
      <c r="AA7" s="1572" t="e">
        <f>D7/F7</f>
        <v>#DIV/0!</v>
      </c>
      <c r="AB7" s="1572" t="e">
        <f>D7/H7</f>
        <v>#DIV/0!</v>
      </c>
      <c r="AC7" s="1572" t="e">
        <f>D7/J7</f>
        <v>#DIV/0!</v>
      </c>
    </row>
    <row r="8" spans="1:29" s="1220" customFormat="1" ht="15.75" thickBot="1">
      <c r="A8" s="2915"/>
      <c r="B8" s="2922"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5" t="s">
        <v>532</v>
      </c>
      <c r="Q8" s="3416"/>
      <c r="R8" s="1569" t="s">
        <v>8</v>
      </c>
      <c r="S8" s="1570">
        <f t="shared" si="0"/>
        <v>0</v>
      </c>
      <c r="T8" s="1569" t="s">
        <v>8</v>
      </c>
      <c r="U8" s="1570">
        <f t="shared" si="1"/>
        <v>0</v>
      </c>
      <c r="V8" s="1569" t="s">
        <v>8</v>
      </c>
      <c r="W8" s="1570">
        <f t="shared" si="2"/>
        <v>0</v>
      </c>
      <c r="X8" s="1571"/>
      <c r="Y8" s="3415" t="s">
        <v>532</v>
      </c>
      <c r="Z8" s="3416"/>
      <c r="AA8" s="1572" t="e">
        <f t="shared" ref="AA8:AA36" si="3">D8/F8</f>
        <v>#DIV/0!</v>
      </c>
      <c r="AB8" s="1572" t="e">
        <f t="shared" ref="AB8:AB36" si="4">D8/H8</f>
        <v>#DIV/0!</v>
      </c>
      <c r="AC8" s="1572" t="e">
        <f t="shared" ref="AC8:AC36" si="5">D8/J8</f>
        <v>#DIV/0!</v>
      </c>
    </row>
    <row r="9" spans="1:29" s="1220" customFormat="1" ht="15">
      <c r="A9" s="2916"/>
      <c r="B9" s="2923" t="s">
        <v>2758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4" t="s">
        <v>534</v>
      </c>
      <c r="Q9" s="1151" t="str">
        <f t="shared" ref="Q9:Q14" si="6">B9</f>
        <v>用途</v>
      </c>
      <c r="R9" s="1569" t="s">
        <v>8</v>
      </c>
      <c r="S9" s="1570">
        <f t="shared" si="0"/>
        <v>100</v>
      </c>
      <c r="T9" s="1569" t="s">
        <v>8</v>
      </c>
      <c r="U9" s="1570">
        <f t="shared" si="1"/>
        <v>100</v>
      </c>
      <c r="V9" s="1569" t="s">
        <v>8</v>
      </c>
      <c r="W9" s="1570">
        <f t="shared" si="2"/>
        <v>100</v>
      </c>
      <c r="X9" s="1571"/>
      <c r="Y9" s="3330"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4"/>
      <c r="Q11" s="1151">
        <f t="shared" si="6"/>
        <v>111</v>
      </c>
      <c r="R11" s="1569" t="s">
        <v>8</v>
      </c>
      <c r="S11" s="1570">
        <f t="shared" si="0"/>
        <v>100</v>
      </c>
      <c r="T11" s="1569" t="s">
        <v>8</v>
      </c>
      <c r="U11" s="1570">
        <f t="shared" si="1"/>
        <v>100</v>
      </c>
      <c r="V11" s="1569" t="s">
        <v>8</v>
      </c>
      <c r="W11" s="1570">
        <f t="shared" si="2"/>
        <v>100</v>
      </c>
      <c r="X11" s="1571"/>
      <c r="Y11" s="3330"/>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42.75">
      <c r="A14" s="2912" t="s">
        <v>2756</v>
      </c>
      <c r="B14" s="547" t="s">
        <v>542</v>
      </c>
      <c r="C14" s="921" t="str">
        <f>IF(B1="工业",估价对象房地状况!G4,估价对象房地状况!C6)</f>
        <v>临支路，1公里内无公共交通，较差</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18" t="s">
        <v>539</v>
      </c>
      <c r="Q14" s="1573" t="str">
        <f t="shared" si="6"/>
        <v>交通便捷度</v>
      </c>
      <c r="R14" s="1574" t="s">
        <v>8</v>
      </c>
      <c r="S14" s="1575">
        <f t="shared" si="0"/>
        <v>100</v>
      </c>
      <c r="T14" s="1574" t="s">
        <v>8</v>
      </c>
      <c r="U14" s="1575">
        <f t="shared" si="1"/>
        <v>100</v>
      </c>
      <c r="V14" s="1574" t="s">
        <v>8</v>
      </c>
      <c r="W14" s="1575">
        <f t="shared" si="2"/>
        <v>100</v>
      </c>
      <c r="X14" s="1568"/>
      <c r="Y14" s="3418"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19"/>
      <c r="Q15" s="1573"/>
      <c r="R15" s="1574"/>
      <c r="S15" s="1575"/>
      <c r="T15" s="1574"/>
      <c r="U15" s="1575"/>
      <c r="V15" s="1574"/>
      <c r="W15" s="1575"/>
      <c r="X15" s="1568"/>
      <c r="Y15" s="3419"/>
      <c r="Z15" s="1576"/>
      <c r="AA15" s="1577">
        <v>1</v>
      </c>
      <c r="AB15" s="1577">
        <v>1</v>
      </c>
      <c r="AC15" s="1577">
        <v>1</v>
      </c>
    </row>
    <row r="16" spans="1:29" ht="42.75">
      <c r="A16" s="515"/>
      <c r="B16" s="2605" t="s">
        <v>2548</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19"/>
      <c r="Q16" s="1573" t="str">
        <f>B16</f>
        <v>公共配套设施</v>
      </c>
      <c r="R16" s="1574" t="s">
        <v>8</v>
      </c>
      <c r="S16" s="1575">
        <f>F16</f>
        <v>100</v>
      </c>
      <c r="T16" s="1574" t="s">
        <v>8</v>
      </c>
      <c r="U16" s="1575">
        <f>H16</f>
        <v>100</v>
      </c>
      <c r="V16" s="1574" t="s">
        <v>8</v>
      </c>
      <c r="W16" s="1575">
        <f>J16</f>
        <v>100</v>
      </c>
      <c r="X16" s="1568"/>
      <c r="Y16" s="341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19"/>
      <c r="Q17" s="1573"/>
      <c r="R17" s="1574"/>
      <c r="S17" s="1575"/>
      <c r="T17" s="1574"/>
      <c r="U17" s="1575"/>
      <c r="V17" s="1574"/>
      <c r="W17" s="1575"/>
      <c r="X17" s="1568"/>
      <c r="Y17" s="3419"/>
      <c r="Z17" s="1576"/>
      <c r="AA17" s="1577">
        <v>1</v>
      </c>
      <c r="AB17" s="1577">
        <v>1</v>
      </c>
      <c r="AC17" s="1577">
        <v>1</v>
      </c>
    </row>
    <row r="18" spans="1:29" ht="42.75">
      <c r="A18" s="515"/>
      <c r="B18" s="2593" t="s">
        <v>2560</v>
      </c>
      <c r="C18" s="872" t="str">
        <f>IF(B1="工业",估价对象房地状况!G6,估价对象房地状况!C8)</f>
        <v>估价对象所在区域基础设施水平七通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19"/>
      <c r="Q18" s="2581" t="str">
        <f>B18</f>
        <v>基础设施水平</v>
      </c>
      <c r="R18" s="1574" t="s">
        <v>8</v>
      </c>
      <c r="S18" s="1575">
        <f>F18</f>
        <v>100</v>
      </c>
      <c r="T18" s="1574" t="s">
        <v>8</v>
      </c>
      <c r="U18" s="1575">
        <f>H18</f>
        <v>100</v>
      </c>
      <c r="V18" s="1574" t="s">
        <v>8</v>
      </c>
      <c r="W18" s="1575">
        <f>J18</f>
        <v>100</v>
      </c>
      <c r="X18" s="2583"/>
      <c r="Y18" s="3419"/>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19"/>
      <c r="Q19" s="2581"/>
      <c r="R19" s="1574"/>
      <c r="S19" s="1575"/>
      <c r="T19" s="1574"/>
      <c r="U19" s="1575"/>
      <c r="V19" s="1574"/>
      <c r="W19" s="1575"/>
      <c r="X19" s="2583"/>
      <c r="Y19" s="3419"/>
      <c r="Z19" s="2582"/>
      <c r="AA19" s="1577">
        <v>1</v>
      </c>
      <c r="AB19" s="1577">
        <v>1</v>
      </c>
      <c r="AC19" s="1577">
        <v>1</v>
      </c>
    </row>
    <row r="20" spans="1:29" ht="85.5">
      <c r="A20" s="515"/>
      <c r="B20" s="560" t="s">
        <v>803</v>
      </c>
      <c r="C20" s="872" t="str">
        <f>IF(B1="工业",估价对象房地状况!G7,估价对象房地状况!C9)</f>
        <v>贾平凹文化艺术馆、鹦鹉寺公园、西安工程大学、北京大学光华管理学院西安分院，较好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19"/>
      <c r="Q20" s="1573" t="str">
        <f>B20</f>
        <v>自然及人文环境</v>
      </c>
      <c r="R20" s="1574" t="s">
        <v>8</v>
      </c>
      <c r="S20" s="1575">
        <f>F20</f>
        <v>100</v>
      </c>
      <c r="T20" s="1574" t="s">
        <v>8</v>
      </c>
      <c r="U20" s="1575">
        <f>H20</f>
        <v>100</v>
      </c>
      <c r="V20" s="1574" t="s">
        <v>8</v>
      </c>
      <c r="W20" s="1575">
        <f>J20</f>
        <v>100</v>
      </c>
      <c r="X20" s="1568"/>
      <c r="Y20" s="341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19"/>
      <c r="Q21" s="1573"/>
      <c r="R21" s="1574"/>
      <c r="S21" s="1575"/>
      <c r="T21" s="1574"/>
      <c r="U21" s="1575"/>
      <c r="V21" s="1574"/>
      <c r="W21" s="1575"/>
      <c r="X21" s="1568"/>
      <c r="Y21" s="3419"/>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19"/>
      <c r="Q22" s="1573" t="str">
        <f>B22</f>
        <v>楼层</v>
      </c>
      <c r="R22" s="1574" t="s">
        <v>8</v>
      </c>
      <c r="S22" s="1575">
        <f>F22</f>
        <v>100</v>
      </c>
      <c r="T22" s="1574" t="s">
        <v>8</v>
      </c>
      <c r="U22" s="1575">
        <f>H22</f>
        <v>100</v>
      </c>
      <c r="V22" s="1574" t="s">
        <v>8</v>
      </c>
      <c r="W22" s="1575">
        <f>J22</f>
        <v>100</v>
      </c>
      <c r="X22" s="1568"/>
      <c r="Y22" s="341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19"/>
      <c r="Q23" s="1573">
        <f>B23</f>
        <v>111</v>
      </c>
      <c r="R23" s="1574" t="s">
        <v>8</v>
      </c>
      <c r="S23" s="1575">
        <f>F23</f>
        <v>100</v>
      </c>
      <c r="T23" s="1574" t="s">
        <v>8</v>
      </c>
      <c r="U23" s="1575">
        <f>H23</f>
        <v>100</v>
      </c>
      <c r="V23" s="1574" t="s">
        <v>8</v>
      </c>
      <c r="W23" s="1575">
        <f>J23</f>
        <v>100</v>
      </c>
      <c r="X23" s="1568"/>
      <c r="Y23" s="341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19"/>
      <c r="Q24" s="1573">
        <f t="shared" ref="Q24:Q36" si="11">B24</f>
        <v>111</v>
      </c>
      <c r="R24" s="1574" t="s">
        <v>8</v>
      </c>
      <c r="S24" s="1575">
        <f>F24</f>
        <v>100</v>
      </c>
      <c r="T24" s="1574" t="s">
        <v>8</v>
      </c>
      <c r="U24" s="1575">
        <f>H24</f>
        <v>100</v>
      </c>
      <c r="V24" s="1574" t="s">
        <v>8</v>
      </c>
      <c r="W24" s="1575">
        <f>J24</f>
        <v>100</v>
      </c>
      <c r="X24" s="1568"/>
      <c r="Y24" s="341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19"/>
      <c r="Q25" s="1151">
        <f t="shared" si="11"/>
        <v>111</v>
      </c>
      <c r="R25" s="1569" t="s">
        <v>8</v>
      </c>
      <c r="S25" s="1570">
        <f>F25</f>
        <v>100</v>
      </c>
      <c r="T25" s="1569" t="s">
        <v>8</v>
      </c>
      <c r="U25" s="1570">
        <f>H25</f>
        <v>100</v>
      </c>
      <c r="V25" s="1569" t="s">
        <v>8</v>
      </c>
      <c r="W25" s="1570">
        <f>J25</f>
        <v>100</v>
      </c>
      <c r="X25" s="1571"/>
      <c r="Y25" s="3419"/>
      <c r="Z25" s="1150">
        <f>Q25</f>
        <v>111</v>
      </c>
      <c r="AA25" s="1577">
        <f>D25/F25</f>
        <v>1</v>
      </c>
      <c r="AB25" s="1577">
        <f>D25/H25</f>
        <v>1</v>
      </c>
      <c r="AC25" s="1577">
        <f>D25/J25</f>
        <v>1</v>
      </c>
    </row>
    <row r="26" spans="1:29" ht="15">
      <c r="A26" s="2909"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0"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1"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1"/>
      <c r="Q27" s="1606" t="str">
        <f t="shared" si="11"/>
        <v>项目停车位配比</v>
      </c>
      <c r="R27" s="1578" t="s">
        <v>8</v>
      </c>
      <c r="S27" s="1579">
        <f t="shared" si="12"/>
        <v>100</v>
      </c>
      <c r="T27" s="1578" t="s">
        <v>8</v>
      </c>
      <c r="U27" s="1579">
        <f t="shared" si="13"/>
        <v>100</v>
      </c>
      <c r="V27" s="1578" t="s">
        <v>8</v>
      </c>
      <c r="W27" s="1579">
        <f t="shared" si="14"/>
        <v>100</v>
      </c>
      <c r="X27" s="1580"/>
      <c r="Y27" s="3421"/>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1"/>
      <c r="Q28" s="1573" t="str">
        <f t="shared" si="11"/>
        <v>公共部分装修</v>
      </c>
      <c r="R28" s="1574" t="s">
        <v>8</v>
      </c>
      <c r="S28" s="1575">
        <f t="shared" si="12"/>
        <v>100</v>
      </c>
      <c r="T28" s="1574" t="s">
        <v>8</v>
      </c>
      <c r="U28" s="1575">
        <f t="shared" si="13"/>
        <v>100</v>
      </c>
      <c r="V28" s="1574" t="s">
        <v>8</v>
      </c>
      <c r="W28" s="1575">
        <f t="shared" si="14"/>
        <v>100</v>
      </c>
      <c r="X28" s="1568"/>
      <c r="Y28" s="3421"/>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1"/>
      <c r="Q29" s="1573" t="str">
        <f t="shared" si="11"/>
        <v>成新率</v>
      </c>
      <c r="R29" s="1574" t="s">
        <v>8</v>
      </c>
      <c r="S29" s="1575" t="e">
        <f t="shared" si="12"/>
        <v>#N/A</v>
      </c>
      <c r="T29" s="1574" t="s">
        <v>8</v>
      </c>
      <c r="U29" s="1575" t="e">
        <f t="shared" si="13"/>
        <v>#N/A</v>
      </c>
      <c r="V29" s="1574" t="s">
        <v>8</v>
      </c>
      <c r="W29" s="1575" t="e">
        <f t="shared" si="14"/>
        <v>#N/A</v>
      </c>
      <c r="X29" s="1568"/>
      <c r="Y29" s="3421"/>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1"/>
      <c r="Q30" s="1573" t="str">
        <f t="shared" si="11"/>
        <v>物业等级</v>
      </c>
      <c r="R30" s="1574" t="s">
        <v>8</v>
      </c>
      <c r="S30" s="1575">
        <f t="shared" si="12"/>
        <v>100</v>
      </c>
      <c r="T30" s="1574" t="s">
        <v>8</v>
      </c>
      <c r="U30" s="1575">
        <f t="shared" si="13"/>
        <v>100</v>
      </c>
      <c r="V30" s="1574" t="s">
        <v>8</v>
      </c>
      <c r="W30" s="1575">
        <f t="shared" si="14"/>
        <v>100</v>
      </c>
      <c r="X30" s="1568"/>
      <c r="Y30" s="3421"/>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1"/>
      <c r="Q31" s="1151" t="str">
        <f t="shared" si="11"/>
        <v>停车位面积</v>
      </c>
      <c r="R31" s="1569" t="s">
        <v>8</v>
      </c>
      <c r="S31" s="1570" t="e">
        <f t="shared" si="12"/>
        <v>#N/A</v>
      </c>
      <c r="T31" s="1569" t="s">
        <v>8</v>
      </c>
      <c r="U31" s="1570" t="e">
        <f t="shared" si="13"/>
        <v>#N/A</v>
      </c>
      <c r="V31" s="1569" t="s">
        <v>8</v>
      </c>
      <c r="W31" s="1570" t="e">
        <f t="shared" si="14"/>
        <v>#N/A</v>
      </c>
      <c r="X31" s="1571"/>
      <c r="Y31" s="3421"/>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1" t="s">
        <v>549</v>
      </c>
      <c r="Q32" s="1573" t="str">
        <f t="shared" si="11"/>
        <v>车位类型</v>
      </c>
      <c r="R32" s="1574" t="s">
        <v>8</v>
      </c>
      <c r="S32" s="1575">
        <f t="shared" si="12"/>
        <v>100</v>
      </c>
      <c r="T32" s="1574" t="s">
        <v>8</v>
      </c>
      <c r="U32" s="1575">
        <f t="shared" si="13"/>
        <v>100</v>
      </c>
      <c r="V32" s="1574" t="s">
        <v>8</v>
      </c>
      <c r="W32" s="1575">
        <f t="shared" si="14"/>
        <v>100</v>
      </c>
      <c r="X32" s="1568"/>
      <c r="Y32" s="3421"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1"/>
      <c r="Q33" s="1573" t="str">
        <f t="shared" si="11"/>
        <v>是否直接入户</v>
      </c>
      <c r="R33" s="1574" t="s">
        <v>8</v>
      </c>
      <c r="S33" s="1575">
        <f t="shared" si="12"/>
        <v>100</v>
      </c>
      <c r="T33" s="1574" t="s">
        <v>8</v>
      </c>
      <c r="U33" s="1575">
        <f t="shared" si="13"/>
        <v>100</v>
      </c>
      <c r="V33" s="1574" t="s">
        <v>8</v>
      </c>
      <c r="W33" s="1575">
        <f t="shared" si="14"/>
        <v>100</v>
      </c>
      <c r="X33" s="1568"/>
      <c r="Y33" s="342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1"/>
      <c r="Q34" s="1573">
        <f t="shared" si="11"/>
        <v>111</v>
      </c>
      <c r="R34" s="1574" t="s">
        <v>8</v>
      </c>
      <c r="S34" s="1575">
        <f t="shared" si="12"/>
        <v>100</v>
      </c>
      <c r="T34" s="1574" t="s">
        <v>8</v>
      </c>
      <c r="U34" s="1575">
        <f t="shared" si="13"/>
        <v>100</v>
      </c>
      <c r="V34" s="1574" t="s">
        <v>8</v>
      </c>
      <c r="W34" s="1575">
        <f t="shared" si="14"/>
        <v>100</v>
      </c>
      <c r="X34" s="1568"/>
      <c r="Y34" s="342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1"/>
      <c r="Q35" s="1606">
        <f t="shared" si="11"/>
        <v>111</v>
      </c>
      <c r="R35" s="1578" t="s">
        <v>8</v>
      </c>
      <c r="S35" s="1579">
        <f t="shared" si="12"/>
        <v>100</v>
      </c>
      <c r="T35" s="1578" t="s">
        <v>8</v>
      </c>
      <c r="U35" s="1579">
        <f t="shared" si="13"/>
        <v>100</v>
      </c>
      <c r="V35" s="1578" t="s">
        <v>8</v>
      </c>
      <c r="W35" s="1579">
        <f t="shared" si="14"/>
        <v>100</v>
      </c>
      <c r="X35" s="1580"/>
      <c r="Y35" s="342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1"/>
      <c r="Q36" s="1573">
        <f t="shared" si="11"/>
        <v>111</v>
      </c>
      <c r="R36" s="1574" t="s">
        <v>8</v>
      </c>
      <c r="S36" s="1575">
        <f t="shared" si="12"/>
        <v>100</v>
      </c>
      <c r="T36" s="1574" t="s">
        <v>8</v>
      </c>
      <c r="U36" s="1575">
        <f t="shared" si="13"/>
        <v>100</v>
      </c>
      <c r="V36" s="1574" t="s">
        <v>8</v>
      </c>
      <c r="W36" s="1575">
        <f t="shared" si="14"/>
        <v>100</v>
      </c>
      <c r="X36" s="1568"/>
      <c r="Y36" s="3421"/>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384" t="str">
        <f>A37</f>
        <v>成交单价</v>
      </c>
      <c r="Q37" s="3384"/>
      <c r="R37" s="3495">
        <f>E37</f>
        <v>0</v>
      </c>
      <c r="S37" s="3495"/>
      <c r="T37" s="3495">
        <f>G37</f>
        <v>0</v>
      </c>
      <c r="U37" s="3495"/>
      <c r="V37" s="3495">
        <f>I37</f>
        <v>0</v>
      </c>
      <c r="W37" s="3495"/>
      <c r="X37" s="1560"/>
      <c r="Y37" s="1582"/>
      <c r="Z37" s="1560"/>
      <c r="AA37" s="1560"/>
      <c r="AB37" s="1560"/>
      <c r="AC37" s="1560"/>
    </row>
    <row r="38" spans="1:29" ht="15.75" thickBot="1">
      <c r="A38" s="615" t="s">
        <v>2762</v>
      </c>
      <c r="B38" s="888"/>
      <c r="C38" s="2635" t="e">
        <f>R39</f>
        <v>#DIV/0!</v>
      </c>
      <c r="D38" s="2636"/>
      <c r="E38" s="2637" t="e">
        <f>R38</f>
        <v>#DIV/0!</v>
      </c>
      <c r="F38" s="2637"/>
      <c r="G38" s="2635" t="e">
        <f>T38</f>
        <v>#DIV/0!</v>
      </c>
      <c r="H38" s="2636"/>
      <c r="I38" s="2637" t="e">
        <f>V38</f>
        <v>#DIV/0!</v>
      </c>
      <c r="J38" s="2636"/>
      <c r="K38" s="1613"/>
      <c r="L38" s="2146"/>
      <c r="M38" s="2147"/>
      <c r="N38" s="2147"/>
      <c r="O38" s="2147"/>
      <c r="P38" s="3384" t="str">
        <f>A38</f>
        <v>比较价格（元/平方米）</v>
      </c>
      <c r="Q38" s="3384"/>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381" t="str">
        <f>A39</f>
        <v>估价对象XX用房的比较价格（楼面单价，元/平方米）</v>
      </c>
      <c r="Q39" s="3382"/>
      <c r="R39" s="3494" t="e">
        <f>IF(F1="售价",ROUND(AVERAGE(R38:V38),0),ROUND(AVERAGE(R38:V38),1))</f>
        <v>#DIV/0!</v>
      </c>
      <c r="S39" s="3494"/>
      <c r="T39" s="3494"/>
      <c r="U39" s="3494"/>
      <c r="V39" s="3494"/>
      <c r="W39" s="349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04" t="str">
        <f>YEAR(C7)&amp;"-"&amp;MONTH(C7)</f>
        <v>2018-6</v>
      </c>
      <c r="D48" s="2806">
        <f>EDATE(C48,-1)</f>
        <v>43221</v>
      </c>
      <c r="E48" s="2806">
        <f t="shared" ref="E48:O48" si="16">EDATE(D48,-1)</f>
        <v>43191</v>
      </c>
      <c r="F48" s="2806">
        <f t="shared" si="16"/>
        <v>43160</v>
      </c>
      <c r="G48" s="2806">
        <f t="shared" si="16"/>
        <v>43132</v>
      </c>
      <c r="H48" s="2806">
        <f t="shared" si="16"/>
        <v>43101</v>
      </c>
      <c r="I48" s="2806">
        <f t="shared" si="16"/>
        <v>43070</v>
      </c>
      <c r="J48" s="2806">
        <f t="shared" si="16"/>
        <v>43040</v>
      </c>
      <c r="K48" s="2806">
        <f t="shared" si="16"/>
        <v>43009</v>
      </c>
      <c r="L48" s="2806">
        <f t="shared" si="16"/>
        <v>42979</v>
      </c>
      <c r="M48" s="2806">
        <f t="shared" si="16"/>
        <v>42948</v>
      </c>
      <c r="N48" s="2806">
        <f t="shared" si="16"/>
        <v>42917</v>
      </c>
      <c r="O48" s="2806">
        <f t="shared" si="16"/>
        <v>42887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8732.99平方米。</v>
      </c>
    </row>
    <row r="7" spans="1:4" ht="93.75">
      <c r="A7" s="2875" t="s">
        <v>2750</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根据《国有土地使用证》[]，估价对象（分摊）出让国有建设用地使用权面积为5821.99平方米。根据《建设工程规划许可证》[]、《出让合同》[]，估价对象规划建筑面积为8732.99平方米。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0" t="s">
        <v>797</v>
      </c>
      <c r="D4" s="3391"/>
      <c r="E4" s="3424" t="s">
        <v>798</v>
      </c>
      <c r="F4" s="3425"/>
      <c r="G4" s="3390" t="s">
        <v>799</v>
      </c>
      <c r="H4" s="3391"/>
      <c r="I4" s="3390" t="s">
        <v>800</v>
      </c>
      <c r="J4" s="3391"/>
      <c r="K4" s="514" t="s">
        <v>801</v>
      </c>
      <c r="L4" s="2135"/>
      <c r="M4" s="2136"/>
      <c r="N4" s="2136"/>
      <c r="O4" s="2136"/>
      <c r="P4" s="3392" t="s">
        <v>802</v>
      </c>
      <c r="Q4" s="3393"/>
      <c r="R4" s="3398" t="s">
        <v>798</v>
      </c>
      <c r="S4" s="3399"/>
      <c r="T4" s="3398" t="s">
        <v>799</v>
      </c>
      <c r="U4" s="3399"/>
      <c r="V4" s="3385" t="s">
        <v>800</v>
      </c>
      <c r="W4" s="3385"/>
      <c r="X4" s="1568"/>
      <c r="Y4" s="3398" t="s">
        <v>802</v>
      </c>
      <c r="Z4" s="3399"/>
      <c r="AA4" s="3387" t="s">
        <v>798</v>
      </c>
      <c r="AB4" s="3388" t="s">
        <v>799</v>
      </c>
      <c r="AC4" s="3387" t="s">
        <v>800</v>
      </c>
    </row>
    <row r="5" spans="1:29" ht="15">
      <c r="A5" s="515"/>
      <c r="B5" s="516"/>
      <c r="C5" s="3406" t="s">
        <v>2930</v>
      </c>
      <c r="D5" s="3407"/>
      <c r="E5" s="3426" t="s">
        <v>2931</v>
      </c>
      <c r="F5" s="3427"/>
      <c r="G5" s="3406" t="s">
        <v>2932</v>
      </c>
      <c r="H5" s="3407"/>
      <c r="I5" s="3406" t="s">
        <v>2933</v>
      </c>
      <c r="J5" s="3407"/>
      <c r="K5" s="514"/>
      <c r="L5" s="2135"/>
      <c r="M5" s="2136"/>
      <c r="N5" s="2136"/>
      <c r="O5" s="2136"/>
      <c r="P5" s="3394"/>
      <c r="Q5" s="3395"/>
      <c r="R5" s="3400"/>
      <c r="S5" s="3401"/>
      <c r="T5" s="3400"/>
      <c r="U5" s="3401"/>
      <c r="V5" s="3385"/>
      <c r="W5" s="3385"/>
      <c r="X5" s="1568"/>
      <c r="Y5" s="3400"/>
      <c r="Z5" s="3401"/>
      <c r="AA5" s="3388"/>
      <c r="AB5" s="3388"/>
      <c r="AC5" s="3388"/>
    </row>
    <row r="6" spans="1:29" ht="15.75" thickBot="1">
      <c r="A6" s="517"/>
      <c r="B6" s="518"/>
      <c r="C6" s="3404" t="s">
        <v>2934</v>
      </c>
      <c r="D6" s="3405"/>
      <c r="E6" s="3422" t="s">
        <v>2934</v>
      </c>
      <c r="F6" s="3423"/>
      <c r="G6" s="3404" t="s">
        <v>2934</v>
      </c>
      <c r="H6" s="3405"/>
      <c r="I6" s="3404" t="s">
        <v>2934</v>
      </c>
      <c r="J6" s="3405"/>
      <c r="K6" s="514" t="s">
        <v>527</v>
      </c>
      <c r="L6" s="2135"/>
      <c r="M6" s="2136"/>
      <c r="N6" s="2136"/>
      <c r="O6" s="2136"/>
      <c r="P6" s="3396"/>
      <c r="Q6" s="3397"/>
      <c r="R6" s="3400"/>
      <c r="S6" s="3401"/>
      <c r="T6" s="3402"/>
      <c r="U6" s="3403"/>
      <c r="V6" s="3385"/>
      <c r="W6" s="3385"/>
      <c r="X6" s="1568"/>
      <c r="Y6" s="3402"/>
      <c r="Z6" s="3403"/>
      <c r="AA6" s="3389"/>
      <c r="AB6" s="3389"/>
      <c r="AC6" s="3389"/>
    </row>
    <row r="7" spans="1:29" s="1220" customFormat="1" ht="15.75" thickBot="1">
      <c r="A7" s="2914"/>
      <c r="B7" s="2921" t="s">
        <v>528</v>
      </c>
      <c r="C7" s="519">
        <f>'数据-取费表'!B2</f>
        <v>43276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5" t="s">
        <v>529</v>
      </c>
      <c r="Q7" s="3417"/>
      <c r="R7" s="1569" t="s">
        <v>8</v>
      </c>
      <c r="S7" s="1570">
        <f t="shared" ref="S7:S14" si="0">F7</f>
        <v>0</v>
      </c>
      <c r="T7" s="1569" t="s">
        <v>8</v>
      </c>
      <c r="U7" s="1570">
        <f t="shared" ref="U7:U14" si="1">H7</f>
        <v>0</v>
      </c>
      <c r="V7" s="1569" t="s">
        <v>8</v>
      </c>
      <c r="W7" s="1570">
        <f t="shared" ref="W7:W14" si="2">J7</f>
        <v>0</v>
      </c>
      <c r="X7" s="1571"/>
      <c r="Y7" s="3415" t="s">
        <v>529</v>
      </c>
      <c r="Z7" s="3416"/>
      <c r="AA7" s="1572" t="e">
        <f>D7/F7</f>
        <v>#DIV/0!</v>
      </c>
      <c r="AB7" s="1572" t="e">
        <f>D7/H7</f>
        <v>#DIV/0!</v>
      </c>
      <c r="AC7" s="1572" t="e">
        <f>D7/J7</f>
        <v>#DIV/0!</v>
      </c>
    </row>
    <row r="8" spans="1:29" s="1220" customFormat="1" ht="15.75" thickBot="1">
      <c r="A8" s="2915"/>
      <c r="B8" s="2922"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5" t="s">
        <v>532</v>
      </c>
      <c r="Q8" s="3416"/>
      <c r="R8" s="1569" t="s">
        <v>8</v>
      </c>
      <c r="S8" s="1570">
        <f t="shared" si="0"/>
        <v>0</v>
      </c>
      <c r="T8" s="1569" t="s">
        <v>8</v>
      </c>
      <c r="U8" s="1570">
        <f t="shared" si="1"/>
        <v>0</v>
      </c>
      <c r="V8" s="1569" t="s">
        <v>8</v>
      </c>
      <c r="W8" s="1570">
        <f t="shared" si="2"/>
        <v>0</v>
      </c>
      <c r="X8" s="1571"/>
      <c r="Y8" s="3415" t="s">
        <v>532</v>
      </c>
      <c r="Z8" s="3416"/>
      <c r="AA8" s="1572" t="e">
        <f t="shared" ref="AA8:AA34" si="3">D8/F8</f>
        <v>#DIV/0!</v>
      </c>
      <c r="AB8" s="1572" t="e">
        <f t="shared" ref="AB8:AB34" si="4">D8/H8</f>
        <v>#DIV/0!</v>
      </c>
      <c r="AC8" s="1572" t="e">
        <f t="shared" ref="AC8:AC34" si="5">D8/J8</f>
        <v>#DIV/0!</v>
      </c>
    </row>
    <row r="9" spans="1:29" s="1220" customFormat="1" ht="15">
      <c r="A9" s="2916"/>
      <c r="B9" s="2923"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4" t="s">
        <v>534</v>
      </c>
      <c r="Q9" s="1151" t="str">
        <f t="shared" ref="Q9:Q14" si="6">B9</f>
        <v>用途</v>
      </c>
      <c r="R9" s="1569" t="s">
        <v>8</v>
      </c>
      <c r="S9" s="1570">
        <f t="shared" si="0"/>
        <v>100</v>
      </c>
      <c r="T9" s="1569" t="s">
        <v>8</v>
      </c>
      <c r="U9" s="1570">
        <f t="shared" si="1"/>
        <v>100</v>
      </c>
      <c r="V9" s="1569" t="s">
        <v>8</v>
      </c>
      <c r="W9" s="1570">
        <f t="shared" si="2"/>
        <v>100</v>
      </c>
      <c r="X9" s="1571"/>
      <c r="Y9" s="3330"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4"/>
      <c r="Q11" s="1151">
        <f t="shared" si="6"/>
        <v>111</v>
      </c>
      <c r="R11" s="1569" t="s">
        <v>8</v>
      </c>
      <c r="S11" s="1570">
        <f t="shared" si="0"/>
        <v>100</v>
      </c>
      <c r="T11" s="1569" t="s">
        <v>8</v>
      </c>
      <c r="U11" s="1570">
        <f t="shared" si="1"/>
        <v>100</v>
      </c>
      <c r="V11" s="1569" t="s">
        <v>8</v>
      </c>
      <c r="W11" s="1570">
        <f t="shared" si="2"/>
        <v>100</v>
      </c>
      <c r="X11" s="1571"/>
      <c r="Y11" s="3330"/>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42.75">
      <c r="A14" s="2912" t="s">
        <v>2756</v>
      </c>
      <c r="B14" s="166" t="s">
        <v>542</v>
      </c>
      <c r="C14" s="921" t="str">
        <f>IF(B1="工业",估价对象房地状况!G4,估价对象房地状况!C6)</f>
        <v>临支路，1公里内无公共交通，较差</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18" t="s">
        <v>539</v>
      </c>
      <c r="Q14" s="1573" t="str">
        <f t="shared" si="6"/>
        <v>交通便捷度</v>
      </c>
      <c r="R14" s="1574" t="s">
        <v>8</v>
      </c>
      <c r="S14" s="1575">
        <f t="shared" si="0"/>
        <v>100</v>
      </c>
      <c r="T14" s="1574" t="s">
        <v>8</v>
      </c>
      <c r="U14" s="1575">
        <f t="shared" si="1"/>
        <v>100</v>
      </c>
      <c r="V14" s="1574" t="s">
        <v>8</v>
      </c>
      <c r="W14" s="1575">
        <f t="shared" si="2"/>
        <v>100</v>
      </c>
      <c r="X14" s="1568"/>
      <c r="Y14" s="3418"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19"/>
      <c r="Q15" s="1573"/>
      <c r="R15" s="1574"/>
      <c r="S15" s="1575"/>
      <c r="T15" s="1574"/>
      <c r="U15" s="1575"/>
      <c r="V15" s="1574"/>
      <c r="W15" s="1575"/>
      <c r="X15" s="1568"/>
      <c r="Y15" s="3419"/>
      <c r="Z15" s="1576"/>
      <c r="AA15" s="1577">
        <v>1</v>
      </c>
      <c r="AB15" s="1577">
        <v>1</v>
      </c>
      <c r="AC15" s="1577">
        <v>1</v>
      </c>
    </row>
    <row r="16" spans="1:29" ht="42.75">
      <c r="A16" s="532"/>
      <c r="B16" s="2605" t="s">
        <v>2548</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19"/>
      <c r="Q16" s="1573" t="str">
        <f>B16</f>
        <v>公共配套设施</v>
      </c>
      <c r="R16" s="1574" t="s">
        <v>8</v>
      </c>
      <c r="S16" s="1575">
        <f>F16</f>
        <v>100</v>
      </c>
      <c r="T16" s="1574" t="s">
        <v>8</v>
      </c>
      <c r="U16" s="1575">
        <f>H16</f>
        <v>100</v>
      </c>
      <c r="V16" s="1574" t="s">
        <v>8</v>
      </c>
      <c r="W16" s="1575">
        <f>J16</f>
        <v>100</v>
      </c>
      <c r="X16" s="1568"/>
      <c r="Y16" s="341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19"/>
      <c r="Q17" s="1573"/>
      <c r="R17" s="1574"/>
      <c r="S17" s="1575"/>
      <c r="T17" s="1574"/>
      <c r="U17" s="1575"/>
      <c r="V17" s="1574"/>
      <c r="W17" s="1575"/>
      <c r="X17" s="1568"/>
      <c r="Y17" s="3419"/>
      <c r="Z17" s="1576"/>
      <c r="AA17" s="1577">
        <v>1</v>
      </c>
      <c r="AB17" s="1577">
        <v>1</v>
      </c>
      <c r="AC17" s="1577">
        <v>1</v>
      </c>
    </row>
    <row r="18" spans="1:29" ht="42.75">
      <c r="A18" s="532"/>
      <c r="B18" s="2593" t="s">
        <v>2560</v>
      </c>
      <c r="C18" s="872" t="str">
        <f>IF(B1="工业",估价对象房地状况!G6,估价对象房地状况!C8)</f>
        <v>估价对象所在区域基础设施水平七通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19"/>
      <c r="Q18" s="2581" t="str">
        <f>B18</f>
        <v>基础设施水平</v>
      </c>
      <c r="R18" s="1574" t="s">
        <v>8</v>
      </c>
      <c r="S18" s="1575">
        <f>F18</f>
        <v>100</v>
      </c>
      <c r="T18" s="1574" t="s">
        <v>8</v>
      </c>
      <c r="U18" s="1575">
        <f>H18</f>
        <v>100</v>
      </c>
      <c r="V18" s="1574" t="s">
        <v>8</v>
      </c>
      <c r="W18" s="1575">
        <f>J18</f>
        <v>100</v>
      </c>
      <c r="X18" s="2583"/>
      <c r="Y18" s="3419"/>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19"/>
      <c r="Q19" s="2581"/>
      <c r="R19" s="1574"/>
      <c r="S19" s="1575"/>
      <c r="T19" s="1574"/>
      <c r="U19" s="1575"/>
      <c r="V19" s="1574"/>
      <c r="W19" s="1575"/>
      <c r="X19" s="2583"/>
      <c r="Y19" s="3419"/>
      <c r="Z19" s="2582"/>
      <c r="AA19" s="1577">
        <v>1</v>
      </c>
      <c r="AB19" s="1577">
        <v>1</v>
      </c>
      <c r="AC19" s="1577">
        <v>1</v>
      </c>
    </row>
    <row r="20" spans="1:29" ht="85.5">
      <c r="A20" s="532"/>
      <c r="B20" s="871" t="s">
        <v>803</v>
      </c>
      <c r="C20" s="872" t="str">
        <f>IF(B1="工业",估价对象房地状况!G7,估价对象房地状况!C9)</f>
        <v>贾平凹文化艺术馆、鹦鹉寺公园、西安工程大学、北京大学光华管理学院西安分院，较好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19"/>
      <c r="Q20" s="1573" t="str">
        <f>B20</f>
        <v>自然及人文环境</v>
      </c>
      <c r="R20" s="1574" t="s">
        <v>8</v>
      </c>
      <c r="S20" s="1575">
        <f>F20</f>
        <v>100</v>
      </c>
      <c r="T20" s="1574" t="s">
        <v>8</v>
      </c>
      <c r="U20" s="1575">
        <f>H20</f>
        <v>100</v>
      </c>
      <c r="V20" s="1574" t="s">
        <v>8</v>
      </c>
      <c r="W20" s="1575">
        <f>J20</f>
        <v>100</v>
      </c>
      <c r="X20" s="1568"/>
      <c r="Y20" s="341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19"/>
      <c r="Q21" s="1573"/>
      <c r="R21" s="1574"/>
      <c r="S21" s="1575"/>
      <c r="T21" s="1574"/>
      <c r="U21" s="1575"/>
      <c r="V21" s="1574"/>
      <c r="W21" s="1575"/>
      <c r="X21" s="1568"/>
      <c r="Y21" s="3419"/>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19"/>
      <c r="Q22" s="1573" t="str">
        <f>B22</f>
        <v>楼层</v>
      </c>
      <c r="R22" s="1574" t="s">
        <v>8</v>
      </c>
      <c r="S22" s="1575">
        <f>F22</f>
        <v>100</v>
      </c>
      <c r="T22" s="1574" t="s">
        <v>8</v>
      </c>
      <c r="U22" s="1575">
        <f>H22</f>
        <v>100</v>
      </c>
      <c r="V22" s="1574" t="s">
        <v>8</v>
      </c>
      <c r="W22" s="1575">
        <f>J22</f>
        <v>100</v>
      </c>
      <c r="X22" s="1568"/>
      <c r="Y22" s="341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19"/>
      <c r="Q23" s="1573">
        <f>B23</f>
        <v>111</v>
      </c>
      <c r="R23" s="1574" t="s">
        <v>8</v>
      </c>
      <c r="S23" s="1575">
        <f>F23</f>
        <v>100</v>
      </c>
      <c r="T23" s="1574" t="s">
        <v>8</v>
      </c>
      <c r="U23" s="1575">
        <f>H23</f>
        <v>100</v>
      </c>
      <c r="V23" s="1574" t="s">
        <v>8</v>
      </c>
      <c r="W23" s="1575">
        <f>J23</f>
        <v>100</v>
      </c>
      <c r="X23" s="1568"/>
      <c r="Y23" s="341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19"/>
      <c r="Q24" s="1573">
        <f t="shared" ref="Q24:Q34" si="11">B24</f>
        <v>111</v>
      </c>
      <c r="R24" s="1574" t="s">
        <v>8</v>
      </c>
      <c r="S24" s="1575">
        <f>F24</f>
        <v>100</v>
      </c>
      <c r="T24" s="1574" t="s">
        <v>8</v>
      </c>
      <c r="U24" s="1575">
        <f>H24</f>
        <v>100</v>
      </c>
      <c r="V24" s="1574" t="s">
        <v>8</v>
      </c>
      <c r="W24" s="1575">
        <f>J24</f>
        <v>100</v>
      </c>
      <c r="X24" s="1568"/>
      <c r="Y24" s="341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19"/>
      <c r="Q25" s="1151">
        <f t="shared" si="11"/>
        <v>111</v>
      </c>
      <c r="R25" s="1569" t="s">
        <v>8</v>
      </c>
      <c r="S25" s="1570">
        <f>F25</f>
        <v>100</v>
      </c>
      <c r="T25" s="1569" t="s">
        <v>8</v>
      </c>
      <c r="U25" s="1570">
        <f>H25</f>
        <v>100</v>
      </c>
      <c r="V25" s="1569" t="s">
        <v>8</v>
      </c>
      <c r="W25" s="1570">
        <f>J25</f>
        <v>100</v>
      </c>
      <c r="X25" s="1571"/>
      <c r="Y25" s="3419"/>
      <c r="Z25" s="1150">
        <f>Q25</f>
        <v>111</v>
      </c>
      <c r="AA25" s="1577">
        <f>D25/F25</f>
        <v>1</v>
      </c>
      <c r="AB25" s="1577">
        <f>D25/H25</f>
        <v>1</v>
      </c>
      <c r="AC25" s="1577">
        <f>D25/J25</f>
        <v>1</v>
      </c>
    </row>
    <row r="26" spans="1:29" ht="15">
      <c r="A26" s="2909"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0"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1"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1"/>
      <c r="Q27" s="1606" t="str">
        <f t="shared" si="11"/>
        <v>成新率</v>
      </c>
      <c r="R27" s="1578" t="s">
        <v>8</v>
      </c>
      <c r="S27" s="1579" t="e">
        <f t="shared" si="12"/>
        <v>#N/A</v>
      </c>
      <c r="T27" s="1578" t="s">
        <v>8</v>
      </c>
      <c r="U27" s="1579" t="e">
        <f t="shared" si="13"/>
        <v>#N/A</v>
      </c>
      <c r="V27" s="1578" t="s">
        <v>8</v>
      </c>
      <c r="W27" s="1579" t="e">
        <f t="shared" si="14"/>
        <v>#N/A</v>
      </c>
      <c r="X27" s="1580"/>
      <c r="Y27" s="3421"/>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1"/>
      <c r="Q28" s="1573" t="str">
        <f t="shared" si="11"/>
        <v>物业等级</v>
      </c>
      <c r="R28" s="1574" t="s">
        <v>8</v>
      </c>
      <c r="S28" s="1575">
        <f t="shared" si="12"/>
        <v>100</v>
      </c>
      <c r="T28" s="1574" t="s">
        <v>8</v>
      </c>
      <c r="U28" s="1575">
        <f t="shared" si="13"/>
        <v>100</v>
      </c>
      <c r="V28" s="1574" t="s">
        <v>8</v>
      </c>
      <c r="W28" s="1575">
        <f t="shared" si="14"/>
        <v>100</v>
      </c>
      <c r="X28" s="1568"/>
      <c r="Y28" s="3421"/>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1"/>
      <c r="Q29" s="1573" t="str">
        <f t="shared" si="11"/>
        <v>有无电梯</v>
      </c>
      <c r="R29" s="1574" t="s">
        <v>8</v>
      </c>
      <c r="S29" s="1575">
        <f t="shared" si="12"/>
        <v>100</v>
      </c>
      <c r="T29" s="1574" t="s">
        <v>8</v>
      </c>
      <c r="U29" s="1575">
        <f t="shared" si="13"/>
        <v>100</v>
      </c>
      <c r="V29" s="1574" t="s">
        <v>8</v>
      </c>
      <c r="W29" s="1575">
        <f t="shared" si="14"/>
        <v>100</v>
      </c>
      <c r="X29" s="1568"/>
      <c r="Y29" s="3421"/>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1"/>
      <c r="Q30" s="1573" t="str">
        <f t="shared" si="11"/>
        <v>建筑面积</v>
      </c>
      <c r="R30" s="1574" t="s">
        <v>8</v>
      </c>
      <c r="S30" s="1575" t="e">
        <f t="shared" si="12"/>
        <v>#N/A</v>
      </c>
      <c r="T30" s="1574" t="s">
        <v>8</v>
      </c>
      <c r="U30" s="1575" t="e">
        <f t="shared" si="13"/>
        <v>#N/A</v>
      </c>
      <c r="V30" s="1574" t="s">
        <v>8</v>
      </c>
      <c r="W30" s="1575" t="e">
        <f t="shared" si="14"/>
        <v>#N/A</v>
      </c>
      <c r="X30" s="1568"/>
      <c r="Y30" s="3421"/>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1"/>
      <c r="Q31" s="1151" t="str">
        <f t="shared" si="11"/>
        <v>是否封闭</v>
      </c>
      <c r="R31" s="1569" t="s">
        <v>8</v>
      </c>
      <c r="S31" s="1570">
        <f t="shared" si="12"/>
        <v>100</v>
      </c>
      <c r="T31" s="1569" t="s">
        <v>8</v>
      </c>
      <c r="U31" s="1570">
        <f t="shared" si="13"/>
        <v>100</v>
      </c>
      <c r="V31" s="1569" t="s">
        <v>8</v>
      </c>
      <c r="W31" s="1570">
        <f t="shared" si="14"/>
        <v>100</v>
      </c>
      <c r="X31" s="1571"/>
      <c r="Y31" s="342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1" t="s">
        <v>549</v>
      </c>
      <c r="Q32" s="1573">
        <f t="shared" si="11"/>
        <v>111</v>
      </c>
      <c r="R32" s="1574" t="s">
        <v>8</v>
      </c>
      <c r="S32" s="1575">
        <f t="shared" si="12"/>
        <v>100</v>
      </c>
      <c r="T32" s="1574" t="s">
        <v>8</v>
      </c>
      <c r="U32" s="1575">
        <f t="shared" si="13"/>
        <v>100</v>
      </c>
      <c r="V32" s="1574" t="s">
        <v>8</v>
      </c>
      <c r="W32" s="1575">
        <f t="shared" si="14"/>
        <v>100</v>
      </c>
      <c r="X32" s="1568"/>
      <c r="Y32" s="3421"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1"/>
      <c r="Q33" s="1573">
        <f t="shared" si="11"/>
        <v>111</v>
      </c>
      <c r="R33" s="1574" t="s">
        <v>8</v>
      </c>
      <c r="S33" s="1575">
        <f t="shared" si="12"/>
        <v>100</v>
      </c>
      <c r="T33" s="1574" t="s">
        <v>8</v>
      </c>
      <c r="U33" s="1575">
        <f t="shared" si="13"/>
        <v>100</v>
      </c>
      <c r="V33" s="1574" t="s">
        <v>8</v>
      </c>
      <c r="W33" s="1575">
        <f t="shared" si="14"/>
        <v>100</v>
      </c>
      <c r="X33" s="1568"/>
      <c r="Y33" s="342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1"/>
      <c r="Q34" s="1573">
        <f t="shared" si="11"/>
        <v>111</v>
      </c>
      <c r="R34" s="1574" t="s">
        <v>8</v>
      </c>
      <c r="S34" s="1575">
        <f t="shared" si="12"/>
        <v>100</v>
      </c>
      <c r="T34" s="1574" t="s">
        <v>8</v>
      </c>
      <c r="U34" s="1575">
        <f t="shared" si="13"/>
        <v>100</v>
      </c>
      <c r="V34" s="1574" t="s">
        <v>8</v>
      </c>
      <c r="W34" s="1575">
        <f t="shared" si="14"/>
        <v>100</v>
      </c>
      <c r="X34" s="1568"/>
      <c r="Y34" s="3421"/>
      <c r="Z34" s="1576">
        <f t="shared" si="15"/>
        <v>111</v>
      </c>
      <c r="AA34" s="1577">
        <f t="shared" si="3"/>
        <v>1</v>
      </c>
      <c r="AB34" s="1577">
        <f t="shared" si="4"/>
        <v>1</v>
      </c>
      <c r="AC34" s="1577">
        <f t="shared" si="5"/>
        <v>1</v>
      </c>
    </row>
    <row r="35" spans="1:29" ht="15">
      <c r="A35" s="607" t="s">
        <v>735</v>
      </c>
      <c r="B35" s="887"/>
      <c r="C35" s="2629" t="s">
        <v>1</v>
      </c>
      <c r="D35" s="2630"/>
      <c r="E35" s="2631"/>
      <c r="F35" s="2632"/>
      <c r="G35" s="2633"/>
      <c r="H35" s="2634"/>
      <c r="I35" s="2631"/>
      <c r="J35" s="2634"/>
      <c r="K35" s="1612"/>
      <c r="L35" s="2146"/>
      <c r="M35" s="2147"/>
      <c r="N35" s="2136"/>
      <c r="O35" s="2147"/>
      <c r="P35" s="3384" t="str">
        <f>A35</f>
        <v>成交单价（元/平方米）</v>
      </c>
      <c r="Q35" s="3384"/>
      <c r="R35" s="3495">
        <f>E35</f>
        <v>0</v>
      </c>
      <c r="S35" s="3495"/>
      <c r="T35" s="3495">
        <f>G35</f>
        <v>0</v>
      </c>
      <c r="U35" s="3495"/>
      <c r="V35" s="3495">
        <f>I35</f>
        <v>0</v>
      </c>
      <c r="W35" s="3495"/>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84" t="str">
        <f>A36</f>
        <v>比较价格（元/平方米）</v>
      </c>
      <c r="Q36" s="3384"/>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381" t="str">
        <f>A37</f>
        <v>估价对象XX用房的比较价格（楼面单价，元/平方米）</v>
      </c>
      <c r="Q37" s="3382"/>
      <c r="R37" s="3494" t="e">
        <f>IF(F1="售价",ROUND(AVERAGE(R36:V36),0),ROUND(AVERAGE(R36:V36),1))</f>
        <v>#DIV/0!</v>
      </c>
      <c r="S37" s="3494"/>
      <c r="T37" s="3494"/>
      <c r="U37" s="3494"/>
      <c r="V37" s="3494"/>
      <c r="W37" s="349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04" t="str">
        <f>YEAR(C7)&amp;"-"&amp;MONTH(C7)</f>
        <v>2018-6</v>
      </c>
      <c r="D46" s="2806">
        <f>EDATE(C46,-1)</f>
        <v>43221</v>
      </c>
      <c r="E46" s="2806">
        <f t="shared" ref="E46:O46" si="16">EDATE(D46,-1)</f>
        <v>43191</v>
      </c>
      <c r="F46" s="2806">
        <f t="shared" si="16"/>
        <v>43160</v>
      </c>
      <c r="G46" s="2806">
        <f t="shared" si="16"/>
        <v>43132</v>
      </c>
      <c r="H46" s="2806">
        <f t="shared" si="16"/>
        <v>43101</v>
      </c>
      <c r="I46" s="2806">
        <f t="shared" si="16"/>
        <v>43070</v>
      </c>
      <c r="J46" s="2806">
        <f t="shared" si="16"/>
        <v>43040</v>
      </c>
      <c r="K46" s="2806">
        <f t="shared" si="16"/>
        <v>43009</v>
      </c>
      <c r="L46" s="2806">
        <f t="shared" si="16"/>
        <v>42979</v>
      </c>
      <c r="M46" s="2806">
        <f t="shared" si="16"/>
        <v>42948</v>
      </c>
      <c r="N46" s="2806">
        <f t="shared" si="16"/>
        <v>42917</v>
      </c>
      <c r="O46" s="2806">
        <f t="shared" si="16"/>
        <v>42887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10" t="s">
        <v>2306</v>
      </c>
      <c r="D1" s="3511"/>
      <c r="E1" s="3511"/>
      <c r="F1" s="3511"/>
      <c r="G1" s="3511"/>
      <c r="H1" s="3511"/>
      <c r="I1" s="3511"/>
      <c r="J1" s="3511"/>
      <c r="K1" s="3511"/>
      <c r="L1" s="3511"/>
      <c r="M1" s="3511"/>
      <c r="N1" s="3511"/>
      <c r="O1" s="3511"/>
      <c r="P1" s="3511"/>
      <c r="Q1" s="3511"/>
      <c r="R1" s="3511"/>
      <c r="S1" s="3512"/>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507" t="s">
        <v>20</v>
      </c>
      <c r="D22" s="3508"/>
      <c r="E22" s="3508"/>
      <c r="F22" s="3508"/>
      <c r="G22" s="3508"/>
      <c r="H22" s="3508"/>
      <c r="I22" s="3508"/>
      <c r="J22" s="3508"/>
      <c r="K22" s="3508"/>
      <c r="L22" s="3508"/>
      <c r="M22" s="3508"/>
      <c r="N22" s="3508"/>
      <c r="O22" s="3508"/>
      <c r="P22" s="3508"/>
      <c r="Q22" s="3509"/>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43276</v>
      </c>
      <c r="H1" s="2940">
        <f>IF(C1&gt;C13,0,MATCH(C1,C$13:C$100,-1))+IF(SUMIF(C13:C100,C1,D13:D100)=0,13,12)</f>
        <v>13</v>
      </c>
      <c r="I1" s="2940">
        <f ca="1">MATCH(C2,H3:H7,1)+IF(SUMIF(H3:H7,C2,I3:I7)=0,2,1)</f>
        <v>4</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1</v>
      </c>
      <c r="D2" s="3002" t="s">
        <v>2791</v>
      </c>
      <c r="E2" s="3005">
        <f ca="1">INDIRECT("I"&amp;$I$1)/100</f>
        <v>4.3499999999999997E-2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0</v>
      </c>
      <c r="D3" s="3002" t="s">
        <v>2791</v>
      </c>
      <c r="E3" s="3005">
        <f ca="1">INDIRECT("J"&amp;$J$1)/100</f>
        <v>0</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19" workbookViewId="0">
      <selection activeCell="C29" sqref="C29"/>
    </sheetView>
  </sheetViews>
  <sheetFormatPr defaultRowHeight="13.5"/>
  <cols>
    <col min="1" max="1" width="108.625" customWidth="1"/>
    <col min="2" max="2" width="35.5" customWidth="1"/>
  </cols>
  <sheetData>
    <row r="1" spans="1:2" ht="409.5">
      <c r="A1" s="3195" t="s">
        <v>3166</v>
      </c>
      <c r="B1" s="3195" t="s">
        <v>3167</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2040</v>
      </c>
      <c r="B1" s="3217"/>
      <c r="C1" s="3217"/>
      <c r="D1" s="3217"/>
      <c r="E1" s="3217"/>
      <c r="F1" s="3217"/>
      <c r="G1" s="3217"/>
      <c r="H1" s="3217"/>
      <c r="I1" s="3217"/>
      <c r="J1" s="3217"/>
      <c r="K1" s="3217"/>
      <c r="L1" s="3217"/>
      <c r="M1" s="3217"/>
      <c r="N1" s="3217"/>
      <c r="O1" s="3217"/>
      <c r="P1" s="3217"/>
      <c r="Q1" s="3217"/>
      <c r="R1" s="3217"/>
    </row>
    <row r="2" spans="1:18">
      <c r="A2" s="1809" t="s">
        <v>2042</v>
      </c>
      <c r="B2" s="1809"/>
      <c r="C2" s="1809"/>
      <c r="D2" s="1809"/>
      <c r="E2" s="1809"/>
      <c r="F2" s="1809"/>
      <c r="G2" s="1809"/>
      <c r="H2" s="1809"/>
      <c r="I2" s="1810"/>
      <c r="J2" s="1810"/>
      <c r="K2" s="1811" t="str">
        <f>"估价期日："&amp;TEXT(项目基本情况!D3,"yyyy年m月d日;;")</f>
        <v>估价期日：2018年6月25日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8" t="s">
        <v>2031</v>
      </c>
      <c r="B3" s="3218" t="s">
        <v>2733</v>
      </c>
      <c r="C3" s="3219" t="s">
        <v>2032</v>
      </c>
      <c r="D3" s="3218" t="s">
        <v>2737</v>
      </c>
      <c r="E3" s="3221" t="s">
        <v>2033</v>
      </c>
      <c r="F3" s="3221"/>
      <c r="G3" s="3221"/>
      <c r="H3" s="3221" t="s">
        <v>2034</v>
      </c>
      <c r="I3" s="3221"/>
      <c r="J3" s="3221"/>
      <c r="K3" s="3219" t="s">
        <v>2035</v>
      </c>
      <c r="L3" s="3219" t="s">
        <v>2036</v>
      </c>
      <c r="M3" s="3218" t="s">
        <v>2734</v>
      </c>
      <c r="N3" s="3220" t="str">
        <f>"（分摊）"&amp;项目基本情况!B16&amp;"国有建设用地使用权面积/㎡"</f>
        <v>（分摊）出让国有建设用地使用权面积/㎡</v>
      </c>
      <c r="O3" s="3218" t="s">
        <v>2065</v>
      </c>
      <c r="P3" s="3219" t="s">
        <v>2045</v>
      </c>
      <c r="Q3" s="3219" t="s">
        <v>2066</v>
      </c>
      <c r="R3" s="3219" t="s">
        <v>2037</v>
      </c>
    </row>
    <row r="4" spans="1:18" ht="36.75" customHeight="1">
      <c r="A4" s="3218"/>
      <c r="B4" s="3218"/>
      <c r="C4" s="3219"/>
      <c r="D4" s="3218"/>
      <c r="E4" s="2651" t="s">
        <v>2044</v>
      </c>
      <c r="F4" s="2651" t="s">
        <v>2746</v>
      </c>
      <c r="G4" s="2651" t="s">
        <v>2038</v>
      </c>
      <c r="H4" s="2651" t="s">
        <v>2039</v>
      </c>
      <c r="I4" s="2651" t="s">
        <v>2747</v>
      </c>
      <c r="J4" s="2651" t="s">
        <v>2038</v>
      </c>
      <c r="K4" s="3219"/>
      <c r="L4" s="3219"/>
      <c r="M4" s="3218"/>
      <c r="N4" s="3220"/>
      <c r="O4" s="3218"/>
      <c r="P4" s="3219"/>
      <c r="Q4" s="3219"/>
      <c r="R4" s="3219"/>
    </row>
    <row r="5" spans="1:18" ht="135" customHeight="1">
      <c r="A5" s="1945" t="s">
        <v>2657</v>
      </c>
      <c r="B5" s="2869" t="s">
        <v>2655</v>
      </c>
      <c r="C5" s="2650">
        <v>22</v>
      </c>
      <c r="D5" s="2649" t="s">
        <v>2656</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v>
      </c>
      <c r="M5" s="1812">
        <f>IF(项目基本情况!B16="出让",项目基本情况!D20,"——")</f>
        <v>0</v>
      </c>
      <c r="N5" s="1812">
        <f>项目基本情况!C22</f>
        <v>5821.99</v>
      </c>
      <c r="O5" s="1812">
        <f>项目基本情况!C21</f>
        <v>8732.99</v>
      </c>
      <c r="P5" s="1812">
        <f ca="1">结果表!E42</f>
        <v>5764</v>
      </c>
      <c r="Q5" s="1812">
        <f ca="1">结果表!D42</f>
        <v>3843</v>
      </c>
      <c r="R5" s="1813">
        <f ca="1">结果表!C42</f>
        <v>3356</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14">
        <f ca="1">结果表!O39</f>
        <v>3356</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14" t="str">
        <f>结果表!O40</f>
        <v>——</v>
      </c>
    </row>
    <row r="8" spans="1:18">
      <c r="A8" s="3222">
        <f>IF(项目基本情况!B9="市场价格","——",项目基本情况!E9)</f>
        <v>0</v>
      </c>
      <c r="B8" s="3223"/>
      <c r="C8" s="3223"/>
      <c r="D8" s="3223"/>
      <c r="E8" s="3223"/>
      <c r="F8" s="3223"/>
      <c r="G8" s="3223"/>
      <c r="H8" s="3223"/>
      <c r="I8" s="3223"/>
      <c r="J8" s="3223"/>
      <c r="K8" s="3223"/>
      <c r="L8" s="3223"/>
      <c r="M8" s="3223"/>
      <c r="N8" s="3223"/>
      <c r="O8" s="3223"/>
      <c r="P8" s="3223"/>
      <c r="Q8" s="3224"/>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6" t="s">
        <v>2067</v>
      </c>
      <c r="B1" s="3226"/>
      <c r="C1" s="3226"/>
      <c r="D1" s="3226"/>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5" t="s">
        <v>2068</v>
      </c>
      <c r="B5" s="3225"/>
      <c r="C5" s="3225"/>
      <c r="D5" s="3225"/>
    </row>
    <row r="6" spans="1:4">
      <c r="A6" s="3226" t="s">
        <v>2046</v>
      </c>
      <c r="B6" s="3226"/>
      <c r="C6" s="3226"/>
      <c r="D6" s="3226"/>
    </row>
    <row r="7" spans="1:4" ht="33" customHeight="1">
      <c r="A7" s="3226" t="s">
        <v>2577</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5" t="s">
        <v>2070</v>
      </c>
      <c r="B12" s="3225"/>
      <c r="C12" s="3225"/>
      <c r="D12" s="3225"/>
    </row>
    <row r="13" spans="1:4">
      <c r="A13" s="3229" t="s">
        <v>2748</v>
      </c>
      <c r="B13" s="3229"/>
      <c r="C13" s="3229"/>
      <c r="D13" s="3229"/>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2704</v>
      </c>
      <c r="B17" s="3226"/>
      <c r="C17" s="3226"/>
      <c r="D17" s="3226"/>
    </row>
    <row r="18" spans="1:4">
      <c r="A18" s="3226" t="s">
        <v>2696</v>
      </c>
      <c r="B18" s="3226"/>
      <c r="C18" s="3226"/>
      <c r="D18" s="3226"/>
    </row>
    <row r="19" spans="1:4">
      <c r="A19" s="2870" t="s">
        <v>2697</v>
      </c>
      <c r="B19" s="2870" t="s">
        <v>2698</v>
      </c>
      <c r="C19" s="2870" t="s">
        <v>2699</v>
      </c>
      <c r="D19" s="2870" t="s">
        <v>2700</v>
      </c>
    </row>
    <row r="20" spans="1:4">
      <c r="A20" s="2870" t="str">
        <f>项目基本情况!B4</f>
        <v>刘梅</v>
      </c>
      <c r="B20" s="2870">
        <f ca="1">项目基本情况!C4</f>
        <v>2008110059</v>
      </c>
      <c r="C20" s="2872"/>
      <c r="D20" s="1802" t="s">
        <v>2705</v>
      </c>
    </row>
    <row r="21" spans="1:4">
      <c r="A21" s="2870" t="str">
        <f>项目基本情况!D4</f>
        <v>吴薇</v>
      </c>
      <c r="B21" s="2870">
        <f ca="1">项目基本情况!E4</f>
        <v>2002110125</v>
      </c>
      <c r="C21" s="2872"/>
      <c r="D21" s="1802" t="s">
        <v>2706</v>
      </c>
    </row>
    <row r="23" spans="1:4">
      <c r="A23" s="3226" t="s">
        <v>2701</v>
      </c>
      <c r="B23" s="3226"/>
      <c r="C23" s="3226"/>
      <c r="D23" s="3226"/>
    </row>
    <row r="24" spans="1:4">
      <c r="A24" s="2870" t="s">
        <v>2697</v>
      </c>
      <c r="B24" s="2870" t="s">
        <v>2702</v>
      </c>
      <c r="C24" s="2870" t="s">
        <v>2699</v>
      </c>
      <c r="D24" s="2870" t="s">
        <v>2700</v>
      </c>
    </row>
    <row r="25" spans="1:4">
      <c r="A25" s="2873" t="s">
        <v>2703</v>
      </c>
      <c r="B25" s="2870" t="s">
        <v>951</v>
      </c>
      <c r="C25" s="2872"/>
      <c r="D25" s="1802" t="s">
        <v>2706</v>
      </c>
    </row>
    <row r="29" spans="1:4">
      <c r="D29" s="2871" t="s">
        <v>2041</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37" t="s">
        <v>53</v>
      </c>
      <c r="B15" s="3238" t="s">
        <v>845</v>
      </c>
      <c r="C15" s="3234"/>
    </row>
    <row r="16" spans="1:7" ht="14.25">
      <c r="A16" s="3237"/>
      <c r="B16" s="3235" t="s">
        <v>54</v>
      </c>
      <c r="C16" s="1172" t="s">
        <v>53</v>
      </c>
    </row>
    <row r="17" spans="1:3" ht="14.25">
      <c r="A17" s="3237"/>
      <c r="B17" s="3235"/>
      <c r="C17" s="1172" t="s">
        <v>55</v>
      </c>
    </row>
    <row r="18" spans="1:3" ht="14.25">
      <c r="A18" s="3237"/>
      <c r="B18" s="3235"/>
      <c r="C18" s="1172" t="s">
        <v>56</v>
      </c>
    </row>
    <row r="19" spans="1:3" ht="14.25">
      <c r="A19" s="3237"/>
      <c r="B19" s="3233" t="s">
        <v>57</v>
      </c>
      <c r="C19" s="3234"/>
    </row>
    <row r="20" spans="1:3" ht="14.25">
      <c r="A20" s="1173" t="s">
        <v>58</v>
      </c>
      <c r="B20" s="1174"/>
      <c r="C20" s="1175"/>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76" t="s">
        <v>836</v>
      </c>
    </row>
    <row r="25" spans="1:3" ht="14.25">
      <c r="A25" s="3236"/>
      <c r="B25" s="3240"/>
      <c r="C25" s="1176" t="s">
        <v>837</v>
      </c>
    </row>
    <row r="26" spans="1:3" ht="14.25">
      <c r="A26" s="3236"/>
      <c r="B26" s="3240"/>
      <c r="C26" s="1176" t="s">
        <v>838</v>
      </c>
    </row>
    <row r="27" spans="1:3" ht="14.25">
      <c r="A27" s="3236"/>
      <c r="B27" s="3240"/>
      <c r="C27" s="1176" t="s">
        <v>839</v>
      </c>
    </row>
    <row r="28" spans="1:3" ht="14.25">
      <c r="A28" s="3236"/>
      <c r="B28" s="3240"/>
      <c r="C28" s="1176" t="s">
        <v>840</v>
      </c>
    </row>
    <row r="29" spans="1:3" ht="14.25">
      <c r="A29" s="3236"/>
      <c r="B29" s="3240"/>
      <c r="C29" s="1176" t="s">
        <v>841</v>
      </c>
    </row>
    <row r="30" spans="1:3" ht="14.25">
      <c r="A30" s="3236"/>
      <c r="B30" s="3240"/>
      <c r="C30" s="1176" t="s">
        <v>842</v>
      </c>
    </row>
    <row r="31" spans="1:3" ht="14.25">
      <c r="A31" s="3236"/>
      <c r="B31" s="3240"/>
      <c r="C31" s="1176" t="s">
        <v>843</v>
      </c>
    </row>
    <row r="32" spans="1:3" ht="14.25">
      <c r="A32" s="3236"/>
      <c r="B32" s="3240"/>
      <c r="C32" s="1176" t="s">
        <v>1646</v>
      </c>
    </row>
    <row r="33" spans="1:3" ht="14.25">
      <c r="A33" s="3236"/>
      <c r="B33" s="3230" t="s">
        <v>1652</v>
      </c>
      <c r="C33" s="1176" t="s">
        <v>1647</v>
      </c>
    </row>
    <row r="34" spans="1:3" ht="14.25">
      <c r="A34" s="3236"/>
      <c r="B34" s="3231"/>
      <c r="C34" s="1181" t="s">
        <v>1648</v>
      </c>
    </row>
    <row r="35" spans="1:3" ht="14.25">
      <c r="A35" s="3236"/>
      <c r="B35" s="3231"/>
      <c r="C35" s="1182" t="s">
        <v>1649</v>
      </c>
    </row>
    <row r="36" spans="1:3" ht="14.25">
      <c r="A36" s="3236"/>
      <c r="B36" s="3231"/>
      <c r="C36" s="1182" t="s">
        <v>1650</v>
      </c>
    </row>
    <row r="37" spans="1:3" ht="14.25">
      <c r="A37" s="3236"/>
      <c r="B37" s="3232"/>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43283</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08">
        <v>43849</v>
      </c>
      <c r="D4" s="2345" t="s">
        <v>1914</v>
      </c>
      <c r="E4" s="2345">
        <f ca="1">IF(F4&lt;B2,"已过期",96010014)</f>
        <v>96010014</v>
      </c>
      <c r="F4" s="3009">
        <v>47118</v>
      </c>
    </row>
    <row r="5" spans="1:6" ht="20.25" customHeight="1">
      <c r="A5" s="2345" t="s">
        <v>1915</v>
      </c>
      <c r="B5" s="2345">
        <f ca="1">IF(C5&lt;B2,"已过期",1119970074)</f>
        <v>1119970074</v>
      </c>
      <c r="C5" s="3008">
        <v>43849</v>
      </c>
      <c r="D5" s="2345" t="s">
        <v>1915</v>
      </c>
      <c r="E5" s="2345">
        <f ca="1">IF(F5&lt;B2,"已过期",2002110027)</f>
        <v>2002110027</v>
      </c>
      <c r="F5" s="3009">
        <v>46752</v>
      </c>
    </row>
    <row r="6" spans="1:6" ht="20.25" customHeight="1">
      <c r="A6" s="2345" t="s">
        <v>1916</v>
      </c>
      <c r="B6" s="2345">
        <f ca="1">IF(C6&lt;B2,"已过期",1119970111)</f>
        <v>1119970111</v>
      </c>
      <c r="C6" s="3008">
        <v>43849</v>
      </c>
      <c r="D6" s="2345" t="s">
        <v>1916</v>
      </c>
      <c r="E6" s="2345">
        <f ca="1">IF(F6&lt;B2,"已过期",94010078)</f>
        <v>94010078</v>
      </c>
      <c r="F6" s="3009">
        <v>46387</v>
      </c>
    </row>
    <row r="7" spans="1:6" ht="20.25" customHeight="1">
      <c r="A7" s="2345" t="s">
        <v>1917</v>
      </c>
      <c r="B7" s="2345">
        <f ca="1">IF(C7&lt;B2,"已过期",1120050019)</f>
        <v>1120050019</v>
      </c>
      <c r="C7" s="3008">
        <v>43359</v>
      </c>
      <c r="D7" s="2345" t="s">
        <v>1917</v>
      </c>
      <c r="E7" s="2345">
        <f ca="1">IF(F7&lt;B2,"已过期",2002110030)</f>
        <v>2002110030</v>
      </c>
      <c r="F7" s="3009">
        <v>46387</v>
      </c>
    </row>
    <row r="8" spans="1:6" ht="20.25" customHeight="1">
      <c r="A8" s="2345" t="s">
        <v>1918</v>
      </c>
      <c r="B8" s="2345">
        <f ca="1">IF(C8&lt;B2,"已过期",1120000080)</f>
        <v>1120000080</v>
      </c>
      <c r="C8" s="3008">
        <v>43849</v>
      </c>
      <c r="D8" s="2345" t="s">
        <v>1918</v>
      </c>
      <c r="E8" s="2345">
        <f ca="1">IF(F8&lt;B2,"已过期",2000110082)</f>
        <v>2000110082</v>
      </c>
      <c r="F8" s="3009">
        <v>46387</v>
      </c>
    </row>
    <row r="9" spans="1:6" ht="20.25" customHeight="1">
      <c r="A9" s="2345" t="s">
        <v>1919</v>
      </c>
      <c r="B9" s="2345">
        <f ca="1">IF(C9&lt;B2,"已过期",1419970001)</f>
        <v>1419970001</v>
      </c>
      <c r="C9" s="3008">
        <v>43867</v>
      </c>
      <c r="D9" s="2345" t="s">
        <v>1919</v>
      </c>
      <c r="E9" s="2345">
        <f ca="1">IF(F9&lt;B2,"已过期",2002110125)</f>
        <v>2002110125</v>
      </c>
      <c r="F9" s="3009">
        <v>47118</v>
      </c>
    </row>
    <row r="10" spans="1:6" ht="20.25" customHeight="1">
      <c r="A10" s="2345" t="s">
        <v>1920</v>
      </c>
      <c r="B10" s="2345">
        <f ca="1">IF(C10&lt;B2,"已过期",1120060040)</f>
        <v>1120060040</v>
      </c>
      <c r="C10" s="3008">
        <v>43483</v>
      </c>
      <c r="D10" s="2345" t="s">
        <v>1920</v>
      </c>
      <c r="E10" s="2345">
        <f ca="1">IF(F10&lt;B2,"已过期",2004110096)</f>
        <v>2004110096</v>
      </c>
      <c r="F10" s="3009">
        <v>47118</v>
      </c>
    </row>
    <row r="11" spans="1:6" ht="20.25" customHeight="1">
      <c r="A11" s="2345" t="s">
        <v>1921</v>
      </c>
      <c r="B11" s="2345">
        <f ca="1">IF(C11&lt;B2,"已过期",1120100036)</f>
        <v>1120100036</v>
      </c>
      <c r="C11" s="3008">
        <v>43622</v>
      </c>
      <c r="D11" s="2345" t="s">
        <v>1921</v>
      </c>
      <c r="E11" s="2345">
        <f ca="1">IF(F11&lt;B2,"已过期",2010110070)</f>
        <v>2010110070</v>
      </c>
      <c r="F11" s="3009">
        <v>47907</v>
      </c>
    </row>
    <row r="12" spans="1:6" ht="20.25" customHeight="1">
      <c r="A12" s="2345" t="s">
        <v>2981</v>
      </c>
      <c r="B12" s="2345">
        <v>1120110054</v>
      </c>
      <c r="C12" s="3008">
        <v>43937</v>
      </c>
      <c r="D12" s="2345" t="s">
        <v>2981</v>
      </c>
      <c r="E12" s="2345">
        <v>2008110060</v>
      </c>
      <c r="F12" s="3009">
        <v>47177</v>
      </c>
    </row>
    <row r="13" spans="1:6" ht="20.25" customHeight="1">
      <c r="A13" s="2345" t="s">
        <v>1922</v>
      </c>
      <c r="B13" s="2345">
        <f ca="1">IF(C13&lt;B2,"已过期",1120070131)</f>
        <v>1120070131</v>
      </c>
      <c r="C13" s="3008">
        <v>43814</v>
      </c>
      <c r="D13" s="2345" t="s">
        <v>1922</v>
      </c>
      <c r="E13" s="2345">
        <v>2014110011</v>
      </c>
      <c r="F13" s="3009">
        <v>49302</v>
      </c>
    </row>
    <row r="14" spans="1:6" ht="20.25" customHeight="1">
      <c r="A14" s="2345" t="s">
        <v>1923</v>
      </c>
      <c r="B14" s="2345">
        <f ca="1">IF(C14&lt;B2,"已过期",1120130020)</f>
        <v>1120130020</v>
      </c>
      <c r="C14" s="3008">
        <v>43622</v>
      </c>
      <c r="D14" s="2345"/>
      <c r="E14" s="2345"/>
      <c r="F14" s="2345"/>
    </row>
    <row r="15" spans="1:6" ht="20.25" customHeight="1">
      <c r="A15" s="2345" t="s">
        <v>2576</v>
      </c>
      <c r="B15" s="2345">
        <v>1120070085</v>
      </c>
      <c r="C15" s="3008">
        <v>43814</v>
      </c>
      <c r="D15" s="2345" t="s">
        <v>2576</v>
      </c>
      <c r="E15" s="2345">
        <v>2004110128</v>
      </c>
      <c r="F15" s="3009">
        <v>47118</v>
      </c>
    </row>
    <row r="16" spans="1:6" ht="20.25" customHeight="1">
      <c r="A16" s="2345" t="s">
        <v>1924</v>
      </c>
      <c r="B16" s="2345">
        <f ca="1">IF(C16&lt;B2,"已过期",1120140022)</f>
        <v>1120140022</v>
      </c>
      <c r="C16" s="3008">
        <v>44029</v>
      </c>
      <c r="D16" s="2345" t="s">
        <v>1924</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1925</v>
      </c>
      <c r="E21" s="2345">
        <f ca="1">IF(F21&lt;B2,"已过期",2011110090)</f>
        <v>2011110090</v>
      </c>
      <c r="F21" s="3009">
        <v>48302</v>
      </c>
    </row>
    <row r="22" spans="1:7" ht="20.25" customHeight="1">
      <c r="A22" s="2345" t="s">
        <v>1926</v>
      </c>
      <c r="B22" s="2345">
        <f ca="1">IF(C22&lt;B2,"已过期",1120020033)</f>
        <v>1120020033</v>
      </c>
      <c r="C22" s="3008">
        <v>43304</v>
      </c>
      <c r="D22" s="2345" t="s">
        <v>1926</v>
      </c>
      <c r="E22" s="2345">
        <f ca="1">IF(F22&lt;B2,"已过期",2000110137)</f>
        <v>2000110137</v>
      </c>
      <c r="F22" s="3009">
        <v>46387</v>
      </c>
    </row>
    <row r="23" spans="1:7" ht="20.25" customHeight="1">
      <c r="A23" s="2345" t="s">
        <v>1927</v>
      </c>
      <c r="B23" s="2345">
        <f ca="1">IF(C23&lt;B2,"已过期",1120130048)</f>
        <v>1120130048</v>
      </c>
      <c r="C23" s="3008">
        <v>43686</v>
      </c>
      <c r="D23" s="2345"/>
      <c r="E23" s="2345"/>
      <c r="F23" s="2345"/>
    </row>
    <row r="24" spans="1:7" s="2349" customFormat="1" ht="20.25" customHeight="1">
      <c r="A24" s="2347" t="s">
        <v>2055</v>
      </c>
      <c r="B24" s="2347" t="s">
        <v>2055</v>
      </c>
      <c r="C24" s="3008"/>
      <c r="D24" s="3010" t="s">
        <v>2055</v>
      </c>
      <c r="E24" s="2347" t="s">
        <v>2055</v>
      </c>
      <c r="F24" s="2348"/>
    </row>
    <row r="25" spans="1:7" ht="20.25" customHeight="1">
      <c r="A25" s="3241" t="s">
        <v>1928</v>
      </c>
      <c r="B25" s="3241"/>
      <c r="C25" s="3241"/>
      <c r="D25" s="3241"/>
      <c r="E25" s="3241"/>
      <c r="F25" s="3241"/>
      <c r="G25" s="3241"/>
    </row>
    <row r="26" spans="1:7" ht="20.25" customHeight="1">
      <c r="A26" s="3242" t="s">
        <v>1929</v>
      </c>
      <c r="B26" s="3242"/>
      <c r="C26" s="3242"/>
      <c r="D26" s="3242" t="s">
        <v>1930</v>
      </c>
      <c r="E26" s="3242"/>
      <c r="F26" s="3242"/>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1"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2547</v>
      </c>
      <c r="R1" s="2584" t="s">
        <v>2541</v>
      </c>
      <c r="S1" s="6" t="s">
        <v>145</v>
      </c>
      <c r="T1" s="7" t="s">
        <v>146</v>
      </c>
      <c r="U1" s="6" t="s">
        <v>147</v>
      </c>
      <c r="V1" s="6" t="s">
        <v>148</v>
      </c>
      <c r="W1" s="1004" t="s">
        <v>873</v>
      </c>
    </row>
    <row r="2" spans="1:23">
      <c r="A2" s="8" t="s">
        <v>73</v>
      </c>
      <c r="B2" s="8" t="s">
        <v>149</v>
      </c>
      <c r="C2" s="1552"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150</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2543</v>
      </c>
      <c r="S3" s="9" t="s">
        <v>84</v>
      </c>
      <c r="T3" s="9" t="s">
        <v>85</v>
      </c>
      <c r="U3" s="9" t="s">
        <v>84</v>
      </c>
      <c r="V3" s="9" t="s">
        <v>86</v>
      </c>
      <c r="W3" s="9" t="s">
        <v>875</v>
      </c>
    </row>
    <row r="4" spans="1:23">
      <c r="A4" s="8" t="s">
        <v>87</v>
      </c>
      <c r="B4" s="8" t="s">
        <v>151</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2544</v>
      </c>
      <c r="S4" s="9" t="s">
        <v>92</v>
      </c>
      <c r="T4" s="9" t="s">
        <v>93</v>
      </c>
      <c r="U4" s="9" t="s">
        <v>92</v>
      </c>
      <c r="W4" s="9" t="s">
        <v>876</v>
      </c>
    </row>
    <row r="5" spans="1:23">
      <c r="A5" s="8" t="s">
        <v>94</v>
      </c>
      <c r="B5" s="8" t="s">
        <v>152</v>
      </c>
      <c r="C5" s="1552" t="s">
        <v>1712</v>
      </c>
      <c r="F5" s="9" t="s">
        <v>95</v>
      </c>
      <c r="H5" s="9" t="s">
        <v>70</v>
      </c>
      <c r="I5" s="9" t="s">
        <v>96</v>
      </c>
      <c r="K5" s="9" t="s">
        <v>97</v>
      </c>
      <c r="L5" s="9" t="s">
        <v>97</v>
      </c>
      <c r="M5" s="9" t="s">
        <v>97</v>
      </c>
      <c r="N5" s="9" t="s">
        <v>97</v>
      </c>
      <c r="O5" s="9" t="s">
        <v>97</v>
      </c>
      <c r="P5" s="1006" t="s">
        <v>545</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153</v>
      </c>
      <c r="H7" s="9" t="s">
        <v>104</v>
      </c>
      <c r="I7" s="9" t="s">
        <v>105</v>
      </c>
    </row>
    <row r="8" spans="1:23">
      <c r="A8" s="8" t="s">
        <v>106</v>
      </c>
      <c r="B8" s="1149" t="s">
        <v>3155</v>
      </c>
      <c r="C8" s="1552" t="s">
        <v>1715</v>
      </c>
      <c r="F8" s="9" t="s">
        <v>154</v>
      </c>
      <c r="H8" s="9"/>
      <c r="I8" s="9" t="s">
        <v>107</v>
      </c>
    </row>
    <row r="9" spans="1:23">
      <c r="A9" s="8" t="s">
        <v>108</v>
      </c>
      <c r="B9" s="8" t="s">
        <v>155</v>
      </c>
      <c r="C9" s="1552" t="s">
        <v>1716</v>
      </c>
      <c r="F9" s="9" t="s">
        <v>109</v>
      </c>
      <c r="H9" s="9"/>
    </row>
    <row r="10" spans="1:23">
      <c r="A10" s="8" t="s">
        <v>110</v>
      </c>
      <c r="B10" s="8" t="s">
        <v>156</v>
      </c>
      <c r="C10" s="1552" t="s">
        <v>1717</v>
      </c>
      <c r="F10" s="9" t="s">
        <v>6</v>
      </c>
    </row>
    <row r="11" spans="1:23">
      <c r="A11" s="8" t="s">
        <v>111</v>
      </c>
      <c r="B11" s="8" t="s">
        <v>157</v>
      </c>
      <c r="C11" s="1552" t="s">
        <v>1718</v>
      </c>
    </row>
    <row r="12" spans="1:23">
      <c r="A12" s="8" t="s">
        <v>112</v>
      </c>
      <c r="B12" s="8" t="s">
        <v>158</v>
      </c>
      <c r="C12" s="1552" t="s">
        <v>1719</v>
      </c>
    </row>
    <row r="13" spans="1:23">
      <c r="A13" s="8" t="s">
        <v>113</v>
      </c>
      <c r="B13" s="8" t="s">
        <v>159</v>
      </c>
      <c r="C13" s="1552" t="s">
        <v>1720</v>
      </c>
    </row>
    <row r="14" spans="1:23">
      <c r="A14" s="8" t="s">
        <v>114</v>
      </c>
      <c r="B14" s="8" t="s">
        <v>160</v>
      </c>
      <c r="C14" s="1555" t="s">
        <v>1896</v>
      </c>
    </row>
    <row r="15" spans="1:23">
      <c r="A15" s="8" t="s">
        <v>115</v>
      </c>
      <c r="B15" s="8" t="s">
        <v>1681</v>
      </c>
      <c r="C15" s="1555"/>
    </row>
    <row r="16" spans="1:23">
      <c r="A16" s="8" t="s">
        <v>116</v>
      </c>
      <c r="B16" s="8" t="s">
        <v>1682</v>
      </c>
      <c r="C16" s="1555"/>
    </row>
    <row r="17" spans="1:3">
      <c r="A17" s="8" t="s">
        <v>117</v>
      </c>
      <c r="B17" s="8" t="s">
        <v>1683</v>
      </c>
      <c r="C17" s="1555"/>
    </row>
    <row r="18" spans="1:3">
      <c r="A18" s="8" t="s">
        <v>118</v>
      </c>
      <c r="B18" s="3113" t="s">
        <v>2958</v>
      </c>
      <c r="C18" s="1555"/>
    </row>
    <row r="19" spans="1:3">
      <c r="A19" s="8" t="s">
        <v>119</v>
      </c>
      <c r="B19" s="3113" t="s">
        <v>2966</v>
      </c>
      <c r="C19" s="1555"/>
    </row>
    <row r="20" spans="1:3">
      <c r="A20" s="8" t="s">
        <v>120</v>
      </c>
      <c r="B20" s="3113" t="s">
        <v>3157</v>
      </c>
      <c r="C20" s="1555"/>
    </row>
    <row r="21" spans="1:3">
      <c r="A21" s="8" t="s">
        <v>121</v>
      </c>
      <c r="B21" s="8" t="s">
        <v>1641</v>
      </c>
      <c r="C21" s="1555"/>
    </row>
    <row r="22" spans="1:3">
      <c r="A22" s="8" t="s">
        <v>122</v>
      </c>
      <c r="B22" s="8" t="s">
        <v>1641</v>
      </c>
      <c r="C22" s="1555"/>
    </row>
    <row r="23" spans="1:3">
      <c r="A23" s="8" t="s">
        <v>123</v>
      </c>
      <c r="B23" s="8" t="s">
        <v>1641</v>
      </c>
      <c r="C23" s="1555"/>
    </row>
    <row r="24" spans="1:3">
      <c r="A24" s="8" t="s">
        <v>12</v>
      </c>
      <c r="B24" s="8" t="s">
        <v>1641</v>
      </c>
      <c r="C24" s="1555"/>
    </row>
    <row r="25" spans="1:3">
      <c r="A25" s="8" t="s">
        <v>124</v>
      </c>
      <c r="B25" s="8" t="s">
        <v>1641</v>
      </c>
      <c r="C25" s="1555"/>
    </row>
    <row r="26" spans="1:3">
      <c r="A26" s="8" t="s">
        <v>125</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融创拟使用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43"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c r="D53" s="1769"/>
      <c r="E53" s="1769"/>
    </row>
    <row r="54" spans="1:5">
      <c r="A54" s="3243"/>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3"/>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3"/>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3"/>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不动产收益法仓储</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2018-07-02T03:07:29Z</dcterms:modified>
</cp:coreProperties>
</file>