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面积数据" sheetId="77" state="hidden" r:id="rId15"/>
    <sheet name="清单套" sheetId="8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宁波市调" sheetId="83" r:id="rId26"/>
    <sheet name="抵押物清单" sheetId="78" state="hidden" r:id="rId27"/>
    <sheet name="假设开发法" sheetId="12" r:id="rId28"/>
    <sheet name="收益法" sheetId="15" state="hidden" r:id="rId29"/>
    <sheet name="收益法 (元)" sheetId="67" state="hidden" r:id="rId30"/>
    <sheet name="收益法（汇总）" sheetId="70" state="hidden" r:id="rId31"/>
    <sheet name="酒店收入计算" sheetId="66" state="hidden" r:id="rId32"/>
    <sheet name="比较法-住宅" sheetId="21" r:id="rId33"/>
    <sheet name="比较法-住宅 (洋房)" sheetId="82"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2" hidden="1">'比较法-住宅'!$A$1:$L$49</definedName>
    <definedName name="_xlnm._FilterDatabase" localSheetId="33" hidden="1">'比较法-住宅 (洋房)'!$A$1:$L$49</definedName>
    <definedName name="_xlnm._FilterDatabase" localSheetId="11"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18">估价对象房地状况!$A$1:$G$24</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'比较法-住宅 (洋房)'!$B$88:$M$88</definedName>
    <definedName name="住宅朝向">'比较法-住宅'!$B$88:$M$88</definedName>
    <definedName name="住宅房型" localSheetId="33">'比较法-住宅 (洋房)'!$B$118:$M$118</definedName>
    <definedName name="住宅房型">'比较法-住宅'!$B$118:$M$118</definedName>
    <definedName name="住宅公共部分装修" localSheetId="33">'比较法-住宅 (洋房)'!$B$109:$M$109</definedName>
    <definedName name="住宅公共部分装修">'比较法-住宅'!$B$109:$M$109</definedName>
    <definedName name="住宅基础设施水平" localSheetId="33">'比较法-住宅 (洋房)'!$B$116:$M$116</definedName>
    <definedName name="住宅基础设施水平">'比较法-住宅'!$B$116:$M$116</definedName>
    <definedName name="住宅建筑结构" localSheetId="33">'比较法-住宅 (洋房)'!$B$105:$M$105</definedName>
    <definedName name="住宅建筑结构">'比较法-住宅'!$B$105:$M$105</definedName>
    <definedName name="住宅建筑类型" localSheetId="33">'比较法-住宅 (洋房)'!$B$100:$M$100</definedName>
    <definedName name="住宅建筑类型">'比较法-住宅'!$B$100:$M$100</definedName>
    <definedName name="住宅建筑品质" localSheetId="33">'比较法-住宅 (洋房)'!$B$107:$M$107</definedName>
    <definedName name="住宅建筑品质">'比较法-住宅'!$B$107:$M$107</definedName>
    <definedName name="住宅交易情况" localSheetId="33">'比较法-住宅 (洋房)'!$A$61:$M$61</definedName>
    <definedName name="住宅交易情况">'比较法-住宅'!$A$61:$M$61</definedName>
    <definedName name="住宅楼层" localSheetId="33">'比较法-住宅 (洋房)'!$B$86:$M$86</definedName>
    <definedName name="住宅楼层">'比较法-住宅'!$B$86:$M$86</definedName>
    <definedName name="住宅内部装修" localSheetId="33">'比较法-住宅 (洋房)'!$B$122:$M$122</definedName>
    <definedName name="住宅内部装修">'比较法-住宅'!$B$122:$M$122</definedName>
    <definedName name="住宅物业管理" localSheetId="33">'比较法-住宅 (洋房)'!$B$114:$M$114</definedName>
    <definedName name="住宅物业管理">'比较法-住宅'!$B$114:$M$114</definedName>
    <definedName name="住宅用途" localSheetId="33">'比较法-住宅 (洋房)'!$B$63:$M$63</definedName>
    <definedName name="住宅用途">'比较法-住宅'!$B$63:$M$63</definedName>
    <definedName name="住宅主力户型面积" localSheetId="33">'比较法-住宅 (洋房)'!$B$120:$M$120</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B15" i="74" l="1"/>
  <c r="C15" i="74"/>
  <c r="D15" i="74" l="1"/>
  <c r="H29" i="80" l="1"/>
  <c r="A3" i="3"/>
  <c r="G11" i="77"/>
  <c r="F11" i="77"/>
  <c r="C14" i="77" l="1"/>
  <c r="C9" i="77"/>
  <c r="I47" i="82"/>
  <c r="E47" i="82"/>
  <c r="G47" i="82"/>
  <c r="D5" i="83" l="1"/>
  <c r="D6" i="83"/>
  <c r="D7" i="83"/>
  <c r="D4" i="83"/>
  <c r="I47" i="21"/>
  <c r="G47" i="21"/>
  <c r="E47" i="21"/>
  <c r="C145" i="82"/>
  <c r="J142" i="82"/>
  <c r="J140" i="82"/>
  <c r="K139" i="82"/>
  <c r="K143" i="82" s="1"/>
  <c r="B130" i="82"/>
  <c r="B128" i="82"/>
  <c r="H45" i="82" s="1"/>
  <c r="B126" i="82"/>
  <c r="G125" i="82"/>
  <c r="E125" i="82"/>
  <c r="F125" i="82" s="1"/>
  <c r="D125" i="82"/>
  <c r="G123" i="82"/>
  <c r="H123" i="82" s="1"/>
  <c r="I123" i="82" s="1"/>
  <c r="J123" i="82" s="1"/>
  <c r="K123" i="82" s="1"/>
  <c r="L123" i="82" s="1"/>
  <c r="M123" i="82" s="1"/>
  <c r="E123" i="82"/>
  <c r="F123" i="82" s="1"/>
  <c r="D123" i="82"/>
  <c r="G119" i="82"/>
  <c r="H119" i="82" s="1"/>
  <c r="I119" i="82" s="1"/>
  <c r="J119" i="82" s="1"/>
  <c r="K119" i="82" s="1"/>
  <c r="L119" i="82" s="1"/>
  <c r="M119" i="82" s="1"/>
  <c r="E119" i="82"/>
  <c r="F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D79" i="82"/>
  <c r="E79" i="82" s="1"/>
  <c r="F79" i="82" s="1"/>
  <c r="D77" i="82"/>
  <c r="E77" i="82" s="1"/>
  <c r="F77" i="82" s="1"/>
  <c r="B74" i="82"/>
  <c r="B72" i="82"/>
  <c r="J13" i="82" s="1"/>
  <c r="B70" i="82"/>
  <c r="E69" i="82"/>
  <c r="F69" i="82" s="1"/>
  <c r="G69" i="82" s="1"/>
  <c r="H69" i="82" s="1"/>
  <c r="I69" i="82" s="1"/>
  <c r="J69" i="82" s="1"/>
  <c r="K69" i="82" s="1"/>
  <c r="L69" i="82" s="1"/>
  <c r="M69" i="82" s="1"/>
  <c r="D69" i="82"/>
  <c r="M67" i="82"/>
  <c r="L67" i="82"/>
  <c r="K67" i="82"/>
  <c r="J67" i="82"/>
  <c r="I67" i="82"/>
  <c r="H67" i="82"/>
  <c r="G67" i="82"/>
  <c r="F67" i="82"/>
  <c r="E67" i="82"/>
  <c r="D67" i="82"/>
  <c r="C67" i="82"/>
  <c r="F66" i="82"/>
  <c r="G66" i="82" s="1"/>
  <c r="H66" i="82" s="1"/>
  <c r="I66" i="82" s="1"/>
  <c r="D66" i="82"/>
  <c r="E66" i="82" s="1"/>
  <c r="C63" i="82"/>
  <c r="I54" i="82"/>
  <c r="J54" i="82" s="1"/>
  <c r="G54" i="82"/>
  <c r="H54" i="82" s="1"/>
  <c r="E54" i="82"/>
  <c r="F54" i="82" s="1"/>
  <c r="P49" i="82"/>
  <c r="P48" i="82"/>
  <c r="V47" i="82"/>
  <c r="T47" i="82"/>
  <c r="R47" i="82"/>
  <c r="P47" i="82"/>
  <c r="Q46" i="82"/>
  <c r="Z46" i="82" s="1"/>
  <c r="J46" i="82"/>
  <c r="H46" i="82"/>
  <c r="AB46" i="82" s="1"/>
  <c r="F46" i="82"/>
  <c r="AA46" i="82" s="1"/>
  <c r="Z45" i="82"/>
  <c r="S45" i="82"/>
  <c r="Q45" i="82"/>
  <c r="J45" i="82"/>
  <c r="F45" i="82"/>
  <c r="AA45" i="82" s="1"/>
  <c r="AB44" i="82"/>
  <c r="U44" i="82"/>
  <c r="Q44" i="82"/>
  <c r="Z44" i="82" s="1"/>
  <c r="J44" i="82"/>
  <c r="AC44" i="82" s="1"/>
  <c r="H44" i="82"/>
  <c r="F44" i="82"/>
  <c r="AA44" i="82" s="1"/>
  <c r="Q43" i="82"/>
  <c r="Z43" i="82" s="1"/>
  <c r="J43" i="82"/>
  <c r="AC43" i="82" s="1"/>
  <c r="H43" i="82"/>
  <c r="AB43" i="82" s="1"/>
  <c r="F43" i="82"/>
  <c r="AA43" i="82" s="1"/>
  <c r="Q42" i="82"/>
  <c r="Z42" i="82" s="1"/>
  <c r="J42" i="82"/>
  <c r="AC42" i="82" s="1"/>
  <c r="H42" i="82"/>
  <c r="AB42" i="82" s="1"/>
  <c r="F42" i="82"/>
  <c r="AA42" i="82" s="1"/>
  <c r="AC41" i="82"/>
  <c r="W41" i="82"/>
  <c r="Q41" i="82"/>
  <c r="Z41" i="82" s="1"/>
  <c r="J41" i="82"/>
  <c r="H41" i="82"/>
  <c r="AB41" i="82" s="1"/>
  <c r="F41" i="82"/>
  <c r="AA41" i="82" s="1"/>
  <c r="AB40" i="82"/>
  <c r="U40" i="82"/>
  <c r="Q40" i="82"/>
  <c r="Z40" i="82" s="1"/>
  <c r="J40" i="82"/>
  <c r="AC40" i="82" s="1"/>
  <c r="H40" i="82"/>
  <c r="F40" i="82"/>
  <c r="AA40" i="82" s="1"/>
  <c r="Q39" i="82"/>
  <c r="Z39" i="82" s="1"/>
  <c r="J39" i="82"/>
  <c r="AC39" i="82" s="1"/>
  <c r="H39" i="82"/>
  <c r="AB39" i="82" s="1"/>
  <c r="F39" i="82"/>
  <c r="AA39" i="82" s="1"/>
  <c r="Q38" i="82"/>
  <c r="Z38" i="82" s="1"/>
  <c r="J38" i="82"/>
  <c r="AC38" i="82" s="1"/>
  <c r="H38" i="82"/>
  <c r="AB38" i="82" s="1"/>
  <c r="F38" i="82"/>
  <c r="AA38" i="82" s="1"/>
  <c r="AC37" i="82"/>
  <c r="W37" i="82"/>
  <c r="Q37" i="82"/>
  <c r="Z37" i="82" s="1"/>
  <c r="J37" i="82"/>
  <c r="F37" i="82"/>
  <c r="AA37" i="82" s="1"/>
  <c r="Q36" i="82"/>
  <c r="Z36" i="82" s="1"/>
  <c r="J36" i="82"/>
  <c r="AC36" i="82" s="1"/>
  <c r="H36" i="82"/>
  <c r="AB36" i="82" s="1"/>
  <c r="F36" i="82"/>
  <c r="AA36" i="82" s="1"/>
  <c r="AC35" i="82"/>
  <c r="W35" i="82"/>
  <c r="Q35" i="82"/>
  <c r="Z35" i="82" s="1"/>
  <c r="J35" i="82"/>
  <c r="F35" i="82"/>
  <c r="AA35" i="82" s="1"/>
  <c r="Q34" i="82"/>
  <c r="Z34" i="82" s="1"/>
  <c r="J34" i="82"/>
  <c r="AC34" i="82" s="1"/>
  <c r="H34" i="82"/>
  <c r="AB34" i="82" s="1"/>
  <c r="F34" i="82"/>
  <c r="AA34" i="82" s="1"/>
  <c r="AC33" i="82"/>
  <c r="W33" i="82"/>
  <c r="Q33" i="82"/>
  <c r="Z33" i="82" s="1"/>
  <c r="J33" i="82"/>
  <c r="F33" i="82"/>
  <c r="AA33" i="82" s="1"/>
  <c r="C33" i="82"/>
  <c r="H33" i="82" s="1"/>
  <c r="Q32" i="82"/>
  <c r="Z32" i="82" s="1"/>
  <c r="J32" i="82"/>
  <c r="AC32" i="82" s="1"/>
  <c r="H32" i="82"/>
  <c r="AB32" i="82" s="1"/>
  <c r="F32" i="82"/>
  <c r="AA32" i="82" s="1"/>
  <c r="AB31" i="82"/>
  <c r="U31" i="82"/>
  <c r="Q31" i="82"/>
  <c r="Z31" i="82" s="1"/>
  <c r="J31" i="82"/>
  <c r="AC31" i="82" s="1"/>
  <c r="H31" i="82"/>
  <c r="F31" i="82"/>
  <c r="AA31" i="82" s="1"/>
  <c r="Q30" i="82"/>
  <c r="Z30" i="82" s="1"/>
  <c r="J30" i="82"/>
  <c r="AC30" i="82" s="1"/>
  <c r="H30" i="82"/>
  <c r="AB30" i="82" s="1"/>
  <c r="F30" i="82"/>
  <c r="AA30" i="82" s="1"/>
  <c r="Q29" i="82"/>
  <c r="Z29" i="82" s="1"/>
  <c r="J29" i="82"/>
  <c r="AC29" i="82" s="1"/>
  <c r="H29" i="82"/>
  <c r="AB29" i="82" s="1"/>
  <c r="F29" i="82"/>
  <c r="AA29" i="82" s="1"/>
  <c r="AC28" i="82"/>
  <c r="W28" i="82"/>
  <c r="Q28" i="82"/>
  <c r="Z28" i="82" s="1"/>
  <c r="J28" i="82"/>
  <c r="H28" i="82"/>
  <c r="AB28" i="82" s="1"/>
  <c r="F28" i="82"/>
  <c r="AA28" i="82" s="1"/>
  <c r="AB27" i="82"/>
  <c r="U27" i="82"/>
  <c r="Q27" i="82"/>
  <c r="Z27" i="82" s="1"/>
  <c r="J27" i="82"/>
  <c r="AC27" i="82" s="1"/>
  <c r="H27" i="82"/>
  <c r="F27" i="82"/>
  <c r="AA27" i="82" s="1"/>
  <c r="Q26" i="82"/>
  <c r="Z26" i="82" s="1"/>
  <c r="J26" i="82"/>
  <c r="AC26" i="82" s="1"/>
  <c r="H26" i="82"/>
  <c r="AB26" i="82" s="1"/>
  <c r="F26" i="82"/>
  <c r="AA26" i="82" s="1"/>
  <c r="Q25" i="82"/>
  <c r="Z25" i="82" s="1"/>
  <c r="J25" i="82"/>
  <c r="AC25" i="82" s="1"/>
  <c r="H25" i="82"/>
  <c r="AB25" i="82" s="1"/>
  <c r="F25" i="82"/>
  <c r="AA25" i="82" s="1"/>
  <c r="AC23" i="82"/>
  <c r="W23" i="82"/>
  <c r="Q23" i="82"/>
  <c r="Z23" i="82" s="1"/>
  <c r="J23" i="82"/>
  <c r="F23" i="82"/>
  <c r="AA23" i="82" s="1"/>
  <c r="C23" i="82"/>
  <c r="AC21" i="82"/>
  <c r="W21" i="82"/>
  <c r="Q21" i="82"/>
  <c r="Z21" i="82" s="1"/>
  <c r="J21" i="82"/>
  <c r="F21" i="82"/>
  <c r="AA21" i="82" s="1"/>
  <c r="C21" i="82"/>
  <c r="AC19" i="82"/>
  <c r="W19" i="82"/>
  <c r="Q19" i="82"/>
  <c r="Z19" i="82" s="1"/>
  <c r="J19" i="82"/>
  <c r="F19" i="82"/>
  <c r="AA19" i="82" s="1"/>
  <c r="C19" i="82"/>
  <c r="AC17" i="82"/>
  <c r="W17" i="82"/>
  <c r="Q17" i="82"/>
  <c r="Z17" i="82" s="1"/>
  <c r="J17" i="82"/>
  <c r="F17" i="82"/>
  <c r="AA17" i="82" s="1"/>
  <c r="C17" i="82"/>
  <c r="AC15" i="82"/>
  <c r="W15" i="82"/>
  <c r="Q15" i="82"/>
  <c r="Z15" i="82" s="1"/>
  <c r="J15" i="82"/>
  <c r="F15" i="82"/>
  <c r="AA15" i="82" s="1"/>
  <c r="C15" i="82"/>
  <c r="AC14" i="82"/>
  <c r="W14" i="82"/>
  <c r="Q14" i="82"/>
  <c r="Z14" i="82" s="1"/>
  <c r="J14" i="82"/>
  <c r="H14" i="82"/>
  <c r="AB14" i="82" s="1"/>
  <c r="F14" i="82"/>
  <c r="AA14" i="82" s="1"/>
  <c r="Q13" i="82"/>
  <c r="Z13" i="82" s="1"/>
  <c r="H13" i="82"/>
  <c r="AB13" i="82" s="1"/>
  <c r="Q12" i="82"/>
  <c r="Z12" i="82" s="1"/>
  <c r="J12" i="82"/>
  <c r="AC12" i="82" s="1"/>
  <c r="H12" i="82"/>
  <c r="AB12" i="82" s="1"/>
  <c r="F12" i="82"/>
  <c r="AA12" i="82" s="1"/>
  <c r="Q11" i="82"/>
  <c r="Z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I7" i="82"/>
  <c r="G7" i="82"/>
  <c r="C7" i="82"/>
  <c r="C58" i="82" s="1"/>
  <c r="D58" i="82" s="1"/>
  <c r="E58" i="82" s="1"/>
  <c r="F58" i="82" s="1"/>
  <c r="G58" i="82" s="1"/>
  <c r="H58" i="82" s="1"/>
  <c r="I58" i="82" s="1"/>
  <c r="J58" i="82" s="1"/>
  <c r="K58" i="82" s="1"/>
  <c r="L58" i="82" s="1"/>
  <c r="M58" i="82" s="1"/>
  <c r="N58" i="82" s="1"/>
  <c r="O58" i="82" s="1"/>
  <c r="D2" i="82"/>
  <c r="W32" i="82" l="1"/>
  <c r="AB8" i="82"/>
  <c r="S12" i="82"/>
  <c r="U13" i="82"/>
  <c r="S26" i="82"/>
  <c r="S30" i="82"/>
  <c r="S39" i="82"/>
  <c r="S43" i="82"/>
  <c r="AC45" i="82"/>
  <c r="W45" i="82"/>
  <c r="AC46" i="82"/>
  <c r="W46" i="82"/>
  <c r="S46" i="82"/>
  <c r="G79" i="82"/>
  <c r="H17" i="82"/>
  <c r="AB45" i="82"/>
  <c r="U45" i="82"/>
  <c r="F7" i="82"/>
  <c r="H7" i="82"/>
  <c r="J7" i="82"/>
  <c r="S9" i="82"/>
  <c r="U10" i="82"/>
  <c r="W12" i="82"/>
  <c r="S14" i="82"/>
  <c r="S15" i="82"/>
  <c r="S17" i="82"/>
  <c r="S19" i="82"/>
  <c r="S21" i="82"/>
  <c r="S23" i="82"/>
  <c r="U25" i="82"/>
  <c r="W26" i="82"/>
  <c r="S28" i="82"/>
  <c r="U29" i="82"/>
  <c r="W30" i="82"/>
  <c r="S32" i="82"/>
  <c r="AB33" i="82"/>
  <c r="U33" i="82"/>
  <c r="S33" i="82"/>
  <c r="U34" i="82"/>
  <c r="S35" i="82"/>
  <c r="U36" i="82"/>
  <c r="S37" i="82"/>
  <c r="U38" i="82"/>
  <c r="W39" i="82"/>
  <c r="S41" i="82"/>
  <c r="U42" i="82"/>
  <c r="W43" i="82"/>
  <c r="AC13" i="82"/>
  <c r="W13" i="82"/>
  <c r="G77" i="82"/>
  <c r="H15" i="82"/>
  <c r="G81" i="82"/>
  <c r="H19" i="82"/>
  <c r="H37" i="82"/>
  <c r="H113" i="82"/>
  <c r="K141" i="82"/>
  <c r="U9" i="82"/>
  <c r="S10" i="82"/>
  <c r="W10" i="82"/>
  <c r="U12" i="82"/>
  <c r="F13" i="82"/>
  <c r="U14" i="82"/>
  <c r="H21" i="82"/>
  <c r="H23" i="82"/>
  <c r="S25" i="82"/>
  <c r="W25" i="82"/>
  <c r="U26" i="82"/>
  <c r="S27" i="82"/>
  <c r="W27" i="82"/>
  <c r="U28" i="82"/>
  <c r="S29" i="82"/>
  <c r="W29" i="82"/>
  <c r="U30" i="82"/>
  <c r="S31" i="82"/>
  <c r="W31" i="82"/>
  <c r="U32" i="82"/>
  <c r="S34" i="82"/>
  <c r="W34" i="82"/>
  <c r="H35" i="82"/>
  <c r="S36" i="82"/>
  <c r="W36" i="82"/>
  <c r="S38" i="82"/>
  <c r="W38" i="82"/>
  <c r="U39" i="82"/>
  <c r="S40" i="82"/>
  <c r="W40" i="82"/>
  <c r="U41" i="82"/>
  <c r="S42" i="82"/>
  <c r="W42" i="82"/>
  <c r="U43" i="82"/>
  <c r="S44" i="82"/>
  <c r="W44" i="82"/>
  <c r="K145" i="82"/>
  <c r="U46" i="82"/>
  <c r="K144" i="82"/>
  <c r="AB23" i="82" l="1"/>
  <c r="U23" i="82"/>
  <c r="W7" i="82"/>
  <c r="AC7" i="82"/>
  <c r="AB19" i="82"/>
  <c r="U19" i="82"/>
  <c r="AB15" i="82"/>
  <c r="U15" i="82"/>
  <c r="S7" i="82"/>
  <c r="AA7" i="82"/>
  <c r="AB35" i="82"/>
  <c r="U35" i="82"/>
  <c r="AB21" i="82"/>
  <c r="U21" i="82"/>
  <c r="AA13" i="82"/>
  <c r="S13" i="82"/>
  <c r="AB37" i="82"/>
  <c r="U37" i="82"/>
  <c r="AB7" i="82"/>
  <c r="U7" i="82"/>
  <c r="AB17" i="82"/>
  <c r="U17" i="82"/>
  <c r="C33" i="21"/>
  <c r="I7" i="21"/>
  <c r="G7" i="21"/>
  <c r="C258" i="81" l="1"/>
  <c r="C259" i="81" s="1"/>
  <c r="C186" i="81"/>
  <c r="F19" i="80"/>
  <c r="J14" i="80"/>
  <c r="J18" i="80"/>
  <c r="J17" i="80"/>
  <c r="J10" i="80" l="1"/>
  <c r="J3" i="80"/>
  <c r="J4" i="80"/>
  <c r="J5" i="80"/>
  <c r="J6" i="80"/>
  <c r="J7" i="80"/>
  <c r="J8" i="80"/>
  <c r="J9" i="80"/>
  <c r="J11" i="80"/>
  <c r="J12" i="80"/>
  <c r="J13" i="80"/>
  <c r="J15" i="80"/>
  <c r="J16" i="80"/>
  <c r="J2" i="80"/>
  <c r="E19" i="80"/>
  <c r="G19" i="80"/>
  <c r="F23" i="80"/>
  <c r="F22" i="80"/>
  <c r="F27" i="80"/>
  <c r="I25" i="79" l="1"/>
  <c r="F22" i="6" l="1"/>
  <c r="F21" i="6"/>
  <c r="F20" i="6"/>
  <c r="Q13" i="3"/>
  <c r="F23" i="6" s="1"/>
  <c r="O14" i="3"/>
  <c r="M14" i="3"/>
  <c r="K14" i="3"/>
  <c r="I13" i="3"/>
  <c r="F19" i="6" s="1"/>
  <c r="F26" i="80"/>
  <c r="F25" i="80"/>
  <c r="F24" i="80"/>
  <c r="F23" i="77"/>
  <c r="E23" i="77"/>
  <c r="F12" i="77"/>
  <c r="C24" i="77"/>
  <c r="C23" i="77"/>
  <c r="Q11" i="78"/>
  <c r="N10" i="78"/>
  <c r="Q10" i="78"/>
  <c r="E26" i="80"/>
  <c r="E25" i="80"/>
  <c r="E24" i="80"/>
  <c r="E23" i="80"/>
  <c r="C22" i="80"/>
  <c r="C21" i="80"/>
  <c r="D19" i="80"/>
  <c r="C23" i="80"/>
  <c r="J69" i="78" l="1"/>
  <c r="K69" i="78"/>
  <c r="L10" i="1" l="1"/>
  <c r="L9" i="1"/>
  <c r="O8" i="78"/>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N10" i="1" l="1"/>
  <c r="N9" i="1"/>
  <c r="N8" i="1"/>
  <c r="N7" i="1"/>
  <c r="L8" i="1"/>
  <c r="H10" i="1"/>
  <c r="H9" i="1"/>
  <c r="H8" i="1"/>
  <c r="H7" i="1"/>
  <c r="I10"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AC21" i="21" s="1"/>
  <c r="C40" i="69"/>
  <c r="F38" i="68"/>
  <c r="E37" i="68"/>
  <c r="F36" i="68"/>
  <c r="F35" i="68"/>
  <c r="F21" i="68"/>
  <c r="C21" i="68"/>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F85" i="21" s="1"/>
  <c r="G85" i="21" s="1"/>
  <c r="F19" i="21"/>
  <c r="AA19" i="21" s="1"/>
  <c r="E81" i="21"/>
  <c r="F81" i="21" s="1"/>
  <c r="G81" i="21" s="1"/>
  <c r="D77" i="21"/>
  <c r="E77" i="21"/>
  <c r="F15" i="21" s="1"/>
  <c r="S15" i="21" s="1"/>
  <c r="B130" i="21"/>
  <c r="H46" i="21" s="1"/>
  <c r="B128" i="21"/>
  <c r="J45" i="21" s="1"/>
  <c r="W45" i="21"/>
  <c r="B126" i="21"/>
  <c r="B98" i="21"/>
  <c r="B96" i="21"/>
  <c r="B94" i="21"/>
  <c r="J29" i="21"/>
  <c r="AC29" i="21" s="1"/>
  <c r="B92" i="21"/>
  <c r="B90" i="21"/>
  <c r="J27" i="21" s="1"/>
  <c r="B74" i="21"/>
  <c r="J14" i="21" s="1"/>
  <c r="W14" i="21" s="1"/>
  <c r="B72" i="21"/>
  <c r="H13" i="21"/>
  <c r="AB13" i="21" s="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F26" i="21"/>
  <c r="S26" i="21" s="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C27" i="39"/>
  <c r="C15" i="39"/>
  <c r="H32" i="33"/>
  <c r="AB32" i="33"/>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W42" i="21" s="1"/>
  <c r="H42" i="21"/>
  <c r="U42" i="21" s="1"/>
  <c r="J44" i="34"/>
  <c r="F44" i="34"/>
  <c r="AA44" i="34" s="1"/>
  <c r="J10" i="35"/>
  <c r="W10" i="35" s="1"/>
  <c r="BL587" i="3"/>
  <c r="F14" i="21"/>
  <c r="S14" i="21" s="1"/>
  <c r="H30" i="21"/>
  <c r="U30" i="21" s="1"/>
  <c r="F30" i="21"/>
  <c r="S30" i="21" s="1"/>
  <c r="J30" i="21"/>
  <c r="AC30" i="21" s="1"/>
  <c r="J44" i="21"/>
  <c r="AC44" i="21"/>
  <c r="H44" i="21"/>
  <c r="U44" i="21"/>
  <c r="F44" i="21"/>
  <c r="AA44" i="21"/>
  <c r="E119" i="21"/>
  <c r="F119" i="21" s="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F27" i="21"/>
  <c r="AA27" i="21" s="1"/>
  <c r="H29" i="21"/>
  <c r="U29" i="21" s="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W44" i="21"/>
  <c r="U26" i="21"/>
  <c r="U12" i="21"/>
  <c r="AB38" i="21"/>
  <c r="F43" i="33"/>
  <c r="AA43" i="33" s="1"/>
  <c r="W15" i="34"/>
  <c r="W16" i="35"/>
  <c r="G107" i="37"/>
  <c r="H107" i="37" s="1"/>
  <c r="I107" i="37" s="1"/>
  <c r="J107" i="37" s="1"/>
  <c r="K107" i="37" s="1"/>
  <c r="L107" i="37" s="1"/>
  <c r="M107" i="37" s="1"/>
  <c r="H37" i="21"/>
  <c r="U37" i="21" s="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s="1"/>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H86" i="43"/>
  <c r="H87" i="43"/>
  <c r="K9" i="1"/>
  <c r="M9" i="1" s="1"/>
  <c r="O9" i="1" s="1"/>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41" i="21"/>
  <c r="AA43" i="21"/>
  <c r="AC40" i="21"/>
  <c r="J15" i="21"/>
  <c r="W15" i="21" s="1"/>
  <c r="F23" i="21"/>
  <c r="S23" i="21" s="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S45" i="21"/>
  <c r="F33" i="21"/>
  <c r="AA33" i="21" s="1"/>
  <c r="J33" i="21"/>
  <c r="AC33" i="21" s="1"/>
  <c r="H33" i="21"/>
  <c r="F37" i="21"/>
  <c r="AA37" i="21" s="1"/>
  <c r="U13" i="21"/>
  <c r="W8" i="21"/>
  <c r="J37" i="21"/>
  <c r="W37" i="21" s="1"/>
  <c r="W39" i="21"/>
  <c r="W30" i="21"/>
  <c r="H45" i="21"/>
  <c r="U45" i="21" s="1"/>
  <c r="F29" i="21"/>
  <c r="S29" i="21" s="1"/>
  <c r="F13" i="21"/>
  <c r="AA13" i="21" s="1"/>
  <c r="AC38" i="21"/>
  <c r="H32" i="21"/>
  <c r="U32" i="21" s="1"/>
  <c r="H9" i="21"/>
  <c r="AB9" i="21" s="1"/>
  <c r="J32" i="21"/>
  <c r="W32" i="21" s="1"/>
  <c r="F32" i="21"/>
  <c r="AA32" i="21" s="1"/>
  <c r="W29" i="21"/>
  <c r="S19" i="21"/>
  <c r="AA9" i="21"/>
  <c r="K141" i="21"/>
  <c r="K144" i="21"/>
  <c r="K143" i="21"/>
  <c r="AB44" i="21"/>
  <c r="W13" i="21"/>
  <c r="AC45" i="21"/>
  <c r="F10" i="21"/>
  <c r="AA10" i="21" s="1"/>
  <c r="K145" i="21"/>
  <c r="AA29" i="21"/>
  <c r="AC34" i="21"/>
  <c r="W10" i="21"/>
  <c r="W12" i="21"/>
  <c r="W30" i="40"/>
  <c r="C23" i="40"/>
  <c r="U30" i="40"/>
  <c r="B54"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J23" i="21"/>
  <c r="AC23" i="21" s="1"/>
  <c r="H23" i="21"/>
  <c r="U23" i="21" s="1"/>
  <c r="D6" i="52"/>
  <c r="J59" i="9"/>
  <c r="J61" i="9" s="1"/>
  <c r="W33" i="21"/>
  <c r="S33" i="21"/>
  <c r="U9"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D2" i="35"/>
  <c r="B13" i="76"/>
  <c r="AO13" i="1"/>
  <c r="F3" i="73"/>
  <c r="B12" i="76"/>
  <c r="E2" i="69"/>
  <c r="D2" i="37"/>
  <c r="AO8" i="1"/>
  <c r="D6" i="73"/>
  <c r="B11" i="76"/>
  <c r="F4" i="73"/>
  <c r="F7" i="73"/>
  <c r="AO9" i="1"/>
  <c r="E8" i="76"/>
  <c r="E12" i="76"/>
  <c r="B10" i="76"/>
  <c r="E9" i="76"/>
  <c r="D5" i="73"/>
  <c r="E2" i="68"/>
  <c r="E11" i="76"/>
  <c r="D7" i="73"/>
  <c r="D4" i="73"/>
  <c r="D2" i="21"/>
  <c r="AO6" i="1"/>
  <c r="B8" i="76"/>
  <c r="D3" i="73"/>
  <c r="D2" i="34"/>
  <c r="D2" i="33"/>
  <c r="E7" i="76"/>
  <c r="D2" i="36"/>
  <c r="AO7" i="1"/>
  <c r="E13" i="76"/>
  <c r="F6" i="73"/>
  <c r="AO12" i="1"/>
  <c r="F20" i="31"/>
  <c r="B7" i="76"/>
  <c r="F5" i="73"/>
  <c r="E10" i="76"/>
  <c r="AO10" i="1"/>
  <c r="B9" i="76"/>
  <c r="K10" i="1" l="1"/>
  <c r="M10" i="1" s="1"/>
  <c r="O10" i="1" s="1"/>
  <c r="D3" i="82"/>
  <c r="S40" i="21"/>
  <c r="AC37" i="21"/>
  <c r="AB37" i="21"/>
  <c r="AC35" i="21"/>
  <c r="AC42" i="21"/>
  <c r="AA38" i="21"/>
  <c r="U34" i="21"/>
  <c r="U46" i="21"/>
  <c r="AB46" i="21"/>
  <c r="AB45" i="21"/>
  <c r="F46" i="21"/>
  <c r="J46" i="21"/>
  <c r="S41" i="21"/>
  <c r="U40" i="21"/>
  <c r="AB41" i="21"/>
  <c r="S39" i="21"/>
  <c r="AB39" i="21"/>
  <c r="AB42" i="21"/>
  <c r="AB36" i="21"/>
  <c r="AA36" i="21"/>
  <c r="W36" i="21"/>
  <c r="S35" i="21"/>
  <c r="U35" i="21"/>
  <c r="S34" i="21"/>
  <c r="AC19" i="21"/>
  <c r="W27" i="21"/>
  <c r="AC27" i="21"/>
  <c r="W25" i="21"/>
  <c r="AA30" i="21"/>
  <c r="AB25" i="21"/>
  <c r="AA25" i="21"/>
  <c r="H27" i="21"/>
  <c r="AA23" i="21"/>
  <c r="H19" i="21"/>
  <c r="F79" i="21"/>
  <c r="F17" i="21"/>
  <c r="J17" i="21"/>
  <c r="AC15" i="21"/>
  <c r="F77" i="21"/>
  <c r="AA14" i="21"/>
  <c r="H14" i="21"/>
  <c r="U14" i="21" s="1"/>
  <c r="AA15" i="21"/>
  <c r="E101" i="21"/>
  <c r="AB32" i="21"/>
  <c r="AC32" i="21"/>
  <c r="S32" i="21"/>
  <c r="AB29" i="21"/>
  <c r="S27" i="21"/>
  <c r="AA26" i="21"/>
  <c r="S13" i="21"/>
  <c r="AC14" i="21"/>
  <c r="AB23" i="21"/>
  <c r="S21" i="21"/>
  <c r="S10" i="21"/>
  <c r="J9" i="21"/>
  <c r="AB8" i="21"/>
  <c r="S8" i="21"/>
  <c r="B65" i="4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F28" i="6" s="1"/>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E29" i="6" s="1"/>
  <c r="K15" i="1" s="1"/>
  <c r="G494" i="3"/>
  <c r="BL585" i="3"/>
  <c r="AZ585" i="3" s="1"/>
  <c r="H36" i="35"/>
  <c r="J36" i="35"/>
  <c r="AB9" i="39"/>
  <c r="U9" i="39"/>
  <c r="H45" i="39"/>
  <c r="F45" i="39"/>
  <c r="J45" i="39"/>
  <c r="W31" i="35"/>
  <c r="AC31" i="35"/>
  <c r="J35" i="39"/>
  <c r="F35" i="39"/>
  <c r="G551" i="3"/>
  <c r="BL548" i="3"/>
  <c r="AZ548" i="3" s="1"/>
  <c r="AZ424" i="3"/>
  <c r="O17" i="43"/>
  <c r="M17" i="43"/>
  <c r="N17" i="43"/>
  <c r="L17" i="43"/>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F38" i="67"/>
  <c r="F43" i="67"/>
  <c r="L47" i="15"/>
  <c r="F42" i="67"/>
  <c r="M28" i="15"/>
  <c r="F7" i="15"/>
  <c r="F36" i="15"/>
  <c r="C76" i="15"/>
  <c r="F6" i="67"/>
  <c r="M26" i="67"/>
  <c r="F8" i="15"/>
  <c r="M22" i="67"/>
  <c r="M29" i="15"/>
  <c r="M6" i="67"/>
  <c r="L48" i="15"/>
  <c r="M23" i="67"/>
  <c r="M24" i="15"/>
  <c r="M24" i="67"/>
  <c r="M23" i="15"/>
  <c r="F13" i="67"/>
  <c r="M8" i="67"/>
  <c r="F9" i="15"/>
  <c r="C76" i="67"/>
  <c r="M22" i="15"/>
  <c r="F8" i="67"/>
  <c r="F26" i="67"/>
  <c r="M27" i="67"/>
  <c r="F26" i="15"/>
  <c r="M6" i="15"/>
  <c r="M8" i="15"/>
  <c r="F40" i="15"/>
  <c r="M9" i="15"/>
  <c r="F43" i="15"/>
  <c r="F7" i="67"/>
  <c r="M29" i="67"/>
  <c r="F16" i="67"/>
  <c r="J15" i="15"/>
  <c r="F40" i="67"/>
  <c r="J15" i="67"/>
  <c r="F13" i="15"/>
  <c r="F9" i="67"/>
  <c r="F16" i="15"/>
  <c r="F37" i="15"/>
  <c r="F38" i="15"/>
  <c r="F6" i="15"/>
  <c r="F36" i="67"/>
  <c r="L47" i="67"/>
  <c r="F42" i="15"/>
  <c r="M26" i="15"/>
  <c r="L48" i="67"/>
  <c r="M27" i="15"/>
  <c r="M28" i="67"/>
  <c r="M9" i="67"/>
  <c r="F37" i="67"/>
  <c r="G1" i="73"/>
  <c r="G17" i="43" l="1"/>
  <c r="C16" i="43" s="1"/>
  <c r="S46" i="21"/>
  <c r="AA46" i="21"/>
  <c r="W46" i="21"/>
  <c r="AC46" i="21"/>
  <c r="AB27" i="21"/>
  <c r="U27" i="21"/>
  <c r="AB19" i="21"/>
  <c r="U19" i="21"/>
  <c r="AA17" i="21"/>
  <c r="S17" i="21"/>
  <c r="G79" i="21"/>
  <c r="H17" i="21"/>
  <c r="H15" i="21"/>
  <c r="G77" i="21"/>
  <c r="AB14" i="21"/>
  <c r="F101" i="21"/>
  <c r="G101" i="21" s="1"/>
  <c r="H101" i="21" s="1"/>
  <c r="I101" i="21" s="1"/>
  <c r="J101" i="21" s="1"/>
  <c r="K101" i="21" s="1"/>
  <c r="L101" i="21" s="1"/>
  <c r="M101" i="21" s="1"/>
  <c r="W9" i="21"/>
  <c r="AC9" i="2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W7" i="21" s="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F30" i="6"/>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15"/>
  <c r="C16" i="67"/>
  <c r="AB17" i="21" l="1"/>
  <c r="U17" i="21"/>
  <c r="U15" i="21"/>
  <c r="AB15" i="21"/>
  <c r="C36" i="69"/>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F31" i="6" s="1"/>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H52" i="37"/>
  <c r="H46" i="36"/>
  <c r="AC10" i="40"/>
  <c r="U10" i="40"/>
  <c r="E494" i="3"/>
  <c r="C53" i="67"/>
  <c r="C10" i="67"/>
  <c r="C5" i="67" s="1"/>
  <c r="C53" i="15"/>
  <c r="C10" i="15"/>
  <c r="C5" i="15" s="1"/>
  <c r="F24" i="67"/>
  <c r="C24" i="67" s="1"/>
  <c r="F22" i="68"/>
  <c r="F22" i="11"/>
  <c r="F22" i="69"/>
  <c r="F25" i="12"/>
  <c r="F24" i="15"/>
  <c r="C24" i="15" s="1"/>
  <c r="S4" i="43" l="1"/>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B2"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D10" i="68"/>
  <c r="D20" i="12"/>
  <c r="C20" i="12" s="1"/>
  <c r="C18" i="12" s="1"/>
  <c r="D10" i="11"/>
  <c r="C10" i="11" s="1"/>
  <c r="D10" i="69"/>
  <c r="C8" i="74"/>
  <c r="C7" i="74"/>
  <c r="C38" i="69"/>
  <c r="C35" i="69"/>
  <c r="O14" i="1"/>
  <c r="O16" i="1" s="1"/>
  <c r="M16" i="1"/>
  <c r="J52" i="37"/>
  <c r="J46" i="36"/>
  <c r="D17" i="12"/>
  <c r="C17" i="12" s="1"/>
  <c r="C20" i="11"/>
  <c r="J59" i="15"/>
  <c r="J60" i="15" s="1"/>
  <c r="C17" i="15"/>
  <c r="C14" i="67"/>
  <c r="C17" i="67"/>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B21" i="1" s="1"/>
  <c r="L16" i="1"/>
  <c r="C10" i="69"/>
  <c r="C8" i="69" s="1"/>
  <c r="C5" i="69" s="1"/>
  <c r="D19" i="69"/>
  <c r="R24" i="6"/>
  <c r="R11" i="1" s="1"/>
  <c r="R26" i="6"/>
  <c r="D7" i="74"/>
  <c r="D8" i="74"/>
  <c r="Q48" i="15"/>
  <c r="F35" i="67"/>
  <c r="C14" i="15"/>
  <c r="F35" i="15"/>
  <c r="M21" i="15"/>
  <c r="M21" i="67"/>
  <c r="D31" i="6" l="1"/>
  <c r="I6" i="6"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C11" i="39" l="1"/>
  <c r="H11" i="39" s="1"/>
  <c r="C11" i="82"/>
  <c r="C11" i="21"/>
  <c r="I5" i="6"/>
  <c r="C19" i="15"/>
  <c r="C23" i="67"/>
  <c r="C29" i="67" s="1"/>
  <c r="J14" i="67" s="1"/>
  <c r="C20" i="15"/>
  <c r="C26" i="15" s="1"/>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1" i="39" l="1"/>
  <c r="W11" i="39" s="1"/>
  <c r="F11" i="39"/>
  <c r="S11" i="39" s="1"/>
  <c r="J11" i="82"/>
  <c r="H11" i="82"/>
  <c r="F11" i="82"/>
  <c r="F11" i="21"/>
  <c r="J11" i="21"/>
  <c r="H11" i="21"/>
  <c r="J19" i="67"/>
  <c r="J17" i="67" s="1"/>
  <c r="C23" i="15"/>
  <c r="C29" i="15" s="1"/>
  <c r="J19" i="15" s="1"/>
  <c r="J17" i="15" s="1"/>
  <c r="Q49" i="67"/>
  <c r="C36" i="67"/>
  <c r="C57" i="67"/>
  <c r="C61" i="67" s="1"/>
  <c r="C59" i="67" s="1"/>
  <c r="C13" i="67"/>
  <c r="C37" i="67" s="1"/>
  <c r="J13" i="67"/>
  <c r="J23" i="67" s="1"/>
  <c r="J22" i="67"/>
  <c r="C37" i="68"/>
  <c r="AC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67"/>
  <c r="F41" i="15"/>
  <c r="AA11" i="39" l="1"/>
  <c r="U11" i="21"/>
  <c r="AB11" i="21"/>
  <c r="T48" i="21" s="1"/>
  <c r="G48" i="21" s="1"/>
  <c r="S11" i="21"/>
  <c r="AA11" i="21"/>
  <c r="R48" i="21" s="1"/>
  <c r="AB11" i="82"/>
  <c r="T48" i="82" s="1"/>
  <c r="G48" i="82" s="1"/>
  <c r="U11" i="82"/>
  <c r="W11" i="21"/>
  <c r="AC11" i="21"/>
  <c r="V48" i="21" s="1"/>
  <c r="I48" i="21" s="1"/>
  <c r="AA11" i="82"/>
  <c r="R48" i="82" s="1"/>
  <c r="S11" i="82"/>
  <c r="AC11" i="82"/>
  <c r="V48" i="82" s="1"/>
  <c r="I48" i="82" s="1"/>
  <c r="I52" i="82" s="1"/>
  <c r="J52" i="82" s="1"/>
  <c r="W11" i="82"/>
  <c r="C30" i="67"/>
  <c r="C39" i="67" s="1"/>
  <c r="C75" i="67"/>
  <c r="C13" i="15"/>
  <c r="C56" i="15" s="1"/>
  <c r="C65" i="15" s="1"/>
  <c r="Q70" i="67"/>
  <c r="C36" i="15"/>
  <c r="C33" i="15"/>
  <c r="C31" i="15" s="1"/>
  <c r="C56" i="67"/>
  <c r="C65" i="67" s="1"/>
  <c r="J14" i="15"/>
  <c r="J13" i="15" s="1"/>
  <c r="J23" i="15" s="1"/>
  <c r="Q49" i="15"/>
  <c r="C57" i="15"/>
  <c r="C61" i="15" s="1"/>
  <c r="C59" i="15" s="1"/>
  <c r="C64" i="67"/>
  <c r="J16" i="67"/>
  <c r="J25" i="67" s="1"/>
  <c r="F69" i="67"/>
  <c r="J29" i="67"/>
  <c r="F69" i="15"/>
  <c r="J29" i="15"/>
  <c r="Q57" i="67"/>
  <c r="Q66" i="67"/>
  <c r="C33" i="11"/>
  <c r="C33" i="68"/>
  <c r="L65" i="40"/>
  <c r="M63" i="40"/>
  <c r="L68" i="39"/>
  <c r="K70" i="39"/>
  <c r="L48" i="35"/>
  <c r="C26" i="43"/>
  <c r="B2" i="43" s="1"/>
  <c r="C31" i="69"/>
  <c r="C49" i="69"/>
  <c r="C51" i="69" s="1"/>
  <c r="O46" i="36"/>
  <c r="J7" i="36" s="1"/>
  <c r="O52" i="37"/>
  <c r="F7" i="37" s="1"/>
  <c r="C27" i="43"/>
  <c r="L51" i="67"/>
  <c r="B6" i="76"/>
  <c r="E6" i="76"/>
  <c r="I52" i="21" l="1"/>
  <c r="J52" i="21" s="1"/>
  <c r="R49" i="21"/>
  <c r="E48" i="21"/>
  <c r="G53" i="21"/>
  <c r="H53" i="21" s="1"/>
  <c r="G52" i="21"/>
  <c r="H52" i="21" s="1"/>
  <c r="E48" i="82"/>
  <c r="R49" i="82"/>
  <c r="G52" i="82"/>
  <c r="H52" i="82" s="1"/>
  <c r="G53" i="82"/>
  <c r="H53" i="82" s="1"/>
  <c r="C75" i="15"/>
  <c r="Q67" i="67"/>
  <c r="C40" i="67"/>
  <c r="C43" i="67" s="1"/>
  <c r="Q69" i="67"/>
  <c r="C80" i="67"/>
  <c r="C79" i="67" s="1"/>
  <c r="C37" i="15"/>
  <c r="C30" i="15" s="1"/>
  <c r="C39" i="15" s="1"/>
  <c r="J22" i="15"/>
  <c r="J16" i="15" s="1"/>
  <c r="J25" i="15" s="1"/>
  <c r="Q70" i="15"/>
  <c r="C64" i="15"/>
  <c r="C58" i="15" s="1"/>
  <c r="C67" i="15" s="1"/>
  <c r="C68" i="15" s="1"/>
  <c r="Q68" i="67"/>
  <c r="C58" i="67"/>
  <c r="C67" i="67" s="1"/>
  <c r="C68"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C49" i="82" l="1"/>
  <c r="C48" i="82"/>
  <c r="E53" i="21"/>
  <c r="F53" i="21" s="1"/>
  <c r="E52" i="21"/>
  <c r="F52" i="21" s="1"/>
  <c r="I53" i="21"/>
  <c r="J53" i="21" s="1"/>
  <c r="I53" i="82"/>
  <c r="J53" i="82" s="1"/>
  <c r="E53" i="82"/>
  <c r="F53" i="82" s="1"/>
  <c r="E52" i="82"/>
  <c r="F52" i="82" s="1"/>
  <c r="C48" i="21"/>
  <c r="C49" i="21"/>
  <c r="Q65" i="67"/>
  <c r="Q75" i="67" s="1"/>
  <c r="C83" i="67"/>
  <c r="C82" i="67" s="1"/>
  <c r="D2" i="67"/>
  <c r="B3" i="67" s="1"/>
  <c r="Q56" i="67"/>
  <c r="Q62" i="67" s="1"/>
  <c r="Q47" i="67"/>
  <c r="Q53" i="67" s="1"/>
  <c r="H7" i="35"/>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B2" i="21" l="1"/>
  <c r="C8" i="12" s="1"/>
  <c r="B3" i="21"/>
  <c r="C6" i="12" s="1"/>
  <c r="B3" i="82"/>
  <c r="G6" i="12" s="1"/>
  <c r="E7" i="83" s="1"/>
  <c r="F7" i="83" s="1"/>
  <c r="B2" i="82"/>
  <c r="G8" i="12" s="1"/>
  <c r="F7" i="40"/>
  <c r="S7" i="40" s="1"/>
  <c r="B2" i="15"/>
  <c r="B3" i="15" s="1"/>
  <c r="Q57" i="15"/>
  <c r="Q66" i="15"/>
  <c r="C43" i="15"/>
  <c r="C83" i="15"/>
  <c r="C82" i="15" s="1"/>
  <c r="Q65" i="15"/>
  <c r="Q47" i="15"/>
  <c r="Q53" i="15" s="1"/>
  <c r="Q56" i="15"/>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C4" i="12" l="1"/>
  <c r="C31" i="12" s="1"/>
  <c r="E3" i="83"/>
  <c r="F3" i="83" s="1"/>
  <c r="Q62" i="15"/>
  <c r="H7" i="39"/>
  <c r="AB7" i="39" s="1"/>
  <c r="T47" i="39" s="1"/>
  <c r="G47" i="39" s="1"/>
  <c r="Q75" i="15"/>
  <c r="C23" i="12"/>
  <c r="C56" i="11"/>
  <c r="C57" i="11"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27" i="12" l="1"/>
  <c r="C25" i="12" s="1"/>
  <c r="C30" i="12"/>
  <c r="C28" i="12" s="1"/>
  <c r="C42" i="40"/>
  <c r="C43" i="40"/>
  <c r="AA7" i="39"/>
  <c r="R47" i="39" s="1"/>
  <c r="S7" i="39"/>
  <c r="I47" i="40"/>
  <c r="J47" i="40" s="1"/>
  <c r="E46" i="40"/>
  <c r="F46" i="40" s="1"/>
  <c r="E47" i="40"/>
  <c r="F47" i="40" s="1"/>
  <c r="W7" i="39"/>
  <c r="AC7" i="39"/>
  <c r="V47" i="39" s="1"/>
  <c r="I47" i="39" s="1"/>
  <c r="I51" i="39" s="1"/>
  <c r="J51" i="39" s="1"/>
  <c r="G46" i="40"/>
  <c r="H46" i="40" s="1"/>
  <c r="G47" i="40"/>
  <c r="H47" i="40" s="1"/>
  <c r="G51" i="39"/>
  <c r="H51" i="39" s="1"/>
  <c r="E5" i="83" l="1"/>
  <c r="F5" i="83" s="1"/>
  <c r="E4" i="83"/>
  <c r="F4" i="83" s="1"/>
  <c r="E6" i="83"/>
  <c r="F6" i="83" s="1"/>
  <c r="C32" i="12"/>
  <c r="B2" i="12" s="1"/>
  <c r="G52" i="39"/>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D19" i="9"/>
  <c r="D21" i="9" l="1"/>
  <c r="D102" i="9"/>
  <c r="B3" i="12"/>
  <c r="C47" i="39"/>
  <c r="C48" i="39"/>
  <c r="I52" i="39"/>
  <c r="J52" i="39" s="1"/>
  <c r="E52" i="39"/>
  <c r="F52" i="39" s="1"/>
  <c r="E51" i="39"/>
  <c r="F51" i="39" s="1"/>
  <c r="D20" i="9"/>
  <c r="D103" i="9" l="1"/>
  <c r="B60" i="39"/>
  <c r="F60" i="39" s="1"/>
  <c r="B64" i="39"/>
  <c r="F64" i="39" s="1"/>
  <c r="B62" i="39"/>
  <c r="F62" i="39" s="1"/>
  <c r="B56" i="39"/>
  <c r="F56" i="39" s="1"/>
  <c r="C6" i="68" s="1"/>
  <c r="B65" i="39"/>
  <c r="F65" i="39" s="1"/>
  <c r="B58" i="39"/>
  <c r="F58" i="39" s="1"/>
  <c r="B57" i="39"/>
  <c r="F57" i="39" s="1"/>
  <c r="B61" i="39"/>
  <c r="F61" i="39" s="1"/>
  <c r="B59" i="39"/>
  <c r="F59" i="39" s="1"/>
  <c r="B63" i="39"/>
  <c r="F63" i="39" s="1"/>
  <c r="C7" i="68" l="1"/>
  <c r="C5" i="68" s="1"/>
  <c r="F66" i="39"/>
  <c r="B2" i="39" s="1"/>
  <c r="B3" i="39" s="1"/>
  <c r="C20" i="68" l="1"/>
  <c r="C25" i="68" s="1"/>
  <c r="C23" i="68"/>
  <c r="C28" i="68" l="1"/>
  <c r="C27" i="68" s="1"/>
  <c r="C22" i="68"/>
  <c r="C31" i="68" l="1"/>
  <c r="C52" i="68" s="1"/>
  <c r="B2" i="68" s="1"/>
  <c r="C19" i="9"/>
  <c r="C57" i="68" l="1"/>
  <c r="C56" i="68" s="1"/>
  <c r="C21" i="9"/>
  <c r="C102" i="9"/>
  <c r="G19" i="9"/>
  <c r="D22" i="9"/>
  <c r="B3" i="68"/>
  <c r="C20" i="9"/>
  <c r="D35" i="9"/>
  <c r="D34" i="9"/>
  <c r="C103" i="9" l="1"/>
  <c r="G20" i="9"/>
  <c r="G21" i="9"/>
  <c r="C32" i="9"/>
  <c r="C35" i="9" l="1"/>
  <c r="F118" i="9" s="1"/>
  <c r="H118" i="9"/>
  <c r="C34" i="9" l="1"/>
  <c r="D118" i="9" s="1"/>
  <c r="D4" i="52" s="1"/>
  <c r="B47" i="72" s="1"/>
  <c r="H4" i="52"/>
  <c r="C104" i="9"/>
  <c r="H119" i="9"/>
  <c r="H5" i="52" s="1"/>
  <c r="H101" i="9"/>
  <c r="I118" i="9"/>
  <c r="D14" i="74"/>
  <c r="F119" i="9"/>
  <c r="F5" i="52" s="1"/>
  <c r="B53" i="72" s="1"/>
  <c r="G118" i="9"/>
  <c r="G4" i="52" s="1"/>
  <c r="B52" i="72" s="1"/>
  <c r="F4" i="52"/>
  <c r="B51" i="72" s="1"/>
  <c r="D119" i="9" l="1"/>
  <c r="D5" i="52" s="1"/>
  <c r="B49" i="72" s="1"/>
  <c r="E14" i="74"/>
  <c r="F14" i="74"/>
  <c r="M48" i="9"/>
  <c r="D5" i="53"/>
  <c r="D45" i="9"/>
  <c r="H107" i="9"/>
  <c r="I4" i="52"/>
  <c r="C105" i="9"/>
  <c r="H102" i="9"/>
  <c r="D7" i="53" s="1"/>
  <c r="B21" i="72" s="1"/>
  <c r="E118" i="9"/>
  <c r="E4" i="52" s="1"/>
  <c r="B48" i="72" s="1"/>
  <c r="C78" i="9" l="1"/>
  <c r="C73" i="9" s="1"/>
  <c r="C93" i="9"/>
  <c r="C86" i="9" s="1"/>
  <c r="C85" i="9"/>
  <c r="C72" i="9"/>
  <c r="C64" i="9"/>
  <c r="C63" i="9" s="1"/>
  <c r="C67" i="9" s="1"/>
  <c r="C68" i="9" s="1"/>
  <c r="D54" i="9" s="1"/>
  <c r="D52" i="9"/>
  <c r="D53" i="9"/>
  <c r="D48" i="9" s="1"/>
  <c r="M52" i="9" s="1"/>
  <c r="D55" i="9"/>
  <c r="M53" i="9" s="1"/>
  <c r="M49" i="9"/>
  <c r="D13" i="53"/>
  <c r="D122" i="9"/>
  <c r="H108" i="9"/>
  <c r="D15" i="53" s="1"/>
  <c r="B31" i="72" s="1"/>
  <c r="D6" i="53"/>
  <c r="B22" i="72" s="1"/>
  <c r="B20" i="72"/>
  <c r="C79" i="9" l="1"/>
  <c r="C95" i="9"/>
  <c r="C96" i="9" s="1"/>
  <c r="E96" i="9" s="1"/>
  <c r="E97" i="9" s="1"/>
  <c r="G14" i="74"/>
  <c r="D123" i="9"/>
  <c r="D9" i="52" s="1"/>
  <c r="D8" i="52"/>
  <c r="D14" i="53"/>
  <c r="B32" i="72" s="1"/>
  <c r="B30" i="72"/>
  <c r="L64" i="9"/>
  <c r="M64" i="9" s="1"/>
  <c r="L63" i="9"/>
  <c r="M63" i="9" s="1"/>
  <c r="L67" i="9"/>
  <c r="M67" i="9" s="1"/>
  <c r="L68" i="9"/>
  <c r="M68" i="9" s="1"/>
  <c r="L65" i="9"/>
  <c r="M65" i="9" s="1"/>
  <c r="L66" i="9"/>
  <c r="M66" i="9" s="1"/>
  <c r="C80" i="9" l="1"/>
  <c r="E80" i="9" s="1"/>
  <c r="E81" i="9" s="1"/>
  <c r="C97" i="9"/>
  <c r="D58" i="9" s="1"/>
  <c r="D56" i="9" s="1"/>
  <c r="M54" i="9" s="1"/>
  <c r="N57" i="9" s="1"/>
  <c r="N58" i="9" s="1"/>
  <c r="M69" i="9"/>
  <c r="N69" i="9" s="1"/>
  <c r="C81" i="9" l="1"/>
  <c r="P57" i="9"/>
  <c r="N59" i="9"/>
  <c r="N61" i="9" s="1"/>
  <c r="N60" i="9" l="1"/>
  <c r="G15" i="74" l="1"/>
  <c r="B6" i="74" s="1"/>
  <c r="C6" i="74" l="1"/>
  <c r="D6" i="74"/>
  <c r="F15" i="74"/>
  <c r="E15" i="74"/>
  <c r="B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<sst xmlns="http://schemas.openxmlformats.org/spreadsheetml/2006/main" count="8562" uniqueCount="3702">
  <si>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</si>
  <si>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</si>
  <si>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</si>
  <si>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</si>
  <si>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</si>
  <si>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</si>
  <si>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</si>
  <si>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</si>
  <si>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</si>
  <si>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</si>
  <si>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</si>
  <si>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</si>
  <si>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</si>
  <si>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</si>
  <si>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</si>
  <si>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</si>
  <si>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</si>
  <si>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</si>
  <si>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</si>
  <si>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</si>
  <si>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</si>
  <si>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</si>
  <si>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</si>
  <si>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</si>
  <si>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</si>
  <si>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</si>
  <si>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</si>
  <si>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</si>
  <si>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</si>
  <si>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</si>
  <si>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</si>
  <si>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</si>
  <si>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</si>
  <si>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</si>
  <si>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</si>
  <si>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</si>
  <si>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</si>
  <si>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</si>
  <si>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</si>
  <si>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</si>
  <si>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</si>
  <si>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</si>
  <si>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</si>
  <si>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</si>
  <si>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</si>
  <si>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</si>
  <si>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</si>
  <si>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</si>
  <si>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</si>
  <si>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</si>
  <si>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</si>
  <si>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</si>
  <si>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</si>
  <si>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</si>
  <si>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</si>
  <si>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</si>
  <si>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</si>
  <si>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</si>
  <si>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</si>
  <si>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</si>
  <si>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</si>
  <si>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</si>
  <si>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</si>
  <si>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</si>
  <si>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</si>
  <si>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</si>
  <si>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</si>
  <si>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</si>
  <si>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</si>
  <si>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</si>
  <si>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</si>
  <si>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</si>
  <si>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</si>
  <si>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</si>
  <si>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</si>
  <si>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</si>
  <si>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</si>
  <si>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</si>
  <si>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</si>
  <si>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</si>
  <si>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</si>
  <si>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</si>
  <si>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</si>
  <si>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</si>
  <si>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</si>
  <si>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</si>
  <si>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</si>
  <si>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</si>
  <si>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</si>
  <si>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</si>
  <si>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</si>
  <si>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</si>
  <si>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</si>
  <si>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</si>
  <si>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</si>
  <si>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</si>
  <si>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</si>
  <si>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</si>
  <si>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</si>
  <si>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</si>
  <si>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</si>
  <si>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</si>
  <si>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</si>
  <si>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</si>
  <si>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</si>
  <si>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</si>
  <si>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</si>
  <si>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</si>
  <si>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</si>
  <si>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</si>
  <si>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</si>
  <si>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</si>
  <si>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</si>
  <si>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</si>
  <si>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</si>
  <si>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</si>
  <si>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</si>
  <si>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</si>
  <si>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</si>
  <si>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</si>
  <si>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</si>
  <si>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</si>
  <si>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</si>
  <si>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</si>
  <si>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</si>
  <si>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</si>
  <si>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</si>
  <si>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</si>
  <si>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</si>
  <si>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</si>
  <si>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</si>
  <si>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</si>
  <si>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</si>
  <si>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</si>
  <si>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</si>
  <si>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</si>
  <si>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</si>
  <si>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</si>
  <si>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</si>
  <si>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</si>
  <si>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</si>
  <si>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</si>
  <si>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</si>
  <si>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</si>
  <si>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</si>
  <si>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</si>
  <si>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</si>
  <si>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</si>
  <si>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</si>
  <si>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</si>
  <si>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</si>
  <si>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</si>
  <si>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</si>
  <si>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</si>
  <si>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</si>
  <si>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</si>
  <si>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</si>
  <si>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</si>
  <si>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</si>
  <si>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</si>
  <si>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</si>
  <si>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</si>
  <si>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</si>
  <si>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</si>
  <si>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</si>
  <si>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</si>
  <si>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</si>
  <si>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</si>
  <si>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</si>
  <si>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</si>
  <si>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</si>
  <si>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</si>
  <si>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</si>
  <si>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</si>
  <si>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</si>
  <si>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</si>
  <si>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</si>
  <si>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</si>
  <si>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</si>
  <si>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</si>
  <si>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</si>
  <si>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</si>
  <si>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</si>
  <si>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</si>
  <si>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</si>
  <si>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</si>
  <si>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</si>
  <si>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</si>
  <si>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</si>
  <si>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</si>
  <si>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</si>
  <si>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</si>
  <si>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</si>
  <si>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</si>
  <si>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</si>
  <si>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</si>
  <si>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</si>
  <si>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</si>
  <si>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</si>
  <si>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</si>
  <si>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</si>
  <si>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</si>
  <si>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</si>
  <si>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</si>
  <si>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</si>
  <si>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</si>
  <si>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</si>
  <si>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</si>
  <si>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</si>
  <si>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</si>
  <si>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</si>
  <si>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</si>
  <si>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</si>
  <si>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</si>
  <si>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</si>
  <si>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</si>
  <si>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</si>
  <si>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</si>
  <si>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</si>
  <si>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</si>
  <si>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</si>
  <si>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</si>
  <si>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</si>
  <si>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</si>
  <si>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</si>
  <si>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</si>
  <si>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</si>
  <si>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</si>
  <si>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</si>
  <si>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</si>
  <si>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</si>
  <si>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</si>
  <si>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</si>
  <si>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</si>
  <si>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</si>
  <si>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</si>
  <si>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</si>
  <si>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</si>
  <si>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</si>
  <si>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</si>
  <si>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</si>
  <si>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</si>
  <si>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</si>
  <si>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</si>
  <si>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</si>
  <si>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</si>
  <si>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</si>
  <si>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</si>
  <si>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</si>
  <si>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</si>
  <si>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</si>
  <si>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</si>
  <si>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</si>
  <si>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</si>
  <si>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</si>
  <si>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</si>
  <si>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</si>
  <si>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</si>
  <si>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</si>
  <si>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</si>
  <si>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</si>
  <si>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</si>
  <si>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</si>
  <si>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</si>
  <si>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</si>
  <si>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</si>
  <si>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</si>
  <si>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</si>
  <si>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</si>
  <si>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</si>
  <si>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</si>
  <si>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</si>
  <si>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</si>
  <si>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</si>
  <si>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</si>
  <si>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</si>
  <si>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</si>
  <si>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</si>
  <si>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</si>
  <si>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</si>
  <si>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</si>
  <si>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</si>
  <si>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</si>
  <si>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</si>
  <si>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</si>
  <si>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</si>
  <si>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</si>
  <si>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</si>
  <si>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</si>
  <si>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</si>
  <si>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</si>
  <si>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</si>
  <si>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</si>
  <si>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</si>
  <si>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</si>
  <si>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</si>
  <si>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</si>
  <si>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</si>
  <si>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</si>
  <si>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</si>
  <si>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</si>
  <si>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</si>
  <si>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</si>
  <si>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</si>
  <si>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</si>
  <si>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</si>
  <si>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</si>
  <si>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</si>
  <si>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</si>
  <si>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</si>
  <si>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</si>
  <si>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</si>
  <si>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</si>
  <si>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</si>
  <si>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</si>
  <si>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</si>
  <si>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</si>
  <si>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</si>
  <si>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</si>
  <si>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</si>
  <si>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</si>
  <si>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</si>
  <si>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</si>
  <si>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</si>
  <si>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</si>
  <si>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</si>
  <si>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</si>
  <si>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</si>
  <si>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</si>
  <si>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</si>
  <si>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</si>
  <si>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</si>
  <si>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</si>
  <si>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</si>
  <si>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</si>
  <si>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</si>
  <si>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</si>
  <si>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</si>
  <si>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</si>
  <si>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</si>
  <si>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</si>
  <si>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</si>
  <si>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</si>
  <si>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</si>
  <si>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</si>
  <si>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</si>
  <si>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</si>
  <si>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</si>
  <si>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</si>
  <si>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</si>
  <si>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</si>
  <si>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</si>
  <si>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</si>
  <si>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</si>
  <si>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</si>
  <si>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</si>
  <si>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</si>
  <si>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</si>
  <si>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</si>
  <si>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</si>
  <si>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</si>
  <si>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</si>
  <si>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</si>
  <si>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</si>
  <si>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</si>
  <si>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</si>
  <si>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</si>
  <si>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</si>
  <si>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</si>
  <si>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</si>
  <si>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</si>
  <si>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</si>
  <si>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</si>
  <si>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</si>
  <si>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</si>
  <si>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</si>
  <si>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</si>
  <si>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</si>
  <si>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</si>
  <si>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</si>
  <si>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</si>
  <si>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</si>
  <si>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</si>
  <si>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</si>
  <si>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</si>
  <si>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</si>
  <si>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</si>
  <si>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</si>
  <si>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</si>
  <si>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</si>
  <si>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</si>
  <si>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</si>
  <si>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</si>
  <si>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</si>
  <si>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</si>
  <si>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</si>
  <si>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</si>
  <si>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</si>
  <si>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</si>
  <si>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</si>
  <si>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</si>
  <si>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</si>
  <si>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</si>
  <si>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</si>
  <si>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</si>
  <si>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</si>
  <si>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</si>
  <si>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</si>
  <si>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</si>
  <si>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</si>
  <si>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</si>
  <si>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</si>
  <si>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</si>
  <si>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</si>
  <si>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</si>
  <si>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</si>
  <si>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</si>
  <si>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</si>
  <si>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</si>
  <si>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</si>
  <si>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</si>
  <si>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</si>
  <si>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</si>
  <si>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</si>
  <si>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</si>
  <si>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</si>
  <si>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</si>
  <si>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</si>
  <si>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</si>
  <si>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</si>
  <si>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</si>
  <si>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</si>
  <si>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</si>
  <si>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</si>
  <si>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</si>
  <si>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</si>
  <si>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</si>
  <si>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</si>
  <si>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</si>
  <si>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</si>
  <si>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</si>
  <si>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</si>
  <si>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</si>
  <si>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</si>
  <si>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</si>
  <si>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</si>
  <si>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</si>
  <si>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</si>
  <si>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</si>
  <si>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</si>
  <si>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</si>
  <si>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</si>
  <si>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</si>
  <si>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</si>
  <si>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</si>
  <si>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</si>
  <si>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</si>
  <si>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</si>
  <si>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</si>
  <si>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</si>
  <si>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</si>
  <si>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</si>
  <si>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</si>
  <si>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</si>
  <si>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</si>
  <si>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</si>
  <si>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</si>
  <si>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</si>
  <si>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</si>
  <si>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</si>
  <si>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</si>
  <si>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</si>
  <si>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</si>
  <si>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</si>
  <si>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</si>
  <si>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</si>
  <si>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</si>
  <si>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</si>
  <si>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</si>
  <si>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</si>
  <si>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</si>
  <si>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</si>
  <si>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</si>
  <si>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</si>
  <si>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</si>
  <si>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</si>
  <si>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</si>
  <si>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</si>
  <si>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</si>
  <si>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</si>
  <si>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</si>
  <si>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</si>
  <si>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</si>
  <si>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</si>
  <si>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</si>
  <si>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</si>
  <si>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</si>
  <si>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</si>
  <si>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</si>
  <si>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</si>
  <si>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</si>
  <si>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</si>
  <si>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</si>
  <si>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</si>
  <si>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</si>
  <si>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</si>
  <si>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</si>
  <si>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</si>
  <si>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</si>
  <si>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</si>
  <si>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</si>
  <si>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</si>
  <si>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</si>
  <si>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</si>
  <si>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</si>
  <si>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</si>
  <si>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</si>
  <si>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</si>
  <si>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</si>
  <si>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</si>
  <si>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</si>
  <si>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</si>
  <si>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</si>
  <si>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</si>
  <si>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</si>
  <si>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</si>
  <si>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</si>
  <si>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</si>
  <si>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</si>
  <si>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</si>
  <si>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</si>
  <si>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</si>
  <si>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</si>
  <si>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</si>
  <si>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</si>
  <si>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</si>
  <si>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</si>
  <si>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</si>
  <si>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</si>
  <si>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</si>
  <si>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</si>
  <si>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</si>
  <si>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</si>
  <si>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</si>
  <si>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</si>
  <si>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</si>
  <si>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</si>
  <si>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</si>
  <si>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</si>
  <si>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</si>
  <si>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</si>
  <si>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</si>
  <si>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</si>
  <si>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</si>
  <si>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</si>
  <si>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</si>
  <si>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</si>
  <si>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</si>
  <si>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</si>
  <si>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</si>
  <si>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</si>
  <si>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</si>
  <si>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</si>
  <si>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</si>
  <si>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</si>
  <si>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</si>
  <si>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</si>
  <si>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</si>
  <si>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</si>
  <si>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</si>
  <si>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</si>
  <si>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</si>
  <si>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</si>
  <si>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</si>
  <si>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</si>
  <si>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</si>
  <si>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</si>
  <si>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</si>
  <si>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</si>
  <si>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</si>
  <si>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</si>
  <si>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</si>
  <si>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</si>
  <si>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</si>
  <si>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</si>
  <si>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</si>
  <si>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</si>
  <si>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</si>
  <si>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</si>
  <si>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</si>
  <si>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</si>
  <si>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</si>
  <si>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</si>
  <si>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</si>
  <si>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</si>
  <si>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</si>
  <si>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</si>
  <si>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</si>
  <si>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</si>
  <si>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</si>
  <si>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</si>
  <si>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</si>
  <si>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</si>
  <si>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</si>
  <si>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</si>
  <si>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</si>
  <si>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</si>
  <si>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</si>
  <si>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</si>
  <si>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</si>
  <si>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</si>
  <si>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</si>
  <si>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</si>
  <si>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</si>
  <si>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</si>
  <si>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</si>
  <si>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</si>
  <si>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</si>
  <si>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</si>
  <si>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</si>
  <si>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</si>
  <si>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</si>
  <si>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</si>
  <si>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</si>
  <si>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</si>
  <si>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</si>
  <si>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</si>
  <si>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</si>
  <si>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</si>
  <si>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</si>
  <si>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</si>
  <si>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</si>
  <si>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</si>
  <si>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</si>
  <si>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</si>
  <si>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</si>
  <si>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</si>
  <si>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</si>
  <si>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</si>
  <si>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</si>
  <si>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</si>
  <si>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</si>
  <si>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</si>
  <si>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</si>
  <si>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</si>
  <si>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</si>
  <si>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</si>
  <si>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</si>
  <si>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</si>
  <si>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</si>
  <si>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</si>
  <si>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</si>
  <si>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</si>
  <si>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</si>
  <si>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</si>
  <si>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</si>
  <si>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</si>
  <si>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</si>
  <si>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</si>
  <si>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</si>
  <si>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</si>
  <si>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</si>
  <si>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</si>
  <si>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</si>
  <si>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</si>
  <si>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</si>
  <si>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</si>
  <si>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</si>
  <si>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</si>
  <si>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</si>
  <si>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</si>
  <si>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</si>
  <si>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</si>
  <si>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</si>
  <si>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</si>
  <si>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</si>
  <si>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</si>
  <si>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</si>
  <si>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</si>
  <si>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</si>
  <si>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</si>
  <si>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</si>
  <si>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</si>
  <si>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</si>
  <si>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</si>
  <si>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</si>
  <si>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</si>
  <si>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</si>
  <si>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</si>
  <si>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</si>
  <si>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</si>
  <si>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</si>
  <si>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</si>
  <si>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</si>
  <si>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</si>
  <si>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</si>
  <si>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</si>
  <si>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</si>
  <si>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</si>
  <si>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</si>
  <si>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</si>
  <si>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</si>
  <si>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</si>
  <si>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</si>
  <si>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</si>
  <si>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</si>
  <si>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</si>
  <si>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</si>
  <si>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</si>
  <si>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</si>
  <si>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</si>
  <si>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</si>
  <si>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</si>
  <si>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</si>
  <si>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</si>
  <si>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</si>
  <si>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</si>
  <si>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</si>
  <si>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</si>
  <si>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</si>
  <si>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</si>
  <si>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</si>
  <si>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</si>
  <si>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</si>
  <si>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</si>
  <si>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</si>
  <si>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</si>
  <si>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</si>
  <si>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</si>
  <si>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</si>
  <si>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</si>
  <si>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</si>
  <si>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</si>
  <si>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</si>
  <si>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</si>
  <si>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</si>
  <si>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</si>
  <si>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</si>
  <si>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</si>
  <si>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</si>
  <si>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</si>
  <si>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</si>
  <si>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</si>
  <si>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</si>
  <si>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</si>
  <si>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</si>
  <si>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</si>
  <si>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</si>
  <si>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</si>
  <si>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</si>
  <si>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</si>
  <si>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</si>
  <si>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</si>
  <si>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</si>
  <si>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</si>
  <si>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</si>
  <si>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</si>
  <si>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</si>
  <si>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</si>
  <si>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</si>
  <si>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</si>
  <si>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</si>
  <si>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</si>
  <si>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</si>
  <si>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</si>
  <si>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</si>
  <si>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</si>
  <si>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</si>
  <si>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</si>
  <si>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</si>
  <si>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</si>
  <si>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</si>
  <si>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</si>
  <si>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</si>
  <si>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</si>
  <si>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</si>
  <si>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</si>
  <si>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</si>
  <si>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</si>
  <si>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</si>
  <si>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</si>
  <si>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</si>
  <si>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</si>
  <si>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</si>
  <si>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</si>
  <si>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</si>
  <si>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</si>
  <si>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</si>
  <si>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</si>
  <si>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</si>
  <si>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</si>
  <si>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</si>
  <si>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</si>
  <si>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</si>
  <si>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</si>
  <si>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</si>
  <si>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</si>
  <si>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</si>
  <si>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</si>
  <si>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</si>
  <si>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</si>
  <si>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</si>
  <si>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</si>
  <si>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</si>
  <si>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</si>
  <si>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</si>
  <si>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</si>
  <si>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</si>
  <si>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</si>
  <si>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</si>
  <si>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</si>
  <si>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</si>
  <si>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</si>
  <si>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</si>
  <si>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</si>
  <si>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</si>
  <si>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</si>
  <si>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</si>
  <si>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</si>
  <si>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</si>
  <si>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</si>
  <si>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</si>
  <si>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</si>
  <si>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</si>
  <si>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</si>
  <si>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</si>
  <si>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</si>
  <si>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</si>
  <si>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</si>
  <si>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</si>
  <si>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</si>
  <si>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</si>
  <si>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</si>
  <si>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</si>
  <si>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</si>
  <si>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</si>
  <si>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</si>
  <si>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</si>
  <si>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</si>
  <si>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</si>
  <si>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</si>
  <si>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</si>
  <si>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</si>
  <si>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</si>
  <si>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</si>
  <si>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</si>
  <si>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</si>
  <si>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</si>
  <si>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</si>
  <si>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</si>
  <si>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</si>
  <si>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</si>
  <si>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</si>
  <si>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</si>
  <si>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</si>
  <si>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</si>
  <si>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</si>
  <si>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</si>
  <si>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</si>
  <si>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</si>
  <si>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</si>
  <si>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</si>
  <si>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</si>
  <si>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</si>
  <si>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</si>
  <si>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</si>
  <si>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</si>
  <si>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</si>
  <si>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</si>
  <si>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</si>
  <si>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</si>
  <si>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</si>
  <si>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</si>
  <si>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</si>
  <si>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</si>
  <si>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</si>
  <si>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</si>
  <si>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</si>
  <si>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</si>
  <si>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</si>
  <si>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</si>
  <si>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</si>
  <si>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</si>
  <si>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</si>
  <si>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</si>
  <si>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</si>
  <si>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</si>
  <si>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</si>
  <si>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</si>
  <si>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</si>
  <si>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</si>
  <si>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</si>
  <si>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</si>
  <si>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</si>
  <si>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</si>
  <si>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</si>
  <si>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</si>
  <si>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</si>
  <si>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</si>
  <si>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</si>
  <si>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</si>
  <si>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</si>
  <si>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</si>
  <si>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</si>
  <si>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</si>
  <si>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</si>
  <si>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</si>
  <si>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</si>
  <si>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</si>
  <si>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</si>
  <si>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</si>
  <si>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</si>
  <si>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</si>
  <si>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</si>
  <si>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</si>
  <si>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</si>
  <si>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</si>
  <si>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</si>
  <si>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</si>
  <si>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</si>
  <si>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</si>
  <si>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</si>
  <si>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</si>
  <si>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</si>
  <si>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</si>
  <si>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</si>
  <si>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</si>
  <si>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</si>
  <si>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</si>
  <si>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</si>
  <si>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</si>
  <si>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</si>
  <si>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</si>
  <si>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</si>
  <si>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</si>
  <si>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</si>
  <si>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</si>
  <si>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</si>
  <si>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</si>
  <si>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</si>
  <si>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</si>
  <si>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</si>
  <si>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</si>
  <si>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</si>
  <si>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</si>
  <si>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</si>
  <si>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</si>
  <si>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</si>
  <si>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</si>
  <si>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</si>
  <si>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</si>
  <si>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</si>
  <si>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</si>
  <si>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</si>
  <si>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</si>
  <si>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</si>
  <si>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</si>
  <si>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</si>
  <si>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</si>
  <si>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</si>
  <si>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</si>
  <si>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</si>
  <si>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</si>
  <si>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</si>
  <si>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</si>
  <si>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</si>
  <si>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</si>
  <si>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</si>
  <si>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</si>
  <si>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</si>
  <si>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</si>
  <si>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</si>
  <si>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</si>
  <si>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</si>
  <si>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</si>
  <si>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</si>
  <si>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</si>
  <si>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</si>
  <si>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</si>
  <si>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</si>
  <si>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</si>
  <si>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</si>
  <si>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</si>
  <si>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</si>
  <si>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</si>
  <si>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</si>
  <si>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</si>
  <si>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</si>
  <si>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</si>
  <si>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</si>
  <si>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</si>
  <si>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</si>
  <si>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</si>
  <si>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</si>
  <si>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</si>
  <si>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</si>
  <si>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</si>
  <si>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</si>
  <si>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</si>
  <si>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</si>
  <si>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</si>
  <si>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</si>
  <si>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</si>
  <si>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</si>
  <si>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</si>
  <si>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</si>
  <si>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</si>
  <si>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</si>
  <si>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</si>
  <si>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</si>
  <si>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</si>
  <si>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</si>
  <si>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</si>
  <si>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</si>
  <si>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</si>
  <si>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</si>
  <si>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</si>
  <si>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</si>
  <si>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</si>
  <si>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</si>
  <si>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</si>
  <si>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</si>
  <si>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</si>
  <si>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</si>
  <si>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</si>
  <si>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</si>
  <si>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</si>
  <si>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</si>
  <si>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</si>
  <si>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</si>
  <si>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</si>
  <si>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</si>
  <si>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</si>
  <si>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</si>
  <si>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</si>
  <si>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</si>
  <si>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</si>
  <si>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</si>
  <si>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</si>
  <si>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</si>
  <si>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</si>
  <si>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</si>
  <si>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</si>
  <si>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</si>
  <si>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</si>
  <si>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</si>
  <si>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</si>
  <si>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</si>
  <si>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</si>
  <si>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</si>
  <si>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</si>
  <si>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</si>
  <si>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</si>
  <si>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</si>
  <si>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</si>
  <si>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</si>
  <si>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</si>
  <si>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</si>
  <si>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</si>
  <si>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</si>
  <si>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</si>
  <si>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</si>
  <si>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</si>
  <si>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</si>
  <si>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</si>
  <si>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</si>
  <si>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</si>
  <si>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</si>
  <si>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</si>
  <si>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</si>
  <si>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</si>
  <si>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</si>
  <si>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</si>
  <si>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</si>
  <si>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</si>
  <si>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</si>
  <si>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</si>
  <si>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</si>
  <si>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</si>
  <si>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</si>
  <si>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</si>
  <si>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</si>
  <si>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</si>
  <si>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</si>
  <si>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</si>
  <si>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</si>
  <si>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</si>
  <si>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</si>
  <si>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</si>
  <si>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</si>
  <si>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</si>
  <si>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</si>
  <si>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</si>
  <si>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</si>
  <si>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</si>
  <si>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</si>
  <si>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</si>
  <si>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</si>
  <si>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</si>
  <si>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</si>
  <si>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</si>
  <si>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</si>
  <si>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</si>
  <si>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</si>
  <si>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</si>
  <si>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</si>
  <si>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</si>
  <si>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</si>
  <si>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</si>
  <si>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</si>
  <si>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</si>
  <si>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</si>
  <si>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</si>
  <si>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</si>
  <si>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</si>
  <si>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</si>
  <si>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</si>
  <si>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</si>
  <si>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</si>
  <si>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</si>
  <si>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</si>
  <si>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</si>
  <si>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</si>
  <si>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</si>
  <si>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</si>
  <si>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</si>
  <si>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</si>
  <si>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</si>
  <si>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</si>
  <si>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</si>
  <si>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</si>
  <si>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</si>
  <si>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</si>
  <si>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</si>
  <si>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</si>
  <si>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</si>
  <si>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</si>
  <si>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</si>
  <si>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</si>
  <si>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</si>
  <si>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</si>
  <si>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</si>
  <si>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</si>
  <si>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</si>
  <si>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</si>
  <si>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</si>
  <si>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</si>
  <si>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</si>
  <si>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</si>
  <si>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</si>
  <si>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</si>
  <si>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</si>
  <si>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</si>
  <si>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</si>
  <si>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</si>
  <si>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</si>
  <si>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</si>
  <si>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</si>
  <si>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</si>
  <si>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</si>
  <si>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</si>
  <si>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</si>
  <si>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</si>
  <si>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</si>
  <si>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</si>
  <si>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</si>
  <si>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</si>
  <si>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</si>
  <si>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</si>
  <si>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</si>
  <si>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</si>
  <si>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</si>
  <si>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</si>
  <si>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</si>
  <si>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</si>
  <si>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</si>
  <si>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</si>
  <si>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</si>
  <si>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</si>
  <si>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</si>
  <si>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</si>
  <si>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</si>
  <si>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</si>
  <si>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</si>
  <si>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</si>
  <si>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</si>
  <si>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</si>
  <si>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</si>
  <si>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</si>
  <si>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</si>
  <si>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</si>
  <si>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</si>
  <si>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</si>
  <si>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</si>
  <si>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</si>
  <si>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</si>
  <si>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</si>
  <si>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</si>
  <si>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</si>
  <si>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</si>
  <si>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</si>
  <si>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</si>
  <si>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</si>
  <si>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</si>
  <si>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</si>
  <si>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</si>
  <si>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</si>
  <si>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</si>
  <si>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</si>
  <si>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</si>
  <si>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</si>
  <si>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</si>
  <si>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</si>
  <si>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</si>
  <si>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</si>
  <si>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</si>
  <si>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</si>
  <si>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</si>
  <si>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</si>
  <si>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</si>
  <si>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</si>
  <si>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</si>
  <si>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</si>
  <si>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</si>
  <si>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</si>
  <si>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</si>
  <si>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</si>
  <si>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</si>
  <si>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</si>
  <si>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</si>
  <si>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</si>
  <si>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</si>
  <si>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</si>
  <si>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</si>
  <si>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</si>
  <si>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</si>
  <si>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</si>
  <si>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</si>
  <si>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</si>
  <si>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</si>
  <si>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</si>
  <si>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</si>
  <si>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</si>
  <si>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</si>
  <si>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</si>
  <si>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</si>
  <si>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</si>
  <si>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</si>
  <si>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</si>
  <si>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</si>
  <si>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</si>
  <si>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</si>
  <si>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</si>
  <si>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</si>
  <si>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</si>
  <si>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</si>
  <si>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</si>
  <si>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</si>
  <si>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</si>
  <si>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</si>
  <si>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</si>
  <si>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</si>
  <si>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</si>
  <si>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</si>
  <si>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</si>
  <si>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</si>
  <si>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</si>
  <si>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</si>
  <si>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</si>
  <si>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</si>
  <si>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</si>
  <si>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</si>
  <si>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</si>
  <si>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</si>
  <si>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</si>
  <si>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</si>
  <si>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</si>
  <si>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</si>
  <si>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</si>
  <si>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</si>
  <si>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</si>
  <si>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</si>
  <si>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</si>
  <si>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</si>
  <si>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</si>
  <si>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</si>
  <si>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</si>
  <si>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</si>
  <si>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</si>
  <si>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</si>
  <si>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</si>
  <si>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</si>
  <si>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</si>
  <si>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</si>
  <si>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</si>
  <si>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</si>
  <si>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</si>
  <si>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</si>
  <si>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</si>
  <si>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</si>
  <si>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</si>
  <si>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</si>
  <si>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</si>
  <si>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</si>
  <si>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</si>
  <si>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</si>
  <si>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</si>
  <si>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</si>
  <si>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</si>
  <si>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</si>
  <si>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</si>
  <si>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</si>
  <si>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</si>
  <si>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</si>
  <si>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</si>
  <si>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</si>
  <si>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</si>
  <si>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</si>
  <si>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</si>
  <si>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</si>
  <si>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</si>
  <si>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</si>
  <si>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</si>
  <si>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</si>
  <si>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</si>
  <si>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</si>
  <si>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</si>
  <si>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</si>
  <si>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</si>
  <si>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</si>
  <si>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</si>
  <si>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</si>
  <si>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</si>
  <si>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</si>
  <si>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</si>
  <si>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</si>
  <si>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</si>
  <si>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</si>
  <si>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</si>
  <si>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</si>
  <si>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</si>
  <si>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</si>
  <si>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</si>
  <si>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</si>
  <si>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</si>
  <si>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</si>
  <si>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</si>
  <si>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</si>
  <si>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</si>
  <si>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</si>
  <si>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</si>
  <si>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</si>
  <si>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</si>
  <si>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</si>
  <si>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</si>
  <si>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</si>
  <si>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</si>
  <si>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</si>
  <si>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</si>
  <si>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</si>
  <si>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</si>
  <si>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</si>
  <si>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</si>
  <si>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</si>
  <si>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</si>
  <si>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</si>
  <si>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</si>
  <si>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</si>
  <si>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</si>
  <si>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</si>
  <si>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</si>
  <si>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</si>
  <si>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</si>
  <si>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</si>
  <si>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</si>
  <si>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</si>
  <si>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</si>
  <si>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</si>
  <si>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</si>
  <si>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</si>
  <si>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</si>
  <si>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</si>
  <si>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</si>
  <si>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</si>
  <si>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</si>
  <si>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</si>
  <si>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</si>
  <si>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</si>
  <si>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</si>
  <si>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</si>
  <si>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</si>
  <si>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</si>
  <si>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</si>
  <si>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</si>
  <si>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</si>
  <si>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</si>
  <si>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</si>
  <si>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</si>
  <si>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</si>
  <si>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</si>
  <si>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</si>
  <si>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</si>
  <si>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</si>
  <si>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</si>
  <si>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</si>
  <si>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</si>
  <si>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</si>
  <si>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</si>
  <si>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</si>
  <si>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</si>
  <si>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</si>
  <si>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</si>
  <si>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</si>
  <si>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</si>
  <si>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</si>
  <si>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</si>
  <si>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</si>
  <si>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</si>
  <si>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</si>
  <si>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</si>
  <si>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</si>
  <si>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</si>
  <si>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</si>
  <si>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</si>
  <si>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</si>
  <si>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</si>
  <si>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</si>
  <si>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</si>
  <si>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</si>
  <si>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</si>
  <si>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</si>
  <si>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</si>
  <si>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</si>
  <si>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</si>
  <si>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</si>
  <si>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</si>
  <si>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</si>
  <si>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</si>
  <si>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</si>
  <si>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</si>
  <si>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</si>
  <si>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</si>
  <si>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</si>
  <si>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</si>
  <si>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</si>
  <si>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</si>
  <si>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</si>
  <si>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</si>
  <si>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</si>
  <si>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</si>
  <si>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</si>
  <si>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</si>
  <si>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</si>
  <si>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</si>
  <si>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</si>
  <si>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</si>
  <si>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</si>
  <si>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</si>
  <si>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</si>
  <si>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</si>
  <si>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</si>
  <si>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</si>
  <si>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</si>
  <si>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</si>
  <si>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</si>
  <si>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</si>
  <si>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</si>
  <si>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</si>
  <si>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</si>
  <si>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</si>
  <si>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</si>
  <si>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</si>
  <si>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</si>
  <si>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</si>
  <si>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</si>
  <si>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</si>
  <si>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</si>
  <si>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</si>
  <si>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</si>
  <si>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</si>
  <si>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</si>
  <si>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</si>
  <si>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</si>
  <si>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</si>
  <si>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</si>
  <si>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</si>
  <si>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</si>
  <si>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</si>
  <si>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</si>
  <si>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</si>
  <si>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</si>
  <si>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</si>
  <si>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</si>
  <si>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</si>
  <si>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</si>
  <si>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</si>
  <si>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</si>
  <si>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</si>
  <si>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</si>
  <si>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</si>
  <si>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</si>
  <si>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</si>
  <si>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</si>
  <si>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</si>
  <si>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</si>
  <si>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</si>
  <si>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</si>
  <si>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</si>
  <si>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</si>
  <si>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</si>
  <si>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</si>
  <si>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</si>
  <si>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</si>
  <si>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</si>
  <si>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</si>
  <si>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</si>
  <si>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</si>
  <si>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</si>
  <si>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</si>
  <si>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</si>
  <si>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</si>
  <si>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</si>
  <si>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</si>
  <si>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</si>
  <si>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</si>
  <si>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</si>
  <si>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</si>
  <si>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</si>
  <si>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</si>
  <si>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</si>
  <si>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</si>
  <si>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</si>
  <si>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</si>
  <si>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</si>
  <si>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</si>
  <si>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</si>
  <si>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</si>
  <si>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</si>
  <si>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</si>
  <si>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</si>
  <si>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</si>
  <si>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</si>
  <si>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</si>
  <si>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</si>
  <si>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</si>
  <si>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</si>
  <si>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</si>
  <si>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</si>
  <si>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</si>
  <si>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</si>
  <si>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</si>
  <si>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</si>
  <si>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</si>
  <si>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</si>
  <si>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</si>
  <si>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</si>
  <si>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</si>
  <si>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</si>
  <si>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</si>
  <si>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</si>
  <si>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</si>
  <si>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</si>
  <si>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</si>
  <si>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</si>
  <si>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</si>
  <si>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</si>
  <si>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</si>
  <si>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</si>
  <si>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</si>
  <si>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</si>
  <si>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</si>
  <si>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</si>
  <si>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</si>
  <si>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</si>
  <si>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</si>
  <si>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</si>
  <si>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</si>
  <si>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</si>
  <si>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</si>
  <si>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</si>
  <si>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</si>
  <si>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</si>
  <si>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</si>
  <si>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</si>
  <si>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</si>
  <si>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</si>
  <si>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</si>
  <si>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</si>
  <si>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</si>
  <si>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</si>
  <si>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</si>
  <si>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</si>
  <si>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</si>
  <si>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</si>
  <si>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</si>
  <si>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</si>
  <si>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</si>
  <si>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</si>
  <si>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</si>
  <si>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</si>
  <si>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</si>
  <si>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</si>
  <si>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</si>
  <si>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</si>
  <si>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</si>
  <si>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</si>
  <si>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</si>
  <si>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</si>
  <si>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</si>
  <si>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</si>
  <si>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</si>
  <si>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</si>
  <si>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</si>
  <si>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</si>
  <si>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</si>
  <si>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</si>
  <si>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</si>
  <si>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</si>
  <si>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</si>
  <si>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</si>
  <si>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</si>
  <si>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</si>
  <si>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</si>
  <si>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</si>
  <si>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</si>
  <si>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</si>
  <si>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</si>
  <si>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</si>
  <si>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</si>
  <si>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</si>
  <si>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</si>
  <si>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</si>
  <si>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</si>
  <si>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</si>
  <si>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</si>
  <si>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</si>
  <si>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</si>
  <si>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</si>
  <si>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</si>
  <si>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</si>
  <si>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</si>
  <si>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</si>
  <si>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</si>
  <si>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</si>
  <si>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</si>
  <si>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</si>
  <si>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</si>
  <si>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</si>
  <si>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</si>
  <si>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</si>
  <si>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</si>
  <si>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</si>
  <si>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</si>
  <si>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</si>
  <si>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</si>
  <si>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</si>
  <si>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</si>
  <si>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</si>
  <si>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</si>
  <si>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</si>
  <si>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</si>
  <si>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</si>
  <si>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</si>
  <si>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</si>
  <si>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</si>
  <si>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</si>
  <si>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</si>
  <si>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</si>
  <si>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</si>
  <si>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</si>
  <si>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</si>
  <si>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</si>
  <si>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</si>
  <si>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</si>
  <si>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</si>
  <si>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</si>
  <si>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</si>
  <si>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</si>
  <si>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</si>
  <si>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</si>
  <si>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</si>
  <si>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</si>
  <si>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</si>
  <si>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</si>
  <si>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</si>
  <si>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</si>
  <si>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</si>
  <si>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</si>
  <si>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</si>
  <si>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</si>
  <si>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</si>
  <si>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</si>
  <si>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</si>
  <si>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</si>
  <si>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</si>
  <si>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</si>
  <si>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</si>
  <si>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</si>
  <si>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</si>
  <si>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</si>
  <si>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</si>
  <si>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</si>
  <si>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</si>
  <si>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</si>
  <si>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</si>
  <si>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</si>
  <si>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</si>
  <si>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</si>
  <si>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</si>
  <si>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</si>
  <si>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</si>
  <si>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</si>
  <si>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</si>
  <si>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</si>
  <si>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</si>
  <si>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</si>
  <si>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</si>
  <si>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</si>
  <si>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</si>
  <si>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</si>
  <si>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</si>
  <si>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</si>
  <si>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</si>
  <si>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</si>
  <si>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</si>
  <si>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</si>
  <si>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</si>
  <si>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</si>
  <si>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</si>
  <si>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</si>
  <si>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</si>
  <si>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</si>
  <si>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</si>
  <si>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</si>
  <si>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</si>
  <si>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</si>
  <si>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</si>
  <si>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</si>
  <si>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</si>
  <si>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</si>
  <si>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</si>
  <si>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</si>
  <si>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</si>
  <si>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</si>
  <si>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</si>
  <si>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</si>
  <si>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</si>
  <si>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</si>
  <si>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</si>
  <si>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</si>
  <si>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</si>
  <si>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</si>
  <si>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</si>
  <si>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</si>
  <si>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</si>
  <si>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</si>
  <si>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</si>
  <si>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</si>
  <si>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</si>
  <si>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</si>
  <si>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</si>
  <si>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</si>
  <si>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</si>
  <si>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</si>
  <si>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</si>
  <si>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</si>
  <si>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</si>
  <si>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</si>
  <si>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</si>
  <si>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</si>
  <si>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</si>
  <si>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</si>
  <si>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</si>
  <si>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</si>
  <si>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</si>
  <si>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</si>
  <si>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</si>
  <si>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</si>
  <si>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</si>
  <si>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</si>
  <si>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</si>
  <si>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</si>
  <si>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</si>
  <si>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</si>
  <si>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</si>
  <si>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</si>
  <si>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</si>
  <si>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</si>
  <si>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</si>
  <si>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</si>
  <si>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</si>
  <si>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</si>
  <si>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</si>
  <si>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</si>
  <si>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</si>
  <si>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</si>
  <si>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</si>
  <si>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</si>
  <si>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</si>
  <si>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</si>
  <si>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</si>
  <si>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</si>
  <si>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</si>
  <si>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</si>
  <si>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</si>
  <si>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</si>
  <si>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</si>
  <si>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</si>
  <si>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</si>
  <si>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</si>
  <si>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</si>
  <si>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</si>
  <si>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</si>
  <si>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</si>
  <si>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</si>
  <si>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</si>
  <si>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</si>
  <si>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</si>
  <si>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</si>
  <si>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</si>
  <si>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</si>
  <si>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</si>
  <si>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</si>
  <si>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</si>
  <si>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</si>
  <si>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</si>
  <si>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</si>
  <si>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</si>
  <si>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</si>
  <si>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</si>
  <si>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</si>
  <si>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</si>
  <si>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</si>
  <si>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</si>
  <si>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</si>
  <si>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</si>
  <si>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</si>
  <si>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</si>
  <si>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</si>
  <si>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</si>
  <si>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</si>
  <si>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</si>
  <si>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</si>
  <si>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</si>
  <si>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</si>
  <si>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</si>
  <si>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</si>
  <si>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</si>
  <si>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</si>
  <si>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</si>
  <si>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</si>
  <si>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</si>
  <si>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</si>
  <si>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</si>
  <si>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</si>
  <si>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</si>
  <si>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</si>
  <si>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</si>
  <si>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</si>
  <si>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</si>
  <si>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</si>
  <si>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</si>
  <si>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</si>
  <si>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</si>
  <si>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</si>
  <si>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</si>
  <si>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</si>
  <si>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</si>
  <si>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</si>
  <si>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</si>
  <si>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</si>
  <si>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</si>
  <si>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</si>
  <si>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</si>
  <si>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</si>
  <si>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</si>
  <si>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</si>
  <si>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</si>
  <si>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</si>
  <si>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</si>
  <si>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</si>
  <si>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</si>
  <si>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</si>
  <si>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</si>
  <si>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</si>
  <si>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</si>
  <si>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</si>
  <si>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</si>
  <si>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</si>
  <si>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</si>
  <si>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</si>
  <si>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</si>
  <si>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</si>
  <si>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</si>
  <si>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</si>
  <si>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</si>
  <si>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</si>
  <si>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</si>
  <si>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</si>
  <si>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</si>
  <si>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</si>
  <si>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</si>
  <si>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</si>
  <si>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</si>
  <si>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</si>
  <si>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</si>
  <si>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</si>
  <si>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</si>
  <si>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</si>
  <si>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</si>
  <si>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</si>
  <si>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</si>
  <si>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</si>
  <si>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</si>
  <si>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</si>
  <si>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</si>
  <si>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</si>
  <si>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</si>
  <si>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</si>
  <si>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</si>
  <si>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</si>
  <si>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</si>
  <si>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</si>
  <si>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</si>
  <si>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</si>
  <si>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</si>
  <si>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</si>
  <si>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</si>
  <si>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</si>
  <si>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</si>
  <si>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</si>
  <si>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</si>
  <si>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</si>
  <si>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</si>
  <si>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</si>
  <si>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</si>
  <si>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</si>
  <si>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</si>
  <si>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</si>
  <si>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</si>
  <si>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</si>
  <si>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</si>
  <si>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</si>
  <si>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</si>
  <si>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</si>
  <si>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</si>
  <si>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</si>
  <si>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</si>
  <si>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</si>
  <si>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</si>
  <si>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</si>
  <si>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</si>
  <si>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</si>
  <si>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</si>
  <si>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</si>
  <si>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</si>
  <si>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</si>
  <si>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</si>
  <si>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</si>
  <si>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</si>
  <si>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</si>
  <si>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</si>
  <si>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</si>
  <si>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</si>
  <si>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</si>
  <si>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</si>
  <si>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</si>
  <si>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</si>
  <si>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</si>
  <si>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</si>
  <si>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</si>
  <si>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</si>
  <si>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</si>
  <si>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</si>
  <si>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</si>
  <si>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</si>
  <si>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</si>
  <si>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</si>
  <si>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</si>
  <si>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</si>
  <si>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</si>
  <si>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</si>
  <si>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</si>
  <si>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</si>
  <si>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</si>
  <si>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</si>
  <si>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</si>
  <si>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</si>
  <si>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</si>
  <si>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</si>
  <si>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</si>
  <si>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</si>
  <si>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</si>
  <si>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</si>
  <si>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</si>
  <si>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</si>
  <si>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</si>
  <si>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</si>
  <si>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</si>
  <si>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</si>
  <si>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</si>
  <si>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</si>
  <si>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</si>
  <si>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</si>
  <si>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</si>
  <si>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</si>
  <si>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</si>
  <si>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</si>
  <si>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</si>
  <si>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</si>
  <si>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</si>
  <si>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</si>
  <si>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</si>
  <si>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</si>
  <si>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</si>
  <si>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</si>
  <si>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</si>
  <si>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</si>
  <si>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</si>
  <si>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</si>
  <si>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</si>
  <si>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</si>
  <si>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</si>
  <si>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</si>
  <si>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</si>
  <si>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</si>
  <si>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</si>
  <si>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</si>
  <si>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</si>
  <si>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</si>
  <si>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</si>
  <si>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</si>
  <si>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</si>
  <si>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</si>
  <si>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</si>
  <si>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</si>
  <si>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</si>
  <si>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</si>
  <si>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</si>
  <si>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</si>
  <si>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</si>
  <si>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</si>
  <si>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</si>
  <si>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</si>
  <si>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</si>
  <si>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</si>
  <si>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</si>
  <si>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</si>
  <si>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</si>
  <si>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</si>
  <si>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</si>
  <si>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</si>
  <si>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</si>
  <si>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</si>
  <si>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</si>
  <si>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</si>
  <si>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</si>
  <si>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</si>
  <si>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</si>
  <si>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</si>
  <si>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</si>
  <si>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</si>
  <si>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</si>
  <si>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</si>
  <si>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</si>
  <si>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</si>
  <si>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</si>
  <si>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</si>
  <si>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</si>
  <si>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</si>
  <si>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</si>
  <si>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</si>
  <si>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</si>
  <si>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</si>
  <si>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</si>
  <si>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</si>
  <si>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</si>
  <si>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</si>
  <si>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</si>
  <si>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</si>
  <si>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</si>
  <si>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</si>
  <si>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</si>
  <si>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</si>
  <si>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</si>
  <si>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</si>
  <si>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</si>
  <si>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</si>
  <si>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</si>
  <si>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</si>
  <si>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</si>
  <si>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</si>
  <si>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</si>
  <si>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</si>
  <si>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</si>
  <si>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</si>
  <si>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</si>
  <si>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</si>
  <si>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</si>
  <si>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</si>
  <si>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</si>
  <si>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</si>
  <si>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</si>
  <si>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</si>
  <si>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</si>
  <si>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</si>
  <si>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</si>
  <si>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</si>
  <si>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</si>
  <si>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</si>
  <si>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</si>
  <si>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</si>
  <si>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</si>
  <si>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</si>
  <si>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</si>
  <si>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</si>
  <si>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</si>
  <si>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</si>
  <si>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</si>
  <si>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</si>
  <si>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</si>
  <si>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</si>
  <si>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</si>
  <si>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</si>
  <si>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</si>
  <si>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</si>
  <si>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</si>
  <si>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</si>
  <si>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</si>
  <si>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</si>
  <si>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</si>
  <si>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</si>
  <si>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</si>
  <si>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</si>
  <si>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</si>
  <si>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</si>
  <si>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</si>
  <si>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</si>
  <si>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</si>
  <si>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</si>
  <si>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</si>
  <si>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</si>
  <si>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</si>
  <si>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</si>
  <si>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</si>
  <si>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</si>
  <si>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</si>
  <si>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</si>
  <si>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</si>
  <si>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</si>
  <si>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</si>
  <si>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</si>
  <si>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</si>
  <si>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</si>
  <si>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</si>
  <si>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</si>
  <si>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</si>
  <si>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</si>
  <si>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</si>
  <si>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</si>
  <si>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</si>
  <si>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</si>
  <si>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</si>
  <si>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</si>
  <si>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</si>
  <si>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</si>
  <si>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</si>
  <si>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</si>
  <si>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</si>
  <si>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</si>
  <si>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</si>
  <si>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</si>
  <si>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</si>
  <si>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</si>
  <si>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</si>
  <si>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</si>
  <si>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</si>
  <si>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</si>
  <si>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</si>
  <si>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</si>
  <si>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</si>
  <si>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</si>
  <si>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</si>
  <si>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</si>
  <si>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</si>
  <si>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</si>
  <si>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</si>
  <si>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</si>
  <si>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</si>
  <si>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</si>
  <si>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</si>
  <si>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</si>
  <si>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</si>
  <si>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</si>
  <si>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</si>
  <si>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</si>
  <si>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</si>
  <si>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</si>
  <si>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</si>
  <si>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</si>
  <si>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</si>
  <si>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</si>
  <si>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</si>
  <si>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</si>
  <si>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</si>
  <si>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</si>
  <si>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</si>
  <si>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</si>
  <si>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</si>
  <si>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</si>
  <si>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</si>
  <si>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</si>
  <si>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</si>
  <si>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</si>
  <si>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</si>
  <si>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</si>
  <si>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</si>
  <si>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</si>
  <si>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</si>
  <si>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</si>
  <si>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</si>
  <si>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</si>
  <si>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</si>
  <si>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</si>
  <si>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</si>
  <si>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</si>
  <si>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</si>
  <si>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</si>
  <si>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</si>
  <si>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</si>
  <si>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</si>
  <si>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</si>
  <si>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</si>
  <si>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</si>
  <si>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</si>
  <si>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</si>
  <si>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</si>
  <si>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</si>
  <si>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</si>
  <si>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</si>
  <si>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</si>
  <si>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</si>
  <si>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</si>
  <si>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</si>
  <si>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</si>
  <si>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</si>
  <si>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</si>
  <si>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</si>
  <si>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</si>
  <si>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</si>
  <si>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</si>
  <si>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</si>
  <si>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</si>
  <si>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</si>
  <si>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</si>
  <si>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</si>
  <si>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</si>
  <si>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</si>
  <si>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</si>
  <si>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</si>
  <si>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</si>
  <si>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</si>
  <si>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</si>
  <si>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</si>
  <si>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</si>
  <si>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</si>
  <si>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</si>
  <si>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</si>
  <si>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</si>
  <si>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</si>
  <si>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</si>
  <si>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</si>
  <si>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</si>
  <si>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</si>
  <si>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</si>
  <si>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</si>
  <si>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</si>
  <si>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</si>
  <si>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</si>
  <si>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</si>
  <si>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</si>
  <si>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</si>
  <si>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</si>
  <si>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</si>
  <si>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</si>
  <si>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</si>
  <si>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</si>
  <si>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</si>
  <si>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</si>
  <si>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</si>
  <si>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</si>
  <si>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</si>
  <si>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</si>
  <si>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</si>
  <si>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</si>
  <si>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</si>
  <si>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</si>
  <si>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</si>
  <si>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</si>
  <si>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</si>
  <si>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</si>
  <si>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</si>
  <si>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</si>
  <si>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</si>
  <si>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</si>
  <si>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</si>
  <si>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</si>
  <si>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</si>
  <si>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</si>
  <si>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</si>
  <si>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</si>
  <si>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</si>
  <si>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</si>
  <si>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</si>
  <si>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</si>
  <si>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</si>
  <si>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</si>
  <si>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</si>
  <si>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</si>
  <si>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</si>
  <si>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</si>
  <si>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</si>
  <si>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</si>
  <si>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</si>
  <si>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</si>
  <si>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</si>
  <si>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</si>
  <si>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</si>
  <si>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</si>
  <si>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</si>
  <si>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</si>
  <si>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</si>
  <si>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</si>
  <si>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</si>
  <si>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</si>
  <si>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</si>
  <si>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</si>
  <si>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</si>
  <si>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</si>
  <si>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</si>
  <si>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</si>
  <si>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</si>
  <si>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</si>
  <si>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</si>
  <si>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</si>
  <si>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</si>
  <si>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</si>
  <si>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</si>
  <si>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</si>
  <si>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</si>
  <si>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</si>
  <si>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</si>
  <si>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</si>
  <si>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</si>
  <si>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</si>
  <si>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</si>
  <si>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</si>
  <si>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</si>
  <si>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</si>
  <si>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</si>
  <si>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</si>
  <si>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</si>
  <si>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</si>
  <si>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</si>
  <si>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</si>
  <si>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</si>
  <si>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</si>
  <si>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</si>
  <si>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</si>
  <si>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</si>
  <si>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</si>
  <si>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</si>
  <si>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</si>
  <si>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</si>
  <si>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</si>
  <si>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</si>
  <si>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</si>
  <si>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</si>
  <si>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</si>
  <si>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</si>
  <si>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</si>
  <si>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</si>
  <si>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</si>
  <si>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</si>
  <si>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</si>
  <si>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</si>
  <si>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</si>
  <si>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</si>
  <si>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</si>
  <si>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</si>
  <si>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</si>
  <si>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</si>
  <si>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</si>
  <si>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</si>
  <si>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</si>
  <si>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</si>
  <si>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</si>
  <si>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</si>
  <si>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</si>
  <si>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</si>
  <si>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</si>
  <si>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</si>
  <si>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</si>
  <si>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</si>
  <si>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</si>
  <si>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</si>
  <si>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</si>
  <si>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</si>
  <si>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</si>
  <si>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</si>
  <si>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</si>
  <si>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</si>
  <si>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</si>
  <si>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</si>
  <si>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</si>
  <si>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</si>
  <si>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</si>
  <si>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</si>
  <si>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</si>
  <si>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</si>
  <si>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</si>
  <si>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</si>
  <si>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</si>
  <si>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</si>
  <si>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</si>
  <si>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</si>
  <si>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</si>
  <si>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</si>
  <si>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</si>
  <si>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</si>
  <si>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</si>
  <si>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</si>
  <si>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</si>
  <si>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</si>
  <si>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</si>
  <si>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</si>
  <si>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</si>
  <si>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</si>
  <si>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</si>
  <si>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</si>
  <si>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</si>
  <si>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</si>
  <si>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</si>
  <si>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</si>
  <si>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</si>
  <si>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</si>
  <si>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</si>
  <si>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</si>
  <si>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</si>
  <si>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</si>
  <si>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</si>
  <si>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</si>
  <si>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</si>
  <si>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</si>
  <si>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</si>
  <si>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</si>
  <si>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</si>
  <si>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</si>
  <si>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</si>
  <si>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</si>
  <si>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</si>
  <si>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</si>
  <si>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</si>
  <si>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</si>
  <si>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</si>
  <si>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</si>
  <si>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</si>
  <si>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</si>
  <si>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</si>
  <si>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</si>
  <si>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</si>
  <si>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</si>
  <si>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</si>
  <si>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</si>
  <si>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</si>
  <si>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</si>
  <si>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</si>
  <si>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</si>
  <si>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</si>
  <si>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</si>
  <si>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</si>
  <si>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</si>
  <si>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</si>
  <si>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</si>
  <si>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</si>
  <si>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</si>
  <si>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</si>
  <si>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</si>
  <si>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</si>
  <si>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</si>
  <si>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</si>
  <si>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</si>
  <si>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</si>
  <si>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</si>
  <si>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</si>
  <si>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</si>
  <si>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</si>
  <si>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</si>
  <si>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</si>
  <si>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</si>
  <si>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</si>
  <si>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</si>
  <si>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</si>
  <si>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</si>
  <si>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</si>
  <si>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</si>
  <si>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</si>
  <si>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</si>
  <si>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</si>
  <si>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</si>
  <si>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</si>
  <si>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</si>
  <si>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</si>
  <si>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</si>
  <si>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</si>
  <si>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</si>
  <si>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</si>
  <si>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</si>
  <si>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</si>
  <si>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</si>
  <si>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</si>
  <si>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</si>
  <si>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</si>
  <si>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</si>
  <si>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</si>
  <si>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</si>
  <si>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</si>
  <si>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</si>
  <si>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</si>
  <si>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</si>
  <si>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</si>
  <si>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</si>
  <si>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</si>
  <si>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</si>
  <si>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</si>
  <si>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</si>
  <si>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</si>
  <si>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</si>
  <si>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</si>
  <si>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</si>
  <si>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</si>
  <si>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</si>
  <si>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</si>
  <si>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</si>
  <si>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</si>
  <si>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</si>
  <si>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</si>
  <si>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</si>
  <si>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</si>
  <si>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</si>
  <si>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</si>
  <si>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</si>
  <si>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</si>
  <si>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</si>
  <si>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</si>
  <si>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</si>
  <si>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</si>
  <si>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</si>
  <si>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</si>
  <si>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</si>
  <si>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</si>
  <si>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</si>
  <si>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</si>
  <si>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</si>
  <si>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</si>
  <si>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</si>
  <si>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</si>
  <si>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</si>
  <si>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</si>
  <si>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</si>
  <si>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</si>
  <si>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</si>
  <si>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</si>
  <si>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</si>
  <si>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</si>
  <si>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</si>
  <si>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</si>
  <si>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</si>
  <si>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</si>
  <si>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</si>
  <si>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</si>
  <si>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</si>
  <si>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</si>
  <si>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</si>
  <si>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</si>
  <si>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</si>
  <si>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</si>
  <si>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</si>
  <si>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</si>
  <si>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</si>
  <si>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</si>
  <si>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</si>
  <si>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</si>
  <si>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</si>
  <si>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</si>
  <si>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</si>
  <si>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</si>
  <si>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</si>
  <si>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</si>
  <si>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</si>
  <si>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</si>
  <si>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</si>
  <si>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</si>
  <si>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</si>
  <si>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</si>
  <si>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</si>
  <si>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</si>
  <si>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</si>
  <si>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</si>
  <si>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</si>
  <si>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</si>
  <si>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</si>
  <si>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</si>
  <si>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</si>
  <si>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</si>
  <si>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</si>
  <si>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</si>
  <si>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</si>
  <si>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</si>
  <si>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</si>
  <si>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</si>
  <si>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</si>
  <si>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</si>
  <si>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</si>
  <si>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</si>
  <si>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</si>
  <si>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</si>
  <si>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</si>
  <si>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</si>
  <si>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</si>
  <si>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</si>
  <si>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</si>
  <si>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</si>
  <si>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</si>
  <si>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</si>
  <si>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</si>
  <si>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</si>
  <si>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</si>
  <si>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</si>
  <si>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</si>
  <si>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</si>
  <si>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</si>
  <si>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</si>
  <si>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</si>
  <si>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</si>
  <si>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</si>
  <si>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</si>
  <si>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</si>
  <si>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</si>
  <si>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</si>
  <si>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</si>
  <si>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</si>
  <si>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</si>
  <si>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</si>
  <si>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</si>
  <si>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</si>
  <si>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</si>
  <si>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</si>
  <si>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</si>
  <si>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</si>
  <si>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</si>
  <si>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</si>
  <si>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</si>
  <si>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</si>
  <si>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</si>
  <si>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</si>
  <si>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</si>
  <si>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</si>
  <si>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</si>
  <si>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</si>
  <si>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</si>
  <si>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</si>
  <si>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</si>
  <si>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</si>
  <si>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</si>
  <si>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</si>
  <si>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</si>
  <si>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</si>
  <si>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</si>
  <si>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</si>
  <si>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</si>
  <si>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</si>
  <si>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</si>
  <si>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</si>
  <si>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</si>
  <si>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</si>
  <si>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</si>
  <si>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</si>
  <si>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</si>
  <si>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</si>
  <si>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</si>
  <si>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</si>
  <si>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</si>
  <si>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</si>
  <si>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</si>
  <si>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</si>
  <si>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</si>
  <si>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</si>
  <si>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</si>
  <si>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</si>
  <si>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</si>
  <si>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</si>
  <si>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</si>
  <si>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</si>
  <si>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</si>
  <si>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</si>
  <si>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</si>
  <si>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</si>
  <si>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</si>
  <si>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</si>
  <si>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</si>
  <si>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</si>
  <si>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</si>
  <si>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</si>
  <si>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</si>
  <si>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</si>
  <si>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</si>
  <si>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</si>
  <si>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</si>
  <si>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</si>
  <si>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</si>
  <si>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</si>
  <si>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</si>
  <si>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</si>
  <si>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</si>
  <si>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</si>
  <si>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</si>
  <si>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</si>
  <si>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</si>
  <si>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</si>
  <si>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</si>
  <si>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</si>
  <si>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</si>
  <si>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</si>
  <si>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</si>
  <si>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</si>
  <si>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</si>
  <si>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</si>
  <si>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</si>
  <si>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</si>
  <si>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</si>
  <si>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</si>
  <si>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</si>
  <si>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</si>
  <si>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</si>
  <si>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</si>
  <si>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</si>
  <si>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</si>
  <si>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</si>
  <si>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</si>
  <si>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</si>
  <si>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</si>
  <si>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</si>
  <si>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</si>
  <si>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</si>
  <si>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</si>
  <si>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</si>
  <si>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</si>
  <si>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</si>
  <si>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</si>
  <si>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</si>
  <si>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</si>
  <si>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</si>
  <si>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</si>
  <si>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</si>
  <si>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</si>
  <si>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</si>
  <si>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</si>
  <si>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</si>
  <si>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</si>
  <si>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</si>
  <si>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</si>
  <si>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</si>
  <si>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</si>
  <si>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</si>
  <si>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</si>
  <si>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</si>
  <si>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</si>
  <si>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</si>
  <si>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</si>
  <si>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</si>
  <si>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</si>
  <si>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</si>
  <si>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</si>
  <si>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</si>
  <si>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</si>
  <si>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</si>
  <si>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</si>
  <si>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</si>
  <si>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</si>
  <si>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</si>
  <si>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</si>
  <si>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</si>
  <si>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</si>
  <si>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</si>
  <si>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</si>
  <si>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</si>
  <si>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</si>
  <si>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</si>
  <si>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</si>
  <si>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</si>
  <si>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</si>
  <si>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</si>
  <si>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</si>
  <si>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</si>
  <si>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</si>
  <si>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</si>
  <si>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</si>
  <si>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</si>
  <si>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</si>
  <si>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</si>
  <si>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</si>
  <si>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</si>
  <si>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</si>
  <si>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</si>
  <si>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</si>
  <si>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</si>
  <si>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</si>
  <si>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</si>
  <si>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</si>
  <si>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</si>
  <si>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</si>
  <si>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</si>
  <si>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</si>
  <si>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</si>
  <si>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</si>
  <si>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</si>
  <si>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</si>
  <si>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</si>
  <si>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</si>
  <si>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</si>
  <si>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</si>
  <si>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</si>
  <si>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</si>
  <si>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</si>
  <si>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</si>
  <si>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</si>
  <si>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</si>
  <si>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</si>
  <si>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</si>
  <si>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</si>
  <si>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</si>
  <si>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</si>
  <si>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</si>
  <si>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</si>
  <si>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</si>
  <si>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</si>
  <si>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</si>
  <si>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</si>
  <si>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</si>
  <si>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</si>
  <si>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</si>
  <si>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</si>
  <si>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</si>
  <si>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</si>
  <si>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</si>
  <si>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</si>
  <si>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</si>
  <si>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</si>
  <si>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</si>
  <si>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</si>
  <si>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</si>
  <si>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</si>
  <si>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</si>
  <si>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</si>
  <si>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</si>
  <si>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</si>
  <si>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</si>
  <si>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</si>
  <si>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</si>
  <si>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</si>
  <si>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</si>
  <si>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</si>
  <si>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</si>
  <si>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</si>
  <si>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</si>
  <si>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</si>
  <si>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</si>
  <si>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</si>
  <si>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</si>
  <si>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</si>
  <si>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</si>
  <si>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</si>
  <si>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</si>
  <si>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</si>
  <si>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</si>
  <si>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</si>
  <si>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</si>
  <si>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</si>
  <si>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</si>
  <si>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</si>
  <si>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</si>
  <si>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</si>
  <si>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</si>
  <si>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</si>
  <si>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</si>
  <si>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</si>
  <si>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</si>
  <si>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</si>
  <si>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</si>
  <si>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</si>
  <si>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</si>
  <si>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</si>
  <si>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</si>
  <si>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</si>
  <si>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</si>
  <si>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</si>
  <si>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</si>
  <si>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</si>
  <si>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</si>
  <si>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</si>
  <si>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</si>
  <si>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</si>
  <si>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</si>
  <si>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</si>
  <si>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</si>
  <si>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</si>
  <si>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</si>
  <si>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</si>
  <si>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</si>
  <si>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</si>
  <si>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</si>
  <si>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</si>
  <si>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</si>
  <si>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</si>
  <si>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</si>
  <si>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</si>
  <si>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</si>
  <si>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</si>
  <si>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</si>
  <si>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</si>
  <si>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</si>
  <si>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</si>
  <si>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</si>
  <si>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</si>
  <si>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</si>
  <si>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</si>
  <si>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</si>
  <si>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</si>
  <si>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</si>
  <si>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</si>
  <si>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</si>
  <si>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</si>
  <si>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</si>
  <si>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</si>
  <si>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</si>
  <si>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</si>
  <si>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</si>
  <si>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</si>
  <si>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</si>
  <si>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</si>
  <si>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</si>
  <si>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</si>
  <si>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</si>
  <si>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</si>
  <si>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</si>
  <si>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</si>
  <si>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</si>
  <si>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</si>
  <si>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</si>
  <si>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</si>
  <si>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</si>
  <si>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</si>
  <si>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</si>
  <si>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</si>
  <si>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</si>
  <si>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</si>
  <si>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</si>
  <si>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</si>
  <si>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</si>
  <si>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</si>
  <si>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</si>
  <si>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</si>
  <si>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</si>
  <si>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</si>
  <si>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</si>
  <si>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</si>
  <si>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</si>
  <si>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</si>
  <si>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</si>
  <si>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</si>
  <si>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</si>
  <si>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</si>
  <si>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</si>
  <si>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</si>
  <si>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</si>
  <si>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</si>
  <si>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</si>
  <si>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</si>
  <si>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</si>
  <si>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</si>
  <si>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</si>
  <si>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</si>
  <si>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</si>
  <si>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</si>
  <si>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</si>
  <si>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</si>
  <si>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</si>
  <si>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</si>
  <si>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</si>
  <si>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</si>
  <si>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</si>
  <si>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</si>
  <si>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</si>
  <si>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</si>
  <si>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</si>
  <si>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</si>
  <si>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</si>
  <si>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</si>
  <si>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</si>
  <si>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</si>
  <si>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</si>
  <si>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</si>
  <si>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</si>
  <si>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</si>
  <si>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</si>
  <si>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</si>
  <si>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</si>
  <si>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</si>
  <si>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</si>
  <si>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</si>
  <si>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</si>
  <si>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</si>
  <si>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</si>
  <si>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</si>
  <si>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</si>
  <si>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</si>
  <si>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</si>
  <si>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</si>
  <si>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</si>
  <si>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</si>
  <si>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</si>
  <si>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</si>
  <si>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</si>
  <si>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</si>
  <si>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</si>
  <si>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</si>
  <si>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</si>
  <si>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</si>
  <si>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</si>
  <si>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</si>
  <si>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</si>
  <si>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</si>
  <si>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</si>
  <si>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</si>
  <si>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</si>
  <si>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</si>
  <si>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</si>
  <si>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</si>
  <si>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</si>
  <si>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</si>
  <si>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</si>
  <si>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</si>
  <si>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</si>
  <si>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</si>
  <si>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</si>
  <si>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</si>
  <si>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</si>
  <si>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</si>
  <si>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</si>
  <si>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</si>
  <si>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</si>
  <si>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</si>
  <si>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</si>
  <si>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</si>
  <si>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</si>
  <si>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</si>
  <si>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</si>
  <si>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</si>
  <si>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</si>
  <si>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</si>
  <si>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</si>
  <si>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</si>
  <si>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</si>
  <si>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</si>
  <si>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</si>
  <si>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</si>
  <si>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</si>
  <si>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</si>
  <si>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</si>
  <si>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</si>
  <si>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</si>
  <si>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</si>
  <si>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</si>
  <si>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</si>
  <si>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</si>
  <si>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</si>
  <si>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</si>
  <si>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</si>
  <si>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</si>
  <si>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</si>
  <si>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</si>
  <si>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</si>
  <si>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</si>
  <si>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</si>
  <si>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</si>
  <si>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</si>
  <si>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</si>
  <si>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</si>
  <si>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</si>
  <si>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</si>
  <si>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</si>
  <si>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</si>
  <si>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</si>
  <si>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</si>
  <si>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</si>
  <si>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</si>
  <si>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</si>
  <si>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</si>
  <si>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</si>
  <si>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</si>
  <si>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</si>
  <si>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</si>
  <si>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</si>
  <si>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</si>
  <si>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</si>
  <si>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</si>
  <si>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</si>
  <si>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</si>
  <si>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</si>
  <si>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</si>
  <si>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</si>
  <si>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</si>
  <si>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</si>
  <si>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</si>
  <si>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</si>
  <si>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</si>
  <si>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</si>
  <si>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</si>
  <si>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</si>
  <si>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</si>
  <si>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</si>
  <si>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</si>
  <si>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</si>
  <si>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</si>
  <si>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</si>
  <si>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</si>
  <si>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</si>
  <si>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</si>
  <si>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</si>
  <si>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</si>
  <si>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</si>
  <si>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</si>
  <si>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</si>
  <si>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</si>
  <si>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</si>
  <si>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</si>
  <si>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</si>
  <si>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</si>
  <si>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</si>
  <si>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</si>
  <si>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</si>
  <si>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</si>
  <si>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</si>
  <si>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</si>
  <si>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</si>
  <si>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</si>
  <si>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</si>
  <si>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</si>
  <si>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</si>
  <si>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</si>
  <si>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</si>
  <si>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</si>
  <si>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</si>
  <si>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</si>
  <si>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</si>
  <si>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</si>
  <si>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</si>
  <si>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</si>
  <si>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</si>
  <si>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</si>
  <si>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</si>
  <si>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</si>
  <si>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</si>
  <si>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</si>
  <si>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</si>
  <si>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</si>
  <si>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</si>
  <si>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</si>
  <si>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</si>
  <si>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</si>
  <si>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</si>
  <si>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</si>
  <si>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</si>
  <si>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</si>
  <si>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</si>
  <si>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</si>
  <si>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</si>
  <si>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</si>
  <si>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</si>
  <si>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</si>
  <si>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</si>
  <si>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</si>
  <si>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</si>
  <si>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</si>
  <si>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</si>
  <si>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</si>
  <si>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</si>
  <si>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</si>
  <si>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</si>
  <si>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</si>
  <si>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</si>
  <si>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</si>
  <si>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</si>
  <si>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</si>
  <si>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</si>
  <si>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</si>
  <si>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</si>
  <si>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</si>
  <si>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</si>
  <si>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</si>
  <si>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</si>
  <si>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</si>
  <si>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</si>
  <si>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</si>
  <si>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</si>
  <si>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</si>
  <si>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</si>
  <si>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</si>
  <si>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</si>
  <si>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</si>
  <si>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</si>
  <si>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</si>
  <si>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</si>
  <si>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</si>
  <si>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</si>
  <si>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</si>
  <si>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</si>
  <si>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</si>
  <si>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</si>
  <si>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</si>
  <si>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</si>
  <si>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</si>
  <si>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</si>
  <si>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</si>
  <si>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</si>
  <si>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</si>
  <si>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</si>
  <si>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</si>
  <si>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</si>
  <si>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</si>
  <si>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</si>
  <si>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</si>
  <si>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</si>
  <si>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</si>
  <si>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</si>
  <si>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</si>
  <si>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</si>
  <si>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</si>
  <si>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</si>
  <si>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</si>
  <si>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</si>
  <si>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</si>
  <si>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</si>
  <si>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</si>
  <si>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</si>
  <si>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</si>
  <si>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</si>
  <si>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</si>
  <si>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</si>
  <si>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</si>
  <si>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</si>
  <si>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</si>
  <si>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</si>
  <si>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</si>
  <si>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</si>
  <si>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</si>
  <si>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</si>
  <si>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</si>
  <si>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</si>
  <si>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</si>
  <si>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</si>
  <si>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</si>
  <si>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</si>
  <si>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</si>
  <si>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</si>
  <si>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</si>
  <si>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</si>
  <si>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</si>
  <si>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</si>
  <si>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</si>
  <si>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</si>
  <si>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</si>
  <si>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</si>
  <si>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</si>
  <si>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</si>
  <si>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</si>
  <si>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</si>
  <si>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</si>
  <si>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</si>
  <si>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</si>
  <si>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</si>
  <si>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</si>
  <si>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</si>
  <si>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</si>
  <si>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</si>
  <si>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</si>
  <si>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</si>
  <si>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</si>
  <si>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</si>
  <si>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</si>
  <si>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</si>
  <si>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</si>
  <si>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</si>
  <si>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</si>
  <si>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</si>
  <si>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</si>
  <si>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</si>
  <si>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</si>
  <si>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</si>
  <si>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</si>
  <si>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</si>
  <si>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</si>
  <si>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</si>
  <si>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</si>
  <si>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</si>
  <si>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</si>
  <si>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</si>
  <si>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</si>
  <si>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</si>
  <si>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</si>
  <si>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</si>
  <si>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</si>
  <si>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</si>
  <si>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</si>
  <si>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</si>
  <si>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</si>
  <si>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</si>
  <si>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</si>
  <si>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</si>
  <si>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</si>
  <si>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</si>
  <si>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</si>
  <si>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</si>
  <si>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</si>
  <si>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</si>
  <si>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</si>
  <si>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</si>
  <si>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</si>
  <si>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</si>
  <si>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</si>
  <si>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</si>
  <si>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</si>
  <si>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</si>
  <si>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</si>
  <si>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</si>
  <si>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</si>
  <si>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</si>
  <si>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</si>
  <si>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</si>
  <si>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</si>
  <si>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</si>
  <si>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</si>
  <si>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</si>
  <si>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</si>
  <si>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</si>
  <si>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</si>
  <si>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</si>
  <si>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</si>
  <si>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</si>
  <si>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</si>
  <si>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</si>
  <si>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</si>
  <si>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</si>
  <si>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</si>
  <si>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</si>
  <si>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</si>
  <si>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</si>
  <si>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</si>
  <si>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</si>
  <si>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</si>
  <si>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</si>
  <si>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</si>
  <si>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</si>
  <si>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</si>
  <si>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</si>
  <si>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</si>
  <si>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情况3</t>
  </si>
  <si>
    <t>出让金+开发费</t>
  </si>
  <si>
    <t>序号</t>
  </si>
  <si>
    <t>房屋坐落</t>
  </si>
  <si>
    <t>规划建筑面积（㎡）</t>
  </si>
  <si>
    <t>宁波万年基业梅山湾海港城三期(A区)2幢201号</t>
    <phoneticPr fontId="254" type="noConversion"/>
  </si>
  <si>
    <t>宁波万年基业梅山湾海港城三期(A区)2幢202号</t>
    <phoneticPr fontId="254" type="noConversion"/>
  </si>
  <si>
    <t>宁波万年基业梅山湾海港城三期(A区)2幢203号</t>
    <phoneticPr fontId="254" type="noConversion"/>
  </si>
  <si>
    <t>宁波万年基业梅山湾海港城三期(A区)2幢204号</t>
  </si>
  <si>
    <t>宁波万年基业梅山湾海港城三期(A区)2幢301号</t>
    <phoneticPr fontId="254" type="noConversion"/>
  </si>
  <si>
    <t>宁波万年基业梅山湾海港城三期(A区)2幢302号</t>
  </si>
  <si>
    <t>宁波万年基业梅山湾海港城三期(A区)2幢303号</t>
  </si>
  <si>
    <t>宁波万年基业梅山湾海港城三期(A区)2幢304号</t>
  </si>
  <si>
    <t>宁波万年基业梅山湾海港城三期(A区)2幢401号</t>
    <phoneticPr fontId="254" type="noConversion"/>
  </si>
  <si>
    <t>宁波万年基业梅山湾海港城三期(A区)2幢402号</t>
  </si>
  <si>
    <t>宁波万年基业梅山湾海港城三期(A区)2幢403号</t>
  </si>
  <si>
    <t>宁波万年基业梅山湾海港城三期(A区)2幢404号</t>
  </si>
  <si>
    <t>宁波万年基业梅山湾海港城三期(A区)2幢501号</t>
    <phoneticPr fontId="254" type="noConversion"/>
  </si>
  <si>
    <t>宁波万年基业梅山湾海港城三期(A区)2幢502号</t>
  </si>
  <si>
    <t>宁波万年基业梅山湾海港城三期(A区)2幢503号</t>
  </si>
  <si>
    <t>宁波万年基业梅山湾海港城三期(A区)2幢504号</t>
  </si>
  <si>
    <t>宁波万年基业梅山湾海港城三期(A区)2幢601号</t>
    <phoneticPr fontId="254" type="noConversion"/>
  </si>
  <si>
    <t>宁波万年基业梅山湾海港城三期(A区)2幢602号</t>
  </si>
  <si>
    <t>宁波万年基业梅山湾海港城三期(A区)2幢603号</t>
  </si>
  <si>
    <t>宁波万年基业梅山湾海港城三期(A区)2幢604号</t>
    <phoneticPr fontId="254" type="noConversion"/>
  </si>
  <si>
    <t>宁波万年基业梅山湾海港城三期(A区)2幢701号</t>
    <phoneticPr fontId="254" type="noConversion"/>
  </si>
  <si>
    <t>宁波万年基业梅山湾海港城三期(A区)2幢702号</t>
  </si>
  <si>
    <t>宁波万年基业梅山湾海港城三期(A区)2幢703号</t>
  </si>
  <si>
    <t>宁波万年基业梅山湾海港城三期(A区)2幢704号</t>
  </si>
  <si>
    <t>宁波万年基业梅山湾海港城三期(A区)2幢801号</t>
    <phoneticPr fontId="254" type="noConversion"/>
  </si>
  <si>
    <t>宁波万年基业梅山湾海港城三期(A区)2幢802号</t>
  </si>
  <si>
    <t>宁波万年基业梅山湾海港城三期(A区)2幢803号</t>
  </si>
  <si>
    <t>宁波万年基业梅山湾海港城三期(A区)2幢804号</t>
  </si>
  <si>
    <t>宁波万年基业梅山湾海港城三期(A区)2幢901号</t>
    <phoneticPr fontId="254" type="noConversion"/>
  </si>
  <si>
    <t>宁波万年基业梅山湾海港城三期(A区)2幢902号</t>
  </si>
  <si>
    <t>宁波万年基业梅山湾海港城三期(A区)2幢903号</t>
  </si>
  <si>
    <t>宁波万年基业梅山湾海港城三期(A区)2幢904号</t>
  </si>
  <si>
    <t>宁波万年基业梅山湾海港城三期(A区)2幢1001号</t>
    <phoneticPr fontId="254" type="noConversion"/>
  </si>
  <si>
    <t>宁波万年基业梅山湾海港城三期(A区)2幢1002号</t>
  </si>
  <si>
    <t>宁波万年基业梅山湾海港城三期(A区)2幢1003号</t>
  </si>
  <si>
    <t>宁波万年基业梅山湾海港城三期(A区)2幢1004号</t>
  </si>
  <si>
    <t>宁波万年基业梅山湾海港城三期(A区)2幢1101号</t>
    <phoneticPr fontId="254" type="noConversion"/>
  </si>
  <si>
    <t>宁波万年基业梅山湾海港城三期(A区)2幢1102号</t>
  </si>
  <si>
    <t>宁波万年基业梅山湾海港城三期(A区)2幢1103号</t>
  </si>
  <si>
    <t>宁波万年基业梅山湾海港城三期(A区)2幢1104号</t>
  </si>
  <si>
    <t>宁波万年基业梅山湾海港城三期(A区)2幢1201号</t>
    <phoneticPr fontId="254" type="noConversion"/>
  </si>
  <si>
    <t>宁波万年基业梅山湾海港城三期(A区)2幢1202号</t>
  </si>
  <si>
    <t>宁波万年基业梅山湾海港城三期(A区)2幢1203号</t>
  </si>
  <si>
    <t>宁波万年基业梅山湾海港城三期(A区)2幢1204号</t>
  </si>
  <si>
    <t>宁波万年基业梅山湾海港城三期(A区)2幢1301号</t>
    <phoneticPr fontId="254" type="noConversion"/>
  </si>
  <si>
    <t>宁波万年基业梅山湾海港城三期(A区)2幢1302号</t>
  </si>
  <si>
    <t>宁波万年基业梅山湾海港城三期(A区)2幢1303号</t>
  </si>
  <si>
    <t>宁波万年基业梅山湾海港城三期(A区)2幢1304号</t>
  </si>
  <si>
    <t>宁波万年基业梅山湾海港城三期(A区)2幢1401号</t>
    <phoneticPr fontId="254" type="noConversion"/>
  </si>
  <si>
    <t>宁波万年基业梅山湾海港城三期(A区)2幢1402号</t>
  </si>
  <si>
    <t>宁波万年基业梅山湾海港城三期(A区)2幢1403号</t>
  </si>
  <si>
    <t>宁波万年基业梅山湾海港城三期(A区)2幢1404号</t>
  </si>
  <si>
    <t>宁波万年基业梅山湾海港城三期(A区)2幢1501号</t>
    <phoneticPr fontId="254" type="noConversion"/>
  </si>
  <si>
    <t>宁波万年基业梅山湾海港城三期(A区)2幢1502号</t>
  </si>
  <si>
    <t>宁波万年基业梅山湾海港城三期(A区)2幢1503号</t>
  </si>
  <si>
    <t>宁波万年基业梅山湾海港城三期(A区)2幢1504号</t>
  </si>
  <si>
    <t>宁波万年基业梅山湾海港城三期(A区)2幢1602号</t>
  </si>
  <si>
    <t>宁波万年基业梅山湾海港城三期(A区)2幢1603号</t>
  </si>
  <si>
    <t>宁波万年基业梅山湾海港城三期(A区)2幢1604号</t>
  </si>
  <si>
    <t>宁波万年基业梅山湾海港城三期(A区)2幢1701号</t>
    <phoneticPr fontId="254" type="noConversion"/>
  </si>
  <si>
    <t>宁波万年基业梅山湾海港城三期(A区)2幢1702号</t>
  </si>
  <si>
    <t>宁波万年基业梅山湾海港城三期(A区)2幢1703号</t>
  </si>
  <si>
    <t>宁波万年基业梅山湾海港城三期(A区)2幢1704号</t>
  </si>
  <si>
    <t>宁波万年基业梅山湾海港城三期(A区)2幢1802号</t>
  </si>
  <si>
    <t>宁波万年基业梅山湾海港城三期(A区)2幢1803号</t>
  </si>
  <si>
    <t>宁波万年基业梅山湾海港城三期(A区)2幢1804号</t>
  </si>
  <si>
    <t>宁波万年基业梅山湾海港城三期(A区)2幢1902号</t>
  </si>
  <si>
    <t>宁波万年基业梅山湾海港城三期(A区)2幢1903号</t>
  </si>
  <si>
    <t>宁波万年基业梅山湾海港城三期(A区)2幢1904号</t>
  </si>
  <si>
    <t>宁波万年基业梅山湾海港城三期(A区)2幢2001号</t>
    <phoneticPr fontId="254" type="noConversion"/>
  </si>
  <si>
    <t>宁波万年基业梅山湾海港城三期(A区)2幢2002号</t>
  </si>
  <si>
    <t>宁波万年基业梅山湾海港城三期(A区)2幢2003号</t>
  </si>
  <si>
    <t>宁波万年基业梅山湾海港城三期(A区)2幢2004号</t>
  </si>
  <si>
    <t>宁波万年基业梅山湾海港城三期(A区)2幢2101号</t>
    <phoneticPr fontId="254" type="noConversion"/>
  </si>
  <si>
    <t>宁波万年基业梅山湾海港城三期(A区)2幢2102号</t>
  </si>
  <si>
    <t>宁波万年基业梅山湾海港城三期(A区)2幢2103号</t>
  </si>
  <si>
    <t>宁波万年基业梅山湾海港城三期(A区)2幢2104号</t>
    <phoneticPr fontId="254" type="noConversion"/>
  </si>
  <si>
    <t>宁波万年基业梅山湾海港城三期(A区)2幢2201号</t>
    <phoneticPr fontId="254" type="noConversion"/>
  </si>
  <si>
    <t>宁波万年基业梅山湾海港城三期(A区)2幢2202号</t>
  </si>
  <si>
    <t>宁波万年基业梅山湾海港城三期(A区)2幢2203号</t>
  </si>
  <si>
    <t>宁波万年基业梅山湾海港城三期(A区)2幢2204号</t>
  </si>
  <si>
    <t>宁波万年基业梅山湾海港城三期(A区)2幢2302号</t>
  </si>
  <si>
    <t>宁波万年基业梅山湾海港城三期(A区)2幢2303号</t>
  </si>
  <si>
    <t>宁波万年基业梅山湾海港城三期(A区)2幢2304号</t>
  </si>
  <si>
    <t>宁波万年基业梅山湾海港城三期(A区)2幢2401号</t>
    <phoneticPr fontId="254" type="noConversion"/>
  </si>
  <si>
    <t>宁波万年基业梅山湾海港城三期(A区)2幢2402号</t>
  </si>
  <si>
    <t>宁波万年基业梅山湾海港城三期(A区)2幢2403号</t>
  </si>
  <si>
    <t>宁波万年基业梅山湾海港城三期(A区)2幢2404号</t>
  </si>
  <si>
    <t>宁波万年基业梅山湾海港城三期(A区)2幢2501号</t>
    <phoneticPr fontId="254" type="noConversion"/>
  </si>
  <si>
    <t>宁波万年基业梅山湾海港城三期(A区)2幢2502号</t>
  </si>
  <si>
    <t>宁波万年基业梅山湾海港城三期(A区)2幢2503号</t>
  </si>
  <si>
    <t>宁波万年基业梅山湾海港城三期(A区)2幢2504号</t>
  </si>
  <si>
    <t>宁波万年基业梅山湾海港城三期(A区)2幢2601号</t>
    <phoneticPr fontId="254" type="noConversion"/>
  </si>
  <si>
    <t>宁波万年基业梅山湾海港城三期(A区)2幢2602号</t>
  </si>
  <si>
    <t>宁波万年基业梅山湾海港城三期(A区)2幢2603号</t>
  </si>
  <si>
    <t>宁波万年基业梅山湾海港城三期(A区)2幢2604号</t>
  </si>
  <si>
    <t>宁波万年基业梅山湾海港城三期(A区)2幢2702号</t>
  </si>
  <si>
    <t>宁波万年基业梅山湾海港城三期(A区)2幢2703号</t>
  </si>
  <si>
    <t>宁波万年基业梅山湾海港城三期(A区)2幢2704号</t>
  </si>
  <si>
    <t>宁波万年基业梅山湾海港城三期(A区)2幢2802号</t>
  </si>
  <si>
    <t>宁波万年基业梅山湾海港城三期(A区)2幢2803号</t>
  </si>
  <si>
    <t>宁波万年基业梅山湾海港城三期(A区)2幢2804号</t>
  </si>
  <si>
    <t>宁波万年基业梅山湾海港城三期(A区)2幢2902号</t>
  </si>
  <si>
    <t>宁波万年基业梅山湾海港城三期(A区)2幢2903号</t>
  </si>
  <si>
    <t>宁波万年基业梅山湾海港城三期(A区)2幢2904号</t>
  </si>
  <si>
    <t>宁波万年基业梅山湾海港城三期(A区)2幢3001号</t>
    <phoneticPr fontId="254" type="noConversion"/>
  </si>
  <si>
    <t>宁波万年基业梅山湾海港城三期(A区)2幢3002号</t>
  </si>
  <si>
    <t>宁波万年基业梅山湾海港城三期(A区)2幢3003号</t>
  </si>
  <si>
    <t>宁波万年基业梅山湾海港城三期(A区)2幢3004号</t>
  </si>
  <si>
    <t>宁波万年基业梅山湾海港城三期(A区)2幢3101号</t>
    <phoneticPr fontId="254" type="noConversion"/>
  </si>
  <si>
    <t>宁波万年基业梅山湾海港城三期(A区)2幢3102号</t>
  </si>
  <si>
    <t>宁波万年基业梅山湾海港城三期(A区)2幢3103号</t>
  </si>
  <si>
    <t>宁波万年基业梅山湾海港城三期(A区)2幢3104号</t>
  </si>
  <si>
    <t>宁波万年基业梅山湾海港城三期(A区)2幢3201号</t>
    <phoneticPr fontId="254" type="noConversion"/>
  </si>
  <si>
    <t>宁波万年基业梅山湾海港城三期(A区)2幢3202号</t>
  </si>
  <si>
    <t>宁波万年基业梅山湾海港城三期(A区)2幢3203号</t>
  </si>
  <si>
    <t>宁波万年基业梅山湾海港城三期(A区)2幢3204号</t>
  </si>
  <si>
    <t>宁波万年基业梅山湾海港城三期(A区)2幢3301号</t>
    <phoneticPr fontId="254" type="noConversion"/>
  </si>
  <si>
    <t>宁波万年基业梅山湾海港城三期(A区)2幢3302号</t>
  </si>
  <si>
    <t>宁波万年基业梅山湾海港城三期(A区)2幢3303号</t>
  </si>
  <si>
    <t>宁波万年基业梅山湾海港城三期(A区)2幢3304号</t>
  </si>
  <si>
    <t>宁波万年基业梅山湾海港城三期(A区)2幢3401号</t>
    <phoneticPr fontId="254" type="noConversion"/>
  </si>
  <si>
    <t>宁波万年基业梅山湾海港城三期(A区)2幢3402号</t>
  </si>
  <si>
    <t>宁波万年基业梅山湾海港城三期(A区)2幢3403号</t>
  </si>
  <si>
    <t>宁波万年基业梅山湾海港城三期(A区)2幢3404号</t>
    <phoneticPr fontId="254" type="noConversion"/>
  </si>
  <si>
    <t>宁波万年基业梅山湾海港城三期(A区)6幢101号</t>
    <phoneticPr fontId="254" type="noConversion"/>
  </si>
  <si>
    <t>宁波万年基业梅山湾海港城三期(A区)6幢102号</t>
  </si>
  <si>
    <t>宁波万年基业梅山湾海港城三期(A区)7幢101号</t>
    <phoneticPr fontId="254" type="noConversion"/>
  </si>
  <si>
    <t>宁波万年基业梅山湾海港城三期(A区)7幢102号</t>
  </si>
  <si>
    <t>宁波万年基业梅山湾海港城三期(A区)7幢103号</t>
  </si>
  <si>
    <t>宁波万年基业梅山湾海港城三期(A区)7幢104号</t>
  </si>
  <si>
    <t>宁波万年基业梅山湾海港城三期(A区)7幢105号</t>
  </si>
  <si>
    <t>宁波万年基业梅山湾海港城三期(A区)8幢101号</t>
    <phoneticPr fontId="254" type="noConversion"/>
  </si>
  <si>
    <t>宁波万年基业梅山湾海港城三期(A区)8幢102号</t>
  </si>
  <si>
    <t>宁波万年基业梅山湾海港城三期(A区)9幢101号</t>
    <phoneticPr fontId="254" type="noConversion"/>
  </si>
  <si>
    <t>宁波万年基业梅山湾海港城三期(A区)9幢102号</t>
  </si>
  <si>
    <t>宁波万年基业梅山湾海港城三期(A区)9幢103号</t>
  </si>
  <si>
    <t>宁波万年基业梅山湾海港城三期(A区)9幢104号</t>
  </si>
  <si>
    <t>宁波万年基业梅山湾海港城三期(A区)9幢105号</t>
  </si>
  <si>
    <t>宁波万年基业梅山湾海港城三期(A区)10幢101号</t>
    <phoneticPr fontId="254" type="noConversion"/>
  </si>
  <si>
    <t>宁波万年基业梅山湾海港城三期(A区)10幢102号</t>
  </si>
  <si>
    <t>宁波万年基业梅山湾海港城三期(A区)10幢103号</t>
  </si>
  <si>
    <t>宁波万年基业梅山湾海港城三期(A区)10幢104号</t>
  </si>
  <si>
    <t>宁波万年基业梅山湾海港城三期(A区)11幢101号</t>
    <phoneticPr fontId="254" type="noConversion"/>
  </si>
  <si>
    <t>宁波万年基业梅山湾海港城三期(A区)11幢102号</t>
  </si>
  <si>
    <t>宁波万年基业梅山湾海港城三期(A区)11幢103号</t>
  </si>
  <si>
    <t>宁波万年基业梅山湾海港城三期(A区)11幢104号</t>
  </si>
  <si>
    <t>宁波万年基业梅山湾海港城三期(A区)11幢105号</t>
  </si>
  <si>
    <t>宁波万年基业梅山湾海港城三期(A区)13幢101号</t>
    <phoneticPr fontId="254" type="noConversion"/>
  </si>
  <si>
    <t>宁波万年基业梅山湾海港城三期(A区)13幢102号</t>
  </si>
  <si>
    <t>宁波万年基业梅山湾海港城三期(A区)13幢103号</t>
  </si>
  <si>
    <t>宁波万年基业梅山湾海港城三期(A区)13幢104号</t>
  </si>
  <si>
    <t>宁波万年基业梅山湾海港城三期(A区)13幢105号</t>
  </si>
  <si>
    <t>宁波万年基业梅山湾海港城三期(A区)54幢103号</t>
  </si>
  <si>
    <t>宁波万年基业梅山湾海港城三期(A区)54幢104号</t>
  </si>
  <si>
    <t>宁波万年基业梅山湾海港城三期(A区)55幢301号</t>
    <phoneticPr fontId="254" type="noConversion"/>
  </si>
  <si>
    <t>宁波万年基业梅山湾海港城三期(A区)56幢101号</t>
    <phoneticPr fontId="254" type="noConversion"/>
  </si>
  <si>
    <t>宁波万年基业梅山湾海港城三期(A区)56幢102号</t>
  </si>
  <si>
    <t>宁波万年基业梅山湾海港城三期(A区)56幢103号</t>
  </si>
  <si>
    <t>宁波万年基业梅山湾海港城三期(A区)56幢104号</t>
  </si>
  <si>
    <t>宁波万年基业梅山湾海港城三期(A区)56幢301号</t>
    <phoneticPr fontId="254" type="noConversion"/>
  </si>
  <si>
    <t>宁波万年基业梅山湾海港城三期(A区)56幢302号</t>
  </si>
  <si>
    <t>宁波万年基业梅山湾海港城三期(A区)56幢303号</t>
  </si>
  <si>
    <t>宁波万年基业梅山湾海港城三期(A区)56幢304号</t>
  </si>
  <si>
    <t>宁波万年基业梅山湾海港城三期(A区)60幢101号</t>
    <phoneticPr fontId="254" type="noConversion"/>
  </si>
  <si>
    <t>宁波万年基业梅山湾海港城三期(A区)60幢102号</t>
  </si>
  <si>
    <t>宁波万年基业梅山湾海港城三期(A区)60幢103号</t>
  </si>
  <si>
    <t>宁波万年基业梅山湾海港城三期(A区)60幢104号</t>
  </si>
  <si>
    <t>宁波万年基业梅山湾海港城三期(A区)60幢105号</t>
  </si>
  <si>
    <t>宁波万年基业梅山湾海港城三期(A区)60幢106号</t>
  </si>
  <si>
    <t>宁波万年基业梅山湾海港城三期(A区)60幢301号</t>
    <phoneticPr fontId="254" type="noConversion"/>
  </si>
  <si>
    <t>宁波万年基业梅山湾海港城三期(A区)60幢302号</t>
  </si>
  <si>
    <t>宁波万年基业梅山湾海港城三期(A区)60幢303号</t>
  </si>
  <si>
    <t>宁波万年基业梅山湾海港城三期(A区)60幢304号</t>
  </si>
  <si>
    <t>宁波万年基业梅山湾海港城三期(A区)60幢305号</t>
  </si>
  <si>
    <t>宁波万年基业梅山湾海港城三期(A区)60幢306号</t>
  </si>
  <si>
    <t>A区小计</t>
    <phoneticPr fontId="254" type="noConversion"/>
  </si>
  <si>
    <t>宁波万年基业梅山湾海港城三期(B区)61幢101号</t>
    <phoneticPr fontId="254" type="noConversion"/>
  </si>
  <si>
    <t>宁波万年基业梅山湾海港城三期(B区)61幢102号</t>
  </si>
  <si>
    <t>宁波万年基业梅山湾海港城三期(B区)61幢103号</t>
  </si>
  <si>
    <t>宁波万年基业梅山湾海港城三期(B区)61幢104号</t>
  </si>
  <si>
    <t>宁波万年基业梅山湾海港城三期(B区)61幢301号</t>
    <phoneticPr fontId="254" type="noConversion"/>
  </si>
  <si>
    <t>宁波万年基业梅山湾海港城三期(B区)61幢302号</t>
  </si>
  <si>
    <t>宁波万年基业梅山湾海港城三期(B区)61幢303号</t>
  </si>
  <si>
    <t>宁波万年基业梅山湾海港城三期(B区)61幢304号</t>
  </si>
  <si>
    <t>宁波万年基业梅山湾海港城三期(B区)62幢101号</t>
    <phoneticPr fontId="254" type="noConversion"/>
  </si>
  <si>
    <t>宁波万年基业梅山湾海港城三期(B区)62幢102号</t>
  </si>
  <si>
    <t>宁波万年基业梅山湾海港城三期(B区)62幢103号</t>
  </si>
  <si>
    <t>宁波万年基业梅山湾海港城三期(B区)62幢104号</t>
  </si>
  <si>
    <t>宁波万年基业梅山湾海港城三期(B区)62幢301号</t>
    <phoneticPr fontId="254" type="noConversion"/>
  </si>
  <si>
    <t>宁波万年基业梅山湾海港城三期(B区)62幢302号</t>
  </si>
  <si>
    <t>宁波万年基业梅山湾海港城三期(B区)62幢303号</t>
  </si>
  <si>
    <t>宁波万年基业梅山湾海港城三期(B区)62幢304号</t>
  </si>
  <si>
    <t>宁波万年基业梅山湾海港城三期(B区)65幢101号</t>
    <phoneticPr fontId="254" type="noConversion"/>
  </si>
  <si>
    <t>宁波万年基业梅山湾海港城三期(B区)65幢102号</t>
  </si>
  <si>
    <t>宁波万年基业梅山湾海港城三期(B区)65幢103号</t>
  </si>
  <si>
    <t>宁波万年基业梅山湾海港城三期(B区)65幢104号</t>
  </si>
  <si>
    <t>宁波万年基业梅山湾海港城三期(B区)65幢105号</t>
  </si>
  <si>
    <t>宁波万年基业梅山湾海港城三期(B区)65幢106号</t>
  </si>
  <si>
    <t>宁波万年基业梅山湾海港城三期(B区)65幢201号</t>
    <phoneticPr fontId="254" type="noConversion"/>
  </si>
  <si>
    <t>宁波万年基业梅山湾海港城三期(B区)65幢202号</t>
  </si>
  <si>
    <t>宁波万年基业梅山湾海港城三期(B区)65幢301号</t>
    <phoneticPr fontId="254" type="noConversion"/>
  </si>
  <si>
    <t>宁波万年基业梅山湾海港城三期(B区)65幢302号</t>
  </si>
  <si>
    <t>宁波万年基业梅山湾海港城三期(B区)65幢303号</t>
  </si>
  <si>
    <t>宁波万年基业梅山湾海港城三期(B区)65幢304号</t>
  </si>
  <si>
    <t>宁波万年基业梅山湾海港城三期(B区)65幢401号</t>
    <phoneticPr fontId="254" type="noConversion"/>
  </si>
  <si>
    <t>宁波万年基业梅山湾海港城三期(B区)65幢402号</t>
  </si>
  <si>
    <t>宁波万年基业梅山湾海港城三期(B区)65幢403号</t>
  </si>
  <si>
    <t>宁波万年基业梅山湾海港城三期(B区)65幢404号</t>
    <phoneticPr fontId="254" type="noConversion"/>
  </si>
  <si>
    <t>宁波万年基业梅山湾海港城三期(B区)65幢501号</t>
    <phoneticPr fontId="254" type="noConversion"/>
  </si>
  <si>
    <t>宁波万年基业梅山湾海港城三期(B区)65幢502号</t>
  </si>
  <si>
    <t>宁波万年基业梅山湾海港城三期(B区)65幢503号</t>
  </si>
  <si>
    <t>宁波万年基业梅山湾海港城三期(B区)65幢504号</t>
  </si>
  <si>
    <t>宁波万年基业梅山湾海港城三期(B区)65幢601号</t>
    <phoneticPr fontId="254" type="noConversion"/>
  </si>
  <si>
    <t>宁波万年基业梅山湾海港城三期(B区)65幢602号</t>
  </si>
  <si>
    <t>宁波万年基业梅山湾海港城三期(B区)65幢603号</t>
  </si>
  <si>
    <t>宁波万年基业梅山湾海港城三期(B区)65幢604号</t>
    <phoneticPr fontId="254" type="noConversion"/>
  </si>
  <si>
    <t>宁波万年基业梅山湾海港城三期(B区)65幢701号</t>
    <phoneticPr fontId="254" type="noConversion"/>
  </si>
  <si>
    <t>宁波万年基业梅山湾海港城三期(B区)65幢702号</t>
  </si>
  <si>
    <t>宁波万年基业梅山湾海港城三期(B区)65幢703号</t>
  </si>
  <si>
    <t>宁波万年基业梅山湾海港城三期(B区)65幢704号</t>
  </si>
  <si>
    <t>宁波万年基业梅山湾海港城三期(B区)65幢801号</t>
    <phoneticPr fontId="254" type="noConversion"/>
  </si>
  <si>
    <t>宁波万年基业梅山湾海港城三期(B区)65幢802号</t>
  </si>
  <si>
    <t>宁波万年基业梅山湾海港城三期(B区)65幢803号</t>
  </si>
  <si>
    <t>宁波万年基业梅山湾海港城三期(B区)65幢804号</t>
    <phoneticPr fontId="254" type="noConversion"/>
  </si>
  <si>
    <t>宁波万年基业梅山湾海港城三期(B区)65幢901号</t>
    <phoneticPr fontId="254" type="noConversion"/>
  </si>
  <si>
    <t>宁波万年基业梅山湾海港城三期(B区)65幢902号</t>
  </si>
  <si>
    <t>宁波万年基业梅山湾海港城三期(B区)65幢903号</t>
  </si>
  <si>
    <t>宁波万年基业梅山湾海港城三期(B区)65幢904号</t>
    <phoneticPr fontId="254" type="noConversion"/>
  </si>
  <si>
    <t>宁波万年基业梅山湾海港城三期(B区)65幢1001号</t>
    <phoneticPr fontId="254" type="noConversion"/>
  </si>
  <si>
    <t>宁波万年基业梅山湾海港城三期(B区)65幢1002号</t>
  </si>
  <si>
    <t>宁波万年基业梅山湾海港城三期(B区)65幢1003号</t>
  </si>
  <si>
    <t>宁波万年基业梅山湾海港城三期(B区)65幢1004号</t>
  </si>
  <si>
    <t>宁波万年基业梅山湾海港城三期(B区)66幢101号</t>
    <phoneticPr fontId="254" type="noConversion"/>
  </si>
  <si>
    <t>宁波万年基业梅山湾海港城三期(B区)66幢102号</t>
  </si>
  <si>
    <t>宁波万年基业梅山湾海港城三期(B区)66幢103号</t>
  </si>
  <si>
    <t>宁波万年基业梅山湾海港城三期(B区)66幢104号</t>
  </si>
  <si>
    <t>宁波万年基业梅山湾海港城三期(B区)66幢106号</t>
  </si>
  <si>
    <t>宁波万年基业梅山湾海港城三期(B区)66幢107号</t>
  </si>
  <si>
    <t>宁波万年基业梅山湾海港城三期(B区)66幢108号</t>
  </si>
  <si>
    <t>宁波万年基业梅山湾海港城三期(B区)67幢101号</t>
    <phoneticPr fontId="254" type="noConversion"/>
  </si>
  <si>
    <t>宁波万年基业梅山湾海港城三期(B区)67幢102号</t>
  </si>
  <si>
    <t>宁波万年基业梅山湾海港城三期(B区)67幢103号</t>
  </si>
  <si>
    <t>宁波万年基业梅山湾海港城三期(B区)67幢104号</t>
  </si>
  <si>
    <t>宁波万年基业梅山湾海港城三期(B区)67幢107号</t>
  </si>
  <si>
    <t>宁波万年基业梅山湾海港城三期(B区)67幢108号</t>
  </si>
  <si>
    <t>宁波万年基业梅山湾海港城三期(B区)67幢109号</t>
  </si>
  <si>
    <t>宁波万年基业梅山湾海港城三期(B区)67幢110号</t>
  </si>
  <si>
    <t>B区小计</t>
    <phoneticPr fontId="254" type="noConversion"/>
  </si>
  <si>
    <t>本次抵押合计</t>
    <phoneticPr fontId="254" type="noConversion"/>
  </si>
  <si>
    <t>宁波万年基业梅山湾海港城三期(A区)2幢1601号</t>
    <phoneticPr fontId="254" type="noConversion"/>
  </si>
  <si>
    <t>宁波万年基业梅山湾海港城三期(A区)2幢1801号</t>
    <phoneticPr fontId="254" type="noConversion"/>
  </si>
  <si>
    <t>宁波万年基业梅山湾海港城三期(A区)2幢1901号</t>
    <phoneticPr fontId="254" type="noConversion"/>
  </si>
  <si>
    <t>宁波万年基业梅山湾海港城三期(A区)2幢2301号</t>
    <phoneticPr fontId="254" type="noConversion"/>
  </si>
  <si>
    <t>宁波万年基业梅山湾海港城三期(A区)2幢2701号</t>
    <phoneticPr fontId="254" type="noConversion"/>
  </si>
  <si>
    <t>宁波万年基业梅山湾海港城三期(A区)2幢2801号</t>
    <phoneticPr fontId="254" type="noConversion"/>
  </si>
  <si>
    <t>宁波万年基业梅山湾海港城三期(A区)2幢2901号</t>
    <phoneticPr fontId="254" type="noConversion"/>
  </si>
  <si>
    <t>较差</t>
    <phoneticPr fontId="25" type="noConversion"/>
  </si>
  <si>
    <t>较好</t>
    <phoneticPr fontId="25" type="noConversion"/>
  </si>
  <si>
    <r>
      <rPr>
        <sz val="11"/>
        <rFont val="宋体"/>
        <family val="3"/>
        <charset val="134"/>
      </rPr>
      <t>估价对象名称</t>
    </r>
    <phoneticPr fontId="3" type="noConversion"/>
  </si>
  <si>
    <r>
      <rPr>
        <sz val="11"/>
        <rFont val="宋体"/>
        <family val="3"/>
        <charset val="134"/>
      </rPr>
      <t>项目位置</t>
    </r>
    <phoneticPr fontId="3" type="noConversion"/>
  </si>
  <si>
    <t>住宅</t>
    <phoneticPr fontId="25" type="noConversion"/>
  </si>
  <si>
    <t>60-70（含）</t>
  </si>
  <si>
    <t>海湾金茂悦</t>
    <phoneticPr fontId="3" type="noConversion"/>
  </si>
  <si>
    <r>
      <rPr>
        <b/>
        <sz val="11"/>
        <rFont val="宋体"/>
        <family val="3"/>
        <charset val="134"/>
      </rPr>
      <t>估价对象高层</t>
    </r>
    <r>
      <rPr>
        <b/>
        <sz val="11"/>
        <rFont val="宋体"/>
        <family val="3"/>
        <charset val="134"/>
      </rPr>
      <t>比较价值（楼面单价，元</t>
    </r>
    <r>
      <rPr>
        <b/>
        <sz val="11"/>
        <rFont val="Arial"/>
        <family val="2"/>
      </rPr>
      <t>/</t>
    </r>
    <r>
      <rPr>
        <b/>
        <sz val="11"/>
        <rFont val="宋体"/>
        <family val="3"/>
        <charset val="134"/>
      </rPr>
      <t>平方米）</t>
    </r>
    <phoneticPr fontId="3" type="noConversion"/>
  </si>
  <si>
    <t>高层</t>
    <phoneticPr fontId="25" type="noConversion"/>
  </si>
  <si>
    <t>洋房</t>
    <phoneticPr fontId="25" type="noConversion"/>
  </si>
  <si>
    <t>叠墅</t>
    <phoneticPr fontId="25" type="noConversion"/>
  </si>
  <si>
    <t>联排</t>
    <phoneticPr fontId="25" type="noConversion"/>
  </si>
  <si>
    <t>双拼</t>
    <phoneticPr fontId="25" type="noConversion"/>
  </si>
  <si>
    <t>钢混</t>
    <phoneticPr fontId="25" type="noConversion"/>
  </si>
  <si>
    <t>砖混</t>
    <phoneticPr fontId="25" type="noConversion"/>
  </si>
  <si>
    <t>高端</t>
    <phoneticPr fontId="25" type="noConversion"/>
  </si>
  <si>
    <t>中端</t>
  </si>
  <si>
    <t>中端</t>
    <phoneticPr fontId="25" type="noConversion"/>
  </si>
  <si>
    <t>低端</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</si>
  <si>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</si>
  <si>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</si>
  <si>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</si>
  <si>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</si>
  <si>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</si>
  <si>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</si>
  <si>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</si>
  <si>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</si>
  <si>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</si>
  <si>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六通</t>
    <phoneticPr fontId="25" type="noConversion"/>
  </si>
  <si>
    <t>龙湖景瑞星海彼岸</t>
    <phoneticPr fontId="3" type="noConversion"/>
  </si>
  <si>
    <t>美的蝴蝶海</t>
    <phoneticPr fontId="3" type="noConversion"/>
  </si>
  <si>
    <r>
      <rPr>
        <sz val="11"/>
        <color theme="1"/>
        <rFont val="宋体"/>
        <family val="3"/>
        <charset val="134"/>
      </rPr>
      <t>套数</t>
    </r>
  </si>
  <si>
    <r>
      <rPr>
        <sz val="11"/>
        <color theme="1"/>
        <rFont val="宋体"/>
        <family val="3"/>
        <charset val="134"/>
      </rPr>
      <t>均价</t>
    </r>
  </si>
  <si>
    <r>
      <rPr>
        <sz val="11"/>
        <color theme="1"/>
        <rFont val="宋体"/>
        <family val="3"/>
        <charset val="134"/>
      </rPr>
      <t>高层已售</t>
    </r>
  </si>
  <si>
    <r>
      <rPr>
        <sz val="11"/>
        <color theme="1"/>
        <rFont val="宋体"/>
        <family val="3"/>
        <charset val="134"/>
      </rPr>
      <t>双拼</t>
    </r>
  </si>
  <si>
    <r>
      <rPr>
        <sz val="11"/>
        <color theme="1"/>
        <rFont val="宋体"/>
        <family val="3"/>
        <charset val="134"/>
      </rPr>
      <t>联排</t>
    </r>
  </si>
  <si>
    <r>
      <rPr>
        <sz val="11"/>
        <color theme="1"/>
        <rFont val="宋体"/>
        <family val="3"/>
        <charset val="134"/>
      </rPr>
      <t>叠墅</t>
    </r>
  </si>
  <si>
    <r>
      <rPr>
        <sz val="11"/>
        <color theme="1"/>
        <rFont val="宋体"/>
        <family val="3"/>
        <charset val="134"/>
      </rPr>
      <t>洋房</t>
    </r>
  </si>
  <si>
    <r>
      <rPr>
        <sz val="11"/>
        <color theme="1"/>
        <rFont val="宋体"/>
        <family val="3"/>
        <charset val="134"/>
      </rPr>
      <t>综合</t>
    </r>
  </si>
  <si>
    <r>
      <rPr>
        <b/>
        <sz val="12"/>
        <color theme="1"/>
        <rFont val="宋体"/>
        <family val="3"/>
        <charset val="134"/>
      </rPr>
      <t>宁波万年</t>
    </r>
    <r>
      <rPr>
        <b/>
        <sz val="12"/>
        <color theme="1"/>
        <rFont val="Alial"/>
        <family val="2"/>
      </rPr>
      <t>184</t>
    </r>
    <r>
      <rPr>
        <b/>
        <sz val="12"/>
        <color theme="1"/>
        <rFont val="宋体"/>
        <family val="3"/>
        <charset val="134"/>
      </rPr>
      <t>地块已售均价</t>
    </r>
    <phoneticPr fontId="143" type="noConversion"/>
  </si>
  <si>
    <t>联排</t>
    <phoneticPr fontId="143" type="noConversion"/>
  </si>
  <si>
    <t>叠拼</t>
    <phoneticPr fontId="143" type="noConversion"/>
  </si>
  <si>
    <t>洋房</t>
    <phoneticPr fontId="143" type="noConversion"/>
  </si>
  <si>
    <t>高层</t>
    <phoneticPr fontId="143" type="noConversion"/>
  </si>
  <si>
    <t>龙湖</t>
    <phoneticPr fontId="143" type="noConversion"/>
  </si>
  <si>
    <t>20000-21000（中间），23000-24000（边）</t>
    <phoneticPr fontId="143" type="noConversion"/>
  </si>
  <si>
    <t>13000-15000</t>
    <phoneticPr fontId="143" type="noConversion"/>
  </si>
  <si>
    <t>12000-13000</t>
    <phoneticPr fontId="143" type="noConversion"/>
  </si>
  <si>
    <t>美的</t>
    <phoneticPr fontId="143" type="noConversion"/>
  </si>
  <si>
    <t>15000中间，17000边</t>
    <phoneticPr fontId="143" type="noConversion"/>
  </si>
  <si>
    <t>10500-12000</t>
    <phoneticPr fontId="143" type="noConversion"/>
  </si>
  <si>
    <t>金茂</t>
    <phoneticPr fontId="143" type="noConversion"/>
  </si>
  <si>
    <t>13000-14500</t>
    <phoneticPr fontId="143" type="noConversion"/>
  </si>
  <si>
    <t>10000-12000</t>
    <phoneticPr fontId="143" type="noConversion"/>
  </si>
  <si>
    <t>市调</t>
    <phoneticPr fontId="143" type="noConversion"/>
  </si>
  <si>
    <t>整理</t>
    <phoneticPr fontId="143" type="noConversion"/>
  </si>
  <si>
    <r>
      <rPr>
        <b/>
        <sz val="11"/>
        <rFont val="宋体"/>
        <family val="3"/>
        <charset val="134"/>
      </rPr>
      <t>估价对象洋房比较价值（楼面单价，元</t>
    </r>
    <r>
      <rPr>
        <b/>
        <sz val="11"/>
        <rFont val="Arial"/>
        <family val="2"/>
      </rPr>
      <t>/</t>
    </r>
    <r>
      <rPr>
        <b/>
        <sz val="11"/>
        <rFont val="宋体"/>
        <family val="3"/>
        <charset val="134"/>
      </rPr>
      <t>平方米）</t>
    </r>
    <phoneticPr fontId="3" type="noConversion"/>
  </si>
  <si>
    <t>评估值</t>
    <phoneticPr fontId="143" type="noConversion"/>
  </si>
  <si>
    <t>占高层比重</t>
    <phoneticPr fontId="143" type="noConversion"/>
  </si>
  <si>
    <r>
      <rPr>
        <sz val="11"/>
        <color theme="1"/>
        <rFont val="宋体"/>
        <family val="3"/>
        <charset val="134"/>
      </rPr>
      <t>比例</t>
    </r>
    <phoneticPr fontId="143" type="noConversion"/>
  </si>
  <si>
    <t>宁波万年基业梅山湾海港城三期(A、B区)在建工程抵押抵押物清单</t>
    <phoneticPr fontId="254" type="noConversion"/>
  </si>
  <si>
    <t>计容规划建筑面积</t>
    <phoneticPr fontId="143" type="noConversion"/>
  </si>
  <si>
    <t>龙湖景瑞星海彼岸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</si>
</sst>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
      <b/>
      <sz val="12"/>
      <color theme="1"/>
      <name val="Alial"/>
    </font>
    <font>
      <b/>
      <sz val="12"/>
      <color theme="1"/>
      <name val="Alial"/>
      <family val="2"/>
    </font>
    <font>
      <sz val="11"/>
      <color theme="1"/>
      <name val="Al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0" fillId="5" borderId="0" xfId="0" applyFill="1">
      <alignment vertical="center"/>
    </xf>
    <xf numFmtId="0" fontId="0" fillId="9" borderId="1" xfId="0" applyFill="1" applyBorder="1" applyAlignment="1">
      <alignment horizontal="center" vertical="center"/>
    </xf>
    <xf numFmtId="0" fontId="0" fillId="9" borderId="1" xfId="17" applyNumberFormat="1" applyFont="1" applyFill="1" applyBorder="1" applyAlignment="1">
      <alignment horizontal="center" vertical="center"/>
    </xf>
    <xf numFmtId="0" fontId="100" fillId="0" borderId="1" xfId="0" applyFont="1" applyBorder="1" applyAlignment="1">
      <alignment horizontal="center" vertical="center"/>
    </xf>
    <xf numFmtId="0" fontId="100" fillId="0" borderId="1" xfId="0" applyFont="1" applyBorder="1" applyAlignment="1">
      <alignment horizontal="center" vertical="center" wrapText="1"/>
    </xf>
    <xf numFmtId="179" fontId="0" fillId="0" borderId="1" xfId="0" applyNumberFormat="1" applyFont="1" applyBorder="1" applyAlignment="1">
      <alignment horizontal="center" vertical="center" wrapText="1" shrinkToFit="1"/>
    </xf>
    <xf numFmtId="176" fontId="0"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179" fontId="100" fillId="0" borderId="1" xfId="0" applyNumberFormat="1" applyFont="1" applyBorder="1" applyAlignment="1">
      <alignment horizontal="center" vertical="center"/>
    </xf>
    <xf numFmtId="0" fontId="98" fillId="9" borderId="24"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Font="1" applyBorder="1" applyAlignment="1">
      <alignment horizontal="center"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10" fontId="0" fillId="0" borderId="0" xfId="0" applyNumberFormat="1">
      <alignment vertical="center"/>
    </xf>
    <xf numFmtId="0" fontId="259" fillId="0" borderId="0"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28" fillId="0" borderId="1" xfId="0" applyFont="1" applyBorder="1" applyAlignment="1">
      <alignment horizontal="center" vertical="center" wrapText="1"/>
    </xf>
    <xf numFmtId="0" fontId="100" fillId="0" borderId="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7" fillId="0" borderId="1"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98" fillId="0" borderId="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20302;&#23494;&#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面积数据"/>
      <sheetName val="抵押物清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10846.970000000001</v>
          </cell>
          <cell r="C14">
            <v>7233.21</v>
          </cell>
          <cell r="D14">
            <v>9596</v>
          </cell>
        </row>
      </sheetData>
      <sheetData sheetId="18"/>
      <sheetData sheetId="19"/>
      <sheetData sheetId="20"/>
      <sheetData sheetId="21"/>
      <sheetData sheetId="22"/>
      <sheetData sheetId="23"/>
      <sheetData sheetId="24"/>
      <sheetData sheetId="25">
        <row r="6">
          <cell r="D6">
            <v>17509</v>
          </cell>
          <cell r="E6">
            <v>15320</v>
          </cell>
          <cell r="F6">
            <v>13132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估价对象为宁波万年卡玛利亚184出让国有建设用地使用权及在建建筑物房地产，为所有。根据，估价对象（分摊）出让国有建设用地使用权面积为15532.95平方米，建筑面积为23293.31平方米。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17468</v>
      </c>
    </row>
    <row r="21" spans="1:2" s="1592" customFormat="1">
      <c r="A21" s="1590" t="s">
        <v>1231</v>
      </c>
      <c r="B21" s="1591">
        <f ca="1">'预评函-2'!D7</f>
        <v>7499</v>
      </c>
    </row>
    <row r="22" spans="1:2" s="1592" customFormat="1">
      <c r="A22" s="1590" t="s">
        <v>1232</v>
      </c>
      <c r="B22" s="1591" t="str">
        <f ca="1">'预评函-2'!D6</f>
        <v>壹亿柒仟肆佰陆拾捌万元整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17468</v>
      </c>
    </row>
    <row r="31" spans="1:2" s="1592" customFormat="1">
      <c r="A31" s="1590" t="s">
        <v>1270</v>
      </c>
      <c r="B31" s="1591">
        <f ca="1">'预评函-2'!D15</f>
        <v>7499</v>
      </c>
    </row>
    <row r="32" spans="1:2" s="1592" customFormat="1">
      <c r="A32" s="1590" t="s">
        <v>1237</v>
      </c>
      <c r="B32" s="1591" t="str">
        <f ca="1">'预评函-2'!D14</f>
        <v>壹亿柒仟肆佰陆拾捌万元整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23293.309999999998</v>
      </c>
    </row>
    <row r="44" spans="1:2" s="1592" customFormat="1">
      <c r="A44" s="1590" t="s">
        <v>1269</v>
      </c>
      <c r="B44" s="1591" t="str">
        <f>'预评函-3'!C2</f>
        <v>(分摊)土地面积</v>
      </c>
    </row>
    <row r="45" spans="1:2" s="1592" customFormat="1">
      <c r="A45" s="1590" t="s">
        <v>1241</v>
      </c>
      <c r="B45" s="1591">
        <f>'预评函-3'!C4</f>
        <v>15532.95</v>
      </c>
    </row>
    <row r="46" spans="1:2" s="1592" customFormat="1">
      <c r="A46" s="1590" t="s">
        <v>1267</v>
      </c>
      <c r="B46" s="1591" t="str">
        <f>'预评函-3'!D2</f>
        <v>出让国有建设用地使用权价值</v>
      </c>
    </row>
    <row r="47" spans="1:2" s="1592" customFormat="1">
      <c r="A47" s="1590" t="s">
        <v>1242</v>
      </c>
      <c r="B47" s="1591">
        <f ca="1">'预评函-3'!D4</f>
        <v>12961</v>
      </c>
    </row>
    <row r="48" spans="1:2" s="1592" customFormat="1">
      <c r="A48" s="1590" t="s">
        <v>1243</v>
      </c>
      <c r="B48" s="1591">
        <f ca="1">'预评函-3'!E4</f>
        <v>5564</v>
      </c>
    </row>
    <row r="49" spans="1:2" s="1592" customFormat="1">
      <c r="A49" s="1590" t="s">
        <v>1244</v>
      </c>
      <c r="B49" s="1591" t="str">
        <f ca="1">'预评函-3'!D5</f>
        <v>壹亿贰仟玖佰陆拾壹万元整</v>
      </c>
    </row>
    <row r="50" spans="1:2" s="1592" customFormat="1">
      <c r="A50" s="1590" t="s">
        <v>1268</v>
      </c>
      <c r="B50" s="1591" t="str">
        <f>'预评函-3'!F2</f>
        <v>在建建筑物价值</v>
      </c>
    </row>
    <row r="51" spans="1:2" s="1592" customFormat="1">
      <c r="A51" s="1590" t="s">
        <v>1245</v>
      </c>
      <c r="B51" s="1591">
        <f ca="1">'预评函-3'!F4</f>
        <v>4507</v>
      </c>
    </row>
    <row r="52" spans="1:2" s="1592" customFormat="1">
      <c r="A52" s="1590" t="s">
        <v>1246</v>
      </c>
      <c r="B52" s="1591">
        <f ca="1">'预评函-3'!G4</f>
        <v>1935</v>
      </c>
    </row>
    <row r="53" spans="1:2" s="1592" customFormat="1">
      <c r="A53" s="1590" t="s">
        <v>1274</v>
      </c>
      <c r="B53" s="1591" t="str">
        <f ca="1">'预评函-3'!F5</f>
        <v>肆仟伍佰零柒万元整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3199</v>
      </c>
      <c r="B28" s="2013" t="s">
        <v>757</v>
      </c>
      <c r="C28" s="2014"/>
    </row>
    <row r="29" spans="1:3">
      <c r="A29" s="2013" t="s">
        <v>3200</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2021" t="s">
        <v>861</v>
      </c>
      <c r="C54" s="2018" t="s">
        <v>1277</v>
      </c>
    </row>
    <row r="55" spans="1:4">
      <c r="A55" s="3094"/>
      <c r="B55" s="2021" t="s">
        <v>862</v>
      </c>
      <c r="C55" s="2018" t="s">
        <v>1278</v>
      </c>
    </row>
    <row r="56" spans="1:4">
      <c r="A56" s="3094"/>
      <c r="B56" s="2021" t="s">
        <v>863</v>
      </c>
      <c r="C56" s="2018" t="s">
        <v>1282</v>
      </c>
    </row>
    <row r="57" spans="1:4">
      <c r="A57" s="309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095"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096"/>
      <c r="D1" s="3096"/>
      <c r="E1" s="3096"/>
      <c r="F1" s="3096"/>
      <c r="G1" s="3096"/>
      <c r="H1" s="3096"/>
      <c r="I1" s="309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3372</v>
      </c>
      <c r="C4" s="1037">
        <f ca="1">SUMIF(注册房地产估价师,B4,估价师及机构信息!B3:B24)</f>
        <v>1120070131</v>
      </c>
      <c r="D4" s="2038" t="s">
        <v>3373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3203</v>
      </c>
      <c r="C8" s="2055"/>
      <c r="D8" s="3098" t="s">
        <v>1781</v>
      </c>
      <c r="E8" s="2056" t="s">
        <v>3204</v>
      </c>
      <c r="F8" s="2057"/>
      <c r="G8" s="2025"/>
      <c r="H8" s="2025"/>
      <c r="I8" s="2025"/>
      <c r="J8" s="2041"/>
      <c r="K8" s="2042"/>
      <c r="L8" s="2027"/>
      <c r="M8" s="2027"/>
      <c r="N8" s="2028"/>
      <c r="O8" s="2029"/>
      <c r="P8" s="2028"/>
      <c r="Q8" s="2028"/>
      <c r="R8" s="2028"/>
    </row>
    <row r="9" spans="1:19" ht="18" customHeight="1" thickBot="1">
      <c r="A9" s="2039" t="s">
        <v>1782</v>
      </c>
      <c r="B9" s="2058" t="s">
        <v>3204</v>
      </c>
      <c r="C9" s="2059"/>
      <c r="D9" s="3099"/>
      <c r="E9" s="2058" t="s">
        <v>70</v>
      </c>
      <c r="F9" s="2060"/>
      <c r="G9" s="2061"/>
      <c r="H9" s="2061"/>
      <c r="I9" s="2061"/>
      <c r="J9" s="2041"/>
      <c r="K9" s="2053"/>
      <c r="L9" s="2027"/>
      <c r="M9" s="2027"/>
      <c r="N9" s="2028"/>
      <c r="O9" s="2029"/>
      <c r="P9" s="2028"/>
      <c r="Q9" s="2028"/>
      <c r="R9" s="2028"/>
    </row>
    <row r="10" spans="1:19" ht="18" customHeight="1" thickTop="1">
      <c r="A10" s="2062" t="s">
        <v>1783</v>
      </c>
      <c r="B10" s="2063" t="s">
        <v>3205</v>
      </c>
      <c r="C10" s="2064"/>
      <c r="D10" s="2046"/>
      <c r="E10" s="2065" t="s">
        <v>1784</v>
      </c>
      <c r="F10" s="2972" t="s">
        <v>3208</v>
      </c>
      <c r="G10" s="2066"/>
      <c r="H10" s="2067"/>
      <c r="I10" s="2046"/>
      <c r="J10" s="2041"/>
      <c r="K10" s="2053"/>
      <c r="L10" s="2027"/>
      <c r="M10" s="2027"/>
      <c r="N10" s="2028"/>
      <c r="O10" s="2029"/>
      <c r="P10" s="2028"/>
      <c r="Q10" s="2028"/>
      <c r="R10" s="2028"/>
    </row>
    <row r="11" spans="1:19" ht="18" customHeight="1">
      <c r="A11" s="2068" t="s">
        <v>1785</v>
      </c>
      <c r="B11" s="2069" t="s">
        <v>3206</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3207</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105"/>
      <c r="C16" s="3106"/>
      <c r="D16" s="3107"/>
      <c r="E16" s="2084" t="s">
        <v>1798</v>
      </c>
      <c r="F16" s="3108"/>
      <c r="G16" s="3109"/>
      <c r="H16" s="3109"/>
      <c r="I16" s="3110"/>
      <c r="J16" s="2028"/>
      <c r="K16" s="2081"/>
      <c r="L16" s="2082"/>
      <c r="M16" s="2082"/>
      <c r="N16" s="2083"/>
      <c r="O16" s="2082"/>
      <c r="P16" s="2083"/>
      <c r="Q16" s="2028"/>
      <c r="R16" s="2028"/>
    </row>
    <row r="17" spans="1:22" ht="18" customHeight="1">
      <c r="A17" s="2085" t="s">
        <v>1799</v>
      </c>
      <c r="B17" s="2034" t="s">
        <v>1800</v>
      </c>
      <c r="C17" s="1054">
        <f>'数据-汇总表'!E3</f>
        <v>23293.309999999998</v>
      </c>
      <c r="D17" s="2086" t="s">
        <v>1801</v>
      </c>
      <c r="E17" s="3111"/>
      <c r="F17" s="3112"/>
      <c r="G17" s="3112"/>
      <c r="H17" s="3112"/>
      <c r="I17" s="3113"/>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15532.95</v>
      </c>
      <c r="D18" s="2089" t="s">
        <v>1801</v>
      </c>
      <c r="E18" s="3114"/>
      <c r="F18" s="3115"/>
      <c r="G18" s="3115"/>
      <c r="H18" s="3115"/>
      <c r="I18" s="3116"/>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101" t="s">
        <v>1808</v>
      </c>
      <c r="C20" s="3102"/>
      <c r="D20" s="3103" t="s">
        <v>1809</v>
      </c>
      <c r="E20" s="3104"/>
      <c r="F20" s="2096" t="s">
        <v>1810</v>
      </c>
      <c r="G20" s="2041"/>
      <c r="H20" s="2041"/>
      <c r="I20" s="2041"/>
      <c r="J20" s="2041"/>
      <c r="K20" s="310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1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1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118"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118"/>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118"/>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119"/>
      <c r="B30" s="2034" t="s">
        <v>1827</v>
      </c>
      <c r="C30" s="3120"/>
      <c r="D30" s="3121"/>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22"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23"/>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23"/>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117" t="s">
        <v>1837</v>
      </c>
      <c r="T34" s="2133" t="str">
        <f>NUMBERSTRING(7-K34,1)&amp;"通"</f>
        <v>七通</v>
      </c>
      <c r="U34" s="2028"/>
      <c r="V34" s="2028"/>
    </row>
    <row r="35" spans="1:22" ht="18" customHeight="1">
      <c r="A35" s="2134"/>
      <c r="B35" s="3124" t="s">
        <v>1838</v>
      </c>
      <c r="C35" s="3124"/>
      <c r="D35" s="3124"/>
      <c r="E35" s="3124"/>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7"/>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清单1!H29</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23293.309999999998</v>
      </c>
      <c r="BA5" s="18">
        <f t="shared" si="1"/>
        <v>23293.309999999998</v>
      </c>
      <c r="BB5" s="18">
        <f t="shared" si="1"/>
        <v>15450.07</v>
      </c>
      <c r="BC5" s="18">
        <f t="shared" si="1"/>
        <v>0</v>
      </c>
      <c r="BD5" s="18">
        <f t="shared" si="1"/>
        <v>0</v>
      </c>
      <c r="BE5" s="18">
        <f t="shared" si="1"/>
        <v>0</v>
      </c>
      <c r="BF5" s="18">
        <f t="shared" si="1"/>
        <v>7843.24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15532.95</v>
      </c>
      <c r="AZ6" s="16" t="s">
        <v>3</v>
      </c>
      <c r="BA6" s="16">
        <f>ROUND($AY$6*BA5/$AZ$5,2)</f>
        <v>15532.95</v>
      </c>
      <c r="BB6" s="16">
        <f>ROUND($AY$6*BB5/$AZ$5,2)</f>
        <v>10302.75</v>
      </c>
      <c r="BC6" s="16">
        <f t="shared" ref="BC6:BH6" si="4">ROUND($AY$6*BC5/$AZ$5,2)</f>
        <v>0</v>
      </c>
      <c r="BD6" s="16">
        <f t="shared" si="4"/>
        <v>0</v>
      </c>
      <c r="BE6" s="16">
        <f t="shared" si="4"/>
        <v>0</v>
      </c>
      <c r="BF6" s="16">
        <f t="shared" si="4"/>
        <v>5230.2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3195</v>
      </c>
      <c r="J9" s="981"/>
      <c r="K9" s="2190" t="s">
        <v>3195</v>
      </c>
      <c r="L9" s="981"/>
      <c r="M9" s="2190" t="s">
        <v>3195</v>
      </c>
      <c r="N9" s="981"/>
      <c r="O9" s="2190" t="s">
        <v>3195</v>
      </c>
      <c r="P9" s="981"/>
      <c r="Q9" s="2190" t="s">
        <v>3195</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3198</v>
      </c>
      <c r="J10" s="981"/>
      <c r="K10" s="2196" t="s">
        <v>3198</v>
      </c>
      <c r="L10" s="981"/>
      <c r="M10" s="2196" t="s">
        <v>3198</v>
      </c>
      <c r="N10" s="981"/>
      <c r="O10" s="2196" t="s">
        <v>3198</v>
      </c>
      <c r="P10" s="981"/>
      <c r="Q10" s="2196" t="s">
        <v>3198</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3201</v>
      </c>
      <c r="J11" s="2202"/>
      <c r="K11" s="2201" t="s">
        <v>3181</v>
      </c>
      <c r="L11" s="2202"/>
      <c r="M11" s="2201" t="s">
        <v>3183</v>
      </c>
      <c r="N11" s="2202"/>
      <c r="O11" s="2201" t="s">
        <v>3202</v>
      </c>
      <c r="P11" s="2202"/>
      <c r="Q11" s="2201" t="s">
        <v>3186</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1" t="s">
        <v>3375</v>
      </c>
      <c r="D13" s="2212" t="s">
        <v>3194</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15532.95</v>
      </c>
      <c r="AZ13" s="16">
        <f>BA13+BL13</f>
        <v>23293.309999999998</v>
      </c>
      <c r="BA13" s="16">
        <f>SUM(BB13:BK13)</f>
        <v>23293.309999999998</v>
      </c>
      <c r="BB13" s="16">
        <f>IF($D13="是",I13-J13,0)</f>
        <v>15450.07</v>
      </c>
      <c r="BC13" s="16">
        <f>IF($D13="是",K13-L13,0)</f>
        <v>0</v>
      </c>
      <c r="BD13" s="16">
        <f>IF($D13="是",M13-N13,0)</f>
        <v>0</v>
      </c>
      <c r="BE13" s="16">
        <f>IF($D13="是",O13-P13,0)</f>
        <v>0</v>
      </c>
      <c r="BF13" s="16">
        <f>IF($D13="是",Q13-R13,0)</f>
        <v>7843.24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2" t="s">
        <v>3376</v>
      </c>
      <c r="D14" s="2212" t="s">
        <v>3374</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5" t="s">
        <v>0</v>
      </c>
      <c r="B1" s="3125" t="s">
        <v>4</v>
      </c>
      <c r="C1" s="3125" t="s">
        <v>5</v>
      </c>
      <c r="D1" s="3126" t="s">
        <v>53</v>
      </c>
      <c r="E1" s="3126" t="s">
        <v>54</v>
      </c>
      <c r="F1" s="3126"/>
      <c r="G1" s="3126"/>
      <c r="H1" s="3126"/>
      <c r="I1" s="3126"/>
      <c r="J1" s="3126"/>
      <c r="K1" s="3126"/>
      <c r="L1" s="3126"/>
      <c r="M1" s="3126"/>
    </row>
    <row r="2" spans="1:13" ht="27" customHeight="1">
      <c r="A2" s="3125"/>
      <c r="B2" s="3125"/>
      <c r="C2" s="3125"/>
      <c r="D2" s="3126"/>
      <c r="E2" s="3126" t="s">
        <v>37</v>
      </c>
      <c r="F2" s="3126" t="s">
        <v>38</v>
      </c>
      <c r="G2" s="3126"/>
      <c r="H2" s="3126"/>
      <c r="I2" s="3126"/>
      <c r="J2" s="3126" t="s">
        <v>39</v>
      </c>
      <c r="K2" s="3126"/>
      <c r="L2" s="3126"/>
      <c r="M2" s="3126"/>
    </row>
    <row r="3" spans="1:13" ht="28.5">
      <c r="A3" s="3125"/>
      <c r="B3" s="3125"/>
      <c r="C3" s="3125"/>
      <c r="D3" s="3126"/>
      <c r="E3" s="31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6" t="s">
        <v>55</v>
      </c>
      <c r="B9" s="3126"/>
      <c r="C9" s="31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7" workbookViewId="0">
      <selection activeCell="F32" sqref="F32"/>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10" ht="27">
      <c r="A1" s="3015" t="s">
        <v>3356</v>
      </c>
      <c r="B1" s="3015" t="s">
        <v>3357</v>
      </c>
      <c r="C1" s="3015" t="s">
        <v>3358</v>
      </c>
      <c r="D1" s="3015" t="s">
        <v>3087</v>
      </c>
      <c r="E1" s="3016" t="s">
        <v>3088</v>
      </c>
      <c r="F1" s="3015" t="s">
        <v>3359</v>
      </c>
      <c r="G1" s="3016" t="s">
        <v>3360</v>
      </c>
      <c r="H1" s="3017" t="s">
        <v>3361</v>
      </c>
      <c r="I1" s="3018" t="s">
        <v>3362</v>
      </c>
    </row>
    <row r="2" spans="1:10">
      <c r="A2" s="2999">
        <v>1</v>
      </c>
      <c r="B2" s="2999" t="s">
        <v>3098</v>
      </c>
      <c r="C2" s="3000" t="s">
        <v>3097</v>
      </c>
      <c r="D2" s="3009">
        <v>132</v>
      </c>
      <c r="E2" s="3009">
        <v>15450.07</v>
      </c>
      <c r="F2" s="3009">
        <v>132</v>
      </c>
      <c r="G2" s="3009">
        <v>15450.07</v>
      </c>
      <c r="H2" s="3009"/>
      <c r="I2" s="3009"/>
      <c r="J2">
        <f>D2-F2</f>
        <v>0</v>
      </c>
    </row>
    <row r="3" spans="1:10">
      <c r="A3" s="2999">
        <v>2</v>
      </c>
      <c r="B3" s="2999" t="s">
        <v>3363</v>
      </c>
      <c r="C3" s="2999" t="s">
        <v>3103</v>
      </c>
      <c r="D3" s="3009">
        <v>2</v>
      </c>
      <c r="E3" s="3009">
        <v>342.48</v>
      </c>
      <c r="F3" s="3009">
        <v>2</v>
      </c>
      <c r="G3" s="3009">
        <v>342.48</v>
      </c>
      <c r="H3" s="3009"/>
      <c r="I3" s="3009"/>
      <c r="J3">
        <f t="shared" ref="J3:J16" si="0">D3-F3</f>
        <v>0</v>
      </c>
    </row>
    <row r="4" spans="1:10">
      <c r="A4" s="2999">
        <v>3</v>
      </c>
      <c r="B4" s="2999" t="s">
        <v>3104</v>
      </c>
      <c r="C4" s="2999" t="s">
        <v>3105</v>
      </c>
      <c r="D4" s="3009">
        <v>5</v>
      </c>
      <c r="E4" s="3009">
        <v>855.58</v>
      </c>
      <c r="F4" s="3009">
        <v>5</v>
      </c>
      <c r="G4" s="3009">
        <v>855.58</v>
      </c>
      <c r="H4" s="3009"/>
      <c r="I4" s="3009"/>
      <c r="J4">
        <f t="shared" si="0"/>
        <v>0</v>
      </c>
    </row>
    <row r="5" spans="1:10">
      <c r="A5" s="2999">
        <v>4</v>
      </c>
      <c r="B5" s="2999" t="s">
        <v>3363</v>
      </c>
      <c r="C5" s="2999" t="s">
        <v>3107</v>
      </c>
      <c r="D5" s="3009">
        <v>2</v>
      </c>
      <c r="E5" s="3009">
        <v>392.28</v>
      </c>
      <c r="F5" s="3009">
        <v>2</v>
      </c>
      <c r="G5" s="3009">
        <v>392.28</v>
      </c>
      <c r="H5" s="3009"/>
      <c r="I5" s="3009"/>
      <c r="J5">
        <f t="shared" si="0"/>
        <v>0</v>
      </c>
    </row>
    <row r="6" spans="1:10">
      <c r="A6" s="2999">
        <v>5</v>
      </c>
      <c r="B6" s="2999" t="s">
        <v>3104</v>
      </c>
      <c r="C6" s="2999" t="s">
        <v>3109</v>
      </c>
      <c r="D6" s="3009">
        <v>5</v>
      </c>
      <c r="E6" s="3009">
        <v>829.58</v>
      </c>
      <c r="F6" s="3009">
        <v>5</v>
      </c>
      <c r="G6" s="3009">
        <v>829.58</v>
      </c>
      <c r="H6" s="3009"/>
      <c r="I6" s="3009"/>
      <c r="J6">
        <f t="shared" si="0"/>
        <v>0</v>
      </c>
    </row>
    <row r="7" spans="1:10">
      <c r="A7" s="2999">
        <v>6</v>
      </c>
      <c r="B7" s="2999" t="s">
        <v>3104</v>
      </c>
      <c r="C7" s="2999" t="s">
        <v>3110</v>
      </c>
      <c r="D7" s="3009">
        <v>4</v>
      </c>
      <c r="E7" s="3009">
        <v>667.61</v>
      </c>
      <c r="F7" s="3009">
        <v>4</v>
      </c>
      <c r="G7" s="3009">
        <v>667.61</v>
      </c>
      <c r="H7" s="3009"/>
      <c r="I7" s="3009"/>
      <c r="J7">
        <f t="shared" si="0"/>
        <v>0</v>
      </c>
    </row>
    <row r="8" spans="1:10">
      <c r="A8" s="2999">
        <v>7</v>
      </c>
      <c r="B8" s="2999" t="s">
        <v>3364</v>
      </c>
      <c r="C8" s="2999" t="s">
        <v>3111</v>
      </c>
      <c r="D8" s="3009">
        <v>5</v>
      </c>
      <c r="E8" s="3009">
        <v>829.58</v>
      </c>
      <c r="F8" s="3009">
        <v>5</v>
      </c>
      <c r="G8" s="3009">
        <v>829.58</v>
      </c>
      <c r="H8" s="3009"/>
      <c r="I8" s="3009"/>
      <c r="J8">
        <f t="shared" si="0"/>
        <v>0</v>
      </c>
    </row>
    <row r="9" spans="1:10">
      <c r="A9" s="2999">
        <v>8</v>
      </c>
      <c r="B9" s="2999" t="s">
        <v>3365</v>
      </c>
      <c r="C9" s="2999" t="s">
        <v>3113</v>
      </c>
      <c r="D9" s="3009">
        <v>5</v>
      </c>
      <c r="E9" s="3009">
        <v>829.58</v>
      </c>
      <c r="F9" s="3009">
        <v>5</v>
      </c>
      <c r="G9" s="3009">
        <v>829.58</v>
      </c>
      <c r="H9" s="3009"/>
      <c r="I9" s="3009"/>
      <c r="J9">
        <f t="shared" si="0"/>
        <v>0</v>
      </c>
    </row>
    <row r="10" spans="1:10" s="3003" customFormat="1">
      <c r="A10" s="2999">
        <v>9</v>
      </c>
      <c r="B10" s="3001" t="s">
        <v>3363</v>
      </c>
      <c r="C10" s="2999" t="s">
        <v>3155</v>
      </c>
      <c r="D10" s="3009">
        <v>4</v>
      </c>
      <c r="E10" s="3009">
        <v>776.82</v>
      </c>
      <c r="F10" s="3009">
        <v>2</v>
      </c>
      <c r="G10" s="3009">
        <v>388.41</v>
      </c>
      <c r="H10" s="3009"/>
      <c r="I10" s="3009"/>
      <c r="J10" s="3035">
        <f>D10-F10</f>
        <v>2</v>
      </c>
    </row>
    <row r="11" spans="1:10">
      <c r="A11" s="2999">
        <v>10</v>
      </c>
      <c r="B11" s="2999" t="s">
        <v>3366</v>
      </c>
      <c r="C11" s="2999" t="s">
        <v>3157</v>
      </c>
      <c r="D11" s="3009">
        <v>12</v>
      </c>
      <c r="E11" s="3009">
        <v>1850.12</v>
      </c>
      <c r="F11" s="3009">
        <v>1</v>
      </c>
      <c r="G11" s="3009">
        <v>151.43</v>
      </c>
      <c r="H11" s="3009"/>
      <c r="I11" s="3009"/>
      <c r="J11" s="3035">
        <f t="shared" si="0"/>
        <v>11</v>
      </c>
    </row>
    <row r="12" spans="1:10">
      <c r="A12" s="2999">
        <v>11</v>
      </c>
      <c r="B12" s="2999" t="s">
        <v>3156</v>
      </c>
      <c r="C12" s="2999" t="s">
        <v>3158</v>
      </c>
      <c r="D12" s="3009">
        <v>8</v>
      </c>
      <c r="E12" s="3009">
        <v>1235.44</v>
      </c>
      <c r="F12" s="3009">
        <v>8</v>
      </c>
      <c r="G12" s="3009">
        <v>1235.44</v>
      </c>
      <c r="H12" s="3009"/>
      <c r="I12" s="3009"/>
      <c r="J12">
        <f t="shared" si="0"/>
        <v>0</v>
      </c>
    </row>
    <row r="13" spans="1:10">
      <c r="A13" s="2999">
        <v>12</v>
      </c>
      <c r="B13" s="2999" t="s">
        <v>3156</v>
      </c>
      <c r="C13" s="2999" t="s">
        <v>3162</v>
      </c>
      <c r="D13" s="3009">
        <v>12</v>
      </c>
      <c r="E13" s="3009">
        <v>1850.12</v>
      </c>
      <c r="F13" s="3009">
        <v>12</v>
      </c>
      <c r="G13" s="3009">
        <v>1850.12</v>
      </c>
      <c r="H13" s="3009"/>
      <c r="I13" s="3009"/>
      <c r="J13">
        <f t="shared" si="0"/>
        <v>0</v>
      </c>
    </row>
    <row r="14" spans="1:10" s="2952" customFormat="1">
      <c r="A14" s="3036">
        <v>13</v>
      </c>
      <c r="B14" s="3036" t="s">
        <v>3366</v>
      </c>
      <c r="C14" s="3036" t="s">
        <v>3163</v>
      </c>
      <c r="D14" s="3037">
        <v>8</v>
      </c>
      <c r="E14" s="3037">
        <v>1237.44</v>
      </c>
      <c r="F14" s="3037">
        <v>8</v>
      </c>
      <c r="G14" s="3037">
        <v>1237.44</v>
      </c>
      <c r="H14" s="3037"/>
      <c r="I14" s="3037"/>
      <c r="J14" s="2952">
        <f>D14-F14</f>
        <v>0</v>
      </c>
    </row>
    <row r="15" spans="1:10">
      <c r="A15" s="2999">
        <v>14</v>
      </c>
      <c r="B15" s="2999" t="s">
        <v>3156</v>
      </c>
      <c r="C15" s="2999" t="s">
        <v>3164</v>
      </c>
      <c r="D15" s="3009">
        <v>8</v>
      </c>
      <c r="E15" s="3009">
        <v>1237.44</v>
      </c>
      <c r="F15" s="3009">
        <v>8</v>
      </c>
      <c r="G15" s="3009">
        <v>1237.44</v>
      </c>
      <c r="H15" s="3009"/>
      <c r="I15" s="3009"/>
      <c r="J15">
        <f t="shared" si="0"/>
        <v>0</v>
      </c>
    </row>
    <row r="16" spans="1:10">
      <c r="A16" s="2999">
        <v>15</v>
      </c>
      <c r="B16" s="2999" t="s">
        <v>3167</v>
      </c>
      <c r="C16" s="2999" t="s">
        <v>3168</v>
      </c>
      <c r="D16" s="3009">
        <v>40</v>
      </c>
      <c r="E16" s="3009">
        <v>5461.78</v>
      </c>
      <c r="F16" s="3009">
        <v>40</v>
      </c>
      <c r="G16" s="3009">
        <v>5461.78</v>
      </c>
      <c r="H16" s="3009"/>
      <c r="I16" s="3009"/>
      <c r="J16">
        <f t="shared" si="0"/>
        <v>0</v>
      </c>
    </row>
    <row r="17" spans="1:10">
      <c r="A17" s="2999">
        <v>16</v>
      </c>
      <c r="B17" s="3001" t="s">
        <v>3187</v>
      </c>
      <c r="C17" s="2999" t="s">
        <v>3169</v>
      </c>
      <c r="D17" s="3010">
        <v>40</v>
      </c>
      <c r="E17" s="3010">
        <v>5855.6</v>
      </c>
      <c r="F17" s="3009">
        <v>7</v>
      </c>
      <c r="G17" s="3009">
        <v>1107.22</v>
      </c>
      <c r="H17" s="3009"/>
      <c r="I17" s="3009"/>
      <c r="J17">
        <f>D17-F17</f>
        <v>33</v>
      </c>
    </row>
    <row r="18" spans="1:10">
      <c r="A18" s="2999">
        <v>17</v>
      </c>
      <c r="B18" s="3001" t="s">
        <v>3367</v>
      </c>
      <c r="C18" s="2999" t="s">
        <v>3170</v>
      </c>
      <c r="D18" s="3010">
        <v>60</v>
      </c>
      <c r="E18" s="3010">
        <v>8397.99</v>
      </c>
      <c r="F18" s="3009">
        <v>8</v>
      </c>
      <c r="G18" s="3009">
        <v>1274.24</v>
      </c>
      <c r="H18" s="3009"/>
      <c r="I18" s="3009"/>
      <c r="J18">
        <f>D18-F18</f>
        <v>52</v>
      </c>
    </row>
    <row r="19" spans="1:10">
      <c r="A19" s="3127" t="s">
        <v>3171</v>
      </c>
      <c r="B19" s="3127"/>
      <c r="C19" s="3127"/>
      <c r="D19" s="3011">
        <f>SUM(D2:D18)</f>
        <v>352</v>
      </c>
      <c r="E19" s="3011">
        <f>SUM(E2:E18)</f>
        <v>48099.509999999995</v>
      </c>
      <c r="F19" s="3011">
        <f>SUM(F2:F18)</f>
        <v>254</v>
      </c>
      <c r="G19" s="3011">
        <f>SUM(G2:G18)</f>
        <v>34140.28</v>
      </c>
      <c r="H19" s="3011"/>
      <c r="I19" s="3011"/>
    </row>
    <row r="20" spans="1:10">
      <c r="A20" s="3002"/>
      <c r="B20" s="3003"/>
      <c r="C20" s="3003"/>
      <c r="D20" s="3012"/>
      <c r="E20" s="3012"/>
      <c r="F20" s="3012"/>
      <c r="G20" s="3012"/>
      <c r="H20" s="3013"/>
      <c r="I20" s="3014"/>
    </row>
    <row r="21" spans="1:10">
      <c r="A21" s="3006"/>
      <c r="B21" s="3007" t="s">
        <v>3368</v>
      </c>
      <c r="C21" s="3008">
        <f>F19</f>
        <v>254</v>
      </c>
      <c r="D21" s="3003"/>
      <c r="E21" s="3004"/>
      <c r="F21" s="3003"/>
      <c r="G21" s="3004"/>
      <c r="H21" s="3005"/>
      <c r="I21" s="3006"/>
    </row>
    <row r="22" spans="1:10" s="2968" customFormat="1">
      <c r="A22" s="3014"/>
      <c r="B22" s="3019" t="s">
        <v>3369</v>
      </c>
      <c r="C22" s="3012">
        <f>G19</f>
        <v>34140.28</v>
      </c>
      <c r="D22" s="3012"/>
      <c r="E22" s="3020" t="s">
        <v>3049</v>
      </c>
      <c r="F22" s="3014">
        <f>G2</f>
        <v>15450.07</v>
      </c>
      <c r="G22" s="3012"/>
      <c r="H22" s="3013"/>
      <c r="I22" s="3014"/>
    </row>
    <row r="23" spans="1:10" s="2968" customFormat="1">
      <c r="A23" s="3014"/>
      <c r="B23" s="3019" t="s">
        <v>3370</v>
      </c>
      <c r="C23" s="3012">
        <f>I19</f>
        <v>0</v>
      </c>
      <c r="D23" s="3012"/>
      <c r="E23" s="3014" t="str">
        <f>B3</f>
        <v>双拼</v>
      </c>
      <c r="F23" s="3014">
        <f>G3+G5+G10</f>
        <v>1123.17</v>
      </c>
      <c r="G23" s="3012"/>
      <c r="H23" s="3013"/>
      <c r="I23" s="3014"/>
    </row>
    <row r="24" spans="1:10">
      <c r="E24" s="2989" t="str">
        <f>B4</f>
        <v>联排</v>
      </c>
      <c r="F24" s="2989">
        <f>G4+G6+G7+G8+G9</f>
        <v>4011.93</v>
      </c>
    </row>
    <row r="25" spans="1:10">
      <c r="E25" s="2989" t="str">
        <f>B11</f>
        <v>叠墅</v>
      </c>
      <c r="F25" s="2989">
        <f>G11+G12+G13+G14+G15</f>
        <v>5711.8700000000008</v>
      </c>
    </row>
    <row r="26" spans="1:10">
      <c r="E26" s="2989" t="str">
        <f>B16</f>
        <v>洋房</v>
      </c>
      <c r="F26" s="2989">
        <f>G16+G17+G18</f>
        <v>7843.24</v>
      </c>
      <c r="H26" s="2949" t="s">
        <v>3700</v>
      </c>
    </row>
    <row r="27" spans="1:10">
      <c r="E27" s="2990" t="s">
        <v>3080</v>
      </c>
      <c r="F27" s="2989">
        <f>SUM(F22:F26)</f>
        <v>34140.28</v>
      </c>
      <c r="H27" s="2973">
        <v>138798</v>
      </c>
    </row>
    <row r="29" spans="1:10">
      <c r="H29">
        <f>ROUND(F27/H27*'土地比较法-住宅、综合'!C38,2)</f>
        <v>22766.16</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F11" sqref="F11"/>
    </sheetView>
  </sheetViews>
  <sheetFormatPr defaultRowHeight="13.5"/>
  <cols>
    <col min="1" max="1" width="10.375" customWidth="1"/>
    <col min="9" max="9" width="11.625" bestFit="1" customWidth="1"/>
  </cols>
  <sheetData>
    <row r="1" spans="1:7">
      <c r="A1" s="2949" t="s">
        <v>3042</v>
      </c>
      <c r="B1" s="2949" t="s">
        <v>3043</v>
      </c>
      <c r="C1" s="2949" t="s">
        <v>3044</v>
      </c>
    </row>
    <row r="2" spans="1:7">
      <c r="A2">
        <v>20130.995299999999</v>
      </c>
      <c r="B2">
        <f>C2*1.5</f>
        <v>2175</v>
      </c>
      <c r="C2">
        <v>1450</v>
      </c>
    </row>
    <row r="4" spans="1:7">
      <c r="A4" s="2949" t="s">
        <v>3045</v>
      </c>
    </row>
    <row r="5" spans="1:7">
      <c r="A5">
        <v>94976.61</v>
      </c>
    </row>
    <row r="6" spans="1:7">
      <c r="A6" s="2949" t="s">
        <v>3046</v>
      </c>
    </row>
    <row r="7" spans="1:7">
      <c r="A7">
        <v>100842.14</v>
      </c>
    </row>
    <row r="8" spans="1:7">
      <c r="B8" s="2949" t="s">
        <v>3047</v>
      </c>
      <c r="C8">
        <v>92556.3</v>
      </c>
    </row>
    <row r="9" spans="1:7">
      <c r="B9" s="2949" t="s">
        <v>3048</v>
      </c>
      <c r="C9">
        <f>D10+D11+D12</f>
        <v>134090</v>
      </c>
    </row>
    <row r="10" spans="1:7">
      <c r="C10" s="2949" t="s">
        <v>3049</v>
      </c>
      <c r="D10">
        <v>90367.08</v>
      </c>
    </row>
    <row r="11" spans="1:7">
      <c r="C11" s="2949" t="s">
        <v>3050</v>
      </c>
      <c r="D11">
        <v>14972.54</v>
      </c>
      <c r="F11">
        <f>C9+C13+C14</f>
        <v>138309.29999999999</v>
      </c>
      <c r="G11">
        <f>F11+C21</f>
        <v>139916</v>
      </c>
    </row>
    <row r="12" spans="1:7">
      <c r="C12" s="2949" t="s">
        <v>3051</v>
      </c>
      <c r="D12">
        <v>28750.38</v>
      </c>
      <c r="F12">
        <f>138798-F11</f>
        <v>488.70000000001164</v>
      </c>
    </row>
    <row r="13" spans="1:7">
      <c r="B13" s="2949" t="s">
        <v>3052</v>
      </c>
      <c r="C13">
        <v>1242.8399999999999</v>
      </c>
    </row>
    <row r="14" spans="1:7">
      <c r="B14" s="2949" t="s">
        <v>3053</v>
      </c>
      <c r="C14">
        <f>D15+D16+D17+D18+D19+D20</f>
        <v>2976.46</v>
      </c>
    </row>
    <row r="15" spans="1:7">
      <c r="C15" s="2949" t="s">
        <v>3054</v>
      </c>
      <c r="D15">
        <v>967.45</v>
      </c>
    </row>
    <row r="16" spans="1:7">
      <c r="C16" s="2949" t="s">
        <v>3055</v>
      </c>
      <c r="D16">
        <v>480.56</v>
      </c>
    </row>
    <row r="17" spans="1:18">
      <c r="C17" s="2949" t="s">
        <v>3056</v>
      </c>
      <c r="D17">
        <v>567.92999999999995</v>
      </c>
    </row>
    <row r="18" spans="1:18">
      <c r="C18" s="2949" t="s">
        <v>3057</v>
      </c>
      <c r="D18">
        <v>786.46</v>
      </c>
    </row>
    <row r="19" spans="1:18">
      <c r="C19" s="2949" t="s">
        <v>3058</v>
      </c>
      <c r="D19">
        <v>161.66999999999999</v>
      </c>
    </row>
    <row r="20" spans="1:18">
      <c r="C20" s="2949" t="s">
        <v>3059</v>
      </c>
      <c r="D20">
        <v>12.39</v>
      </c>
    </row>
    <row r="21" spans="1:18">
      <c r="B21" s="2949" t="s">
        <v>3060</v>
      </c>
      <c r="C21">
        <v>1606.7</v>
      </c>
    </row>
    <row r="22" spans="1:18">
      <c r="B22" s="2949" t="s">
        <v>3062</v>
      </c>
      <c r="C22" s="2949">
        <v>55902.75</v>
      </c>
    </row>
    <row r="23" spans="1:18">
      <c r="B23" s="2949" t="s">
        <v>3061</v>
      </c>
      <c r="C23">
        <f>19+1285</f>
        <v>1304</v>
      </c>
      <c r="E23">
        <f>C23*35</f>
        <v>45640</v>
      </c>
      <c r="F23">
        <f>C22-E23</f>
        <v>10262.75</v>
      </c>
    </row>
    <row r="24" spans="1:18">
      <c r="B24" s="2949" t="s">
        <v>3063</v>
      </c>
      <c r="C24">
        <f>906+1000</f>
        <v>1906</v>
      </c>
    </row>
    <row r="25" spans="1:18">
      <c r="B25" s="2949"/>
    </row>
    <row r="26" spans="1:18">
      <c r="A26" s="3129" t="s">
        <v>3068</v>
      </c>
      <c r="B26" s="3128"/>
      <c r="C26" s="3128"/>
      <c r="D26" s="3129" t="s">
        <v>3069</v>
      </c>
      <c r="E26" s="3128"/>
      <c r="F26" s="3128"/>
      <c r="G26" s="3129" t="s">
        <v>3070</v>
      </c>
      <c r="H26" s="3128"/>
      <c r="I26" s="3128"/>
      <c r="J26" s="3129" t="s">
        <v>3073</v>
      </c>
      <c r="K26" s="3128"/>
      <c r="L26" s="3128"/>
      <c r="M26" s="3129" t="s">
        <v>3076</v>
      </c>
      <c r="N26" s="3128"/>
      <c r="O26" s="3128"/>
      <c r="P26" s="3129" t="s">
        <v>3078</v>
      </c>
      <c r="Q26" s="3128"/>
      <c r="R26" s="3128"/>
    </row>
    <row r="27" spans="1:18">
      <c r="A27" s="2950" t="s">
        <v>3065</v>
      </c>
      <c r="B27" s="2950" t="s">
        <v>3066</v>
      </c>
      <c r="C27" s="2950" t="s">
        <v>3067</v>
      </c>
      <c r="D27" s="2950" t="s">
        <v>3065</v>
      </c>
      <c r="E27" s="2950" t="s">
        <v>3066</v>
      </c>
      <c r="F27" s="2950" t="s">
        <v>3067</v>
      </c>
      <c r="G27" s="2950" t="s">
        <v>3065</v>
      </c>
      <c r="H27" s="2950" t="s">
        <v>3066</v>
      </c>
      <c r="I27" s="2950" t="s">
        <v>3067</v>
      </c>
      <c r="J27" s="2950" t="s">
        <v>3065</v>
      </c>
      <c r="K27" s="2950" t="s">
        <v>3066</v>
      </c>
      <c r="L27" s="2950" t="s">
        <v>3067</v>
      </c>
      <c r="M27" s="2950" t="s">
        <v>3065</v>
      </c>
      <c r="N27" s="2950" t="s">
        <v>3066</v>
      </c>
      <c r="O27" s="2950" t="s">
        <v>3067</v>
      </c>
      <c r="P27" s="2950" t="s">
        <v>3065</v>
      </c>
      <c r="Q27" s="2950" t="s">
        <v>3066</v>
      </c>
      <c r="R27" s="2950" t="s">
        <v>3067</v>
      </c>
    </row>
    <row r="28" spans="1:18">
      <c r="A28" s="2952">
        <v>41</v>
      </c>
      <c r="B28">
        <v>2</v>
      </c>
      <c r="C28" s="3128">
        <v>17214.03</v>
      </c>
      <c r="D28" s="2951">
        <v>1</v>
      </c>
      <c r="E28">
        <v>100</v>
      </c>
      <c r="F28">
        <v>11466.69</v>
      </c>
      <c r="G28" s="2951">
        <v>2</v>
      </c>
      <c r="H28">
        <v>132</v>
      </c>
      <c r="I28">
        <v>15450.07</v>
      </c>
      <c r="J28" s="2953">
        <v>58</v>
      </c>
      <c r="K28">
        <v>8</v>
      </c>
      <c r="L28" s="3128">
        <v>8656.0400000000009</v>
      </c>
      <c r="M28" s="2951">
        <v>3</v>
      </c>
      <c r="N28">
        <v>132</v>
      </c>
      <c r="O28" s="3128">
        <v>28121.71</v>
      </c>
      <c r="P28" s="2951">
        <v>4</v>
      </c>
      <c r="Q28">
        <v>132</v>
      </c>
      <c r="R28">
        <v>15450.97</v>
      </c>
    </row>
    <row r="29" spans="1:18">
      <c r="A29" s="2952">
        <v>42</v>
      </c>
      <c r="B29">
        <v>6</v>
      </c>
      <c r="C29" s="3128"/>
      <c r="D29" s="2952">
        <v>16</v>
      </c>
      <c r="E29">
        <v>4</v>
      </c>
      <c r="F29" s="3128">
        <v>6566.17</v>
      </c>
      <c r="G29" s="2952">
        <v>6</v>
      </c>
      <c r="H29">
        <v>2</v>
      </c>
      <c r="I29" s="3128">
        <v>6909.99</v>
      </c>
      <c r="J29" s="2953">
        <v>59</v>
      </c>
      <c r="K29">
        <v>12</v>
      </c>
      <c r="L29" s="3128"/>
      <c r="M29" s="2951">
        <v>5</v>
      </c>
      <c r="N29">
        <v>108</v>
      </c>
      <c r="O29" s="3128"/>
      <c r="P29" s="2949" t="s">
        <v>3079</v>
      </c>
      <c r="Q29">
        <v>90</v>
      </c>
      <c r="R29">
        <v>1183</v>
      </c>
    </row>
    <row r="30" spans="1:18">
      <c r="A30" s="2952">
        <v>43</v>
      </c>
      <c r="B30">
        <v>2</v>
      </c>
      <c r="C30" s="3128"/>
      <c r="D30" s="2952">
        <v>18</v>
      </c>
      <c r="E30">
        <v>4</v>
      </c>
      <c r="F30" s="3128"/>
      <c r="G30" s="2952">
        <v>7</v>
      </c>
      <c r="H30">
        <v>5</v>
      </c>
      <c r="I30" s="3128"/>
      <c r="J30" s="2953">
        <v>61</v>
      </c>
      <c r="K30">
        <v>8</v>
      </c>
      <c r="L30" s="3128"/>
      <c r="M30" s="2954">
        <v>65</v>
      </c>
      <c r="N30">
        <v>40</v>
      </c>
      <c r="O30">
        <v>5461.78</v>
      </c>
      <c r="P30" s="2949" t="s">
        <v>3083</v>
      </c>
      <c r="R30">
        <f>R28+R29</f>
        <v>16633.97</v>
      </c>
    </row>
    <row r="31" spans="1:18">
      <c r="A31" s="2952">
        <v>44</v>
      </c>
      <c r="B31">
        <v>6</v>
      </c>
      <c r="C31" s="3128"/>
      <c r="D31" s="2952">
        <v>21</v>
      </c>
      <c r="E31">
        <v>4</v>
      </c>
      <c r="F31" s="3128"/>
      <c r="G31" s="2952">
        <v>8</v>
      </c>
      <c r="H31">
        <v>2</v>
      </c>
      <c r="I31" s="3128"/>
      <c r="J31" s="2953">
        <v>62</v>
      </c>
      <c r="K31">
        <v>8</v>
      </c>
      <c r="L31" s="3128"/>
      <c r="M31" s="2949" t="s">
        <v>3080</v>
      </c>
      <c r="O31">
        <f>O28+O30</f>
        <v>33583.49</v>
      </c>
      <c r="P31" s="2949"/>
    </row>
    <row r="32" spans="1:18">
      <c r="A32" s="2952">
        <v>45</v>
      </c>
      <c r="B32">
        <v>5</v>
      </c>
      <c r="C32" s="3128"/>
      <c r="D32" s="2952">
        <v>23</v>
      </c>
      <c r="E32">
        <v>4</v>
      </c>
      <c r="F32" s="3128"/>
      <c r="G32" s="2952">
        <v>9</v>
      </c>
      <c r="H32">
        <v>5</v>
      </c>
      <c r="I32" s="3128"/>
      <c r="J32" s="2953">
        <v>63</v>
      </c>
      <c r="K32">
        <v>8</v>
      </c>
      <c r="L32" s="3128"/>
      <c r="M32" s="2949"/>
      <c r="P32" s="2949"/>
    </row>
    <row r="33" spans="1:12">
      <c r="A33" s="2952">
        <v>46</v>
      </c>
      <c r="B33">
        <v>6</v>
      </c>
      <c r="C33" s="3128"/>
      <c r="D33" s="2952">
        <v>24</v>
      </c>
      <c r="E33">
        <v>4</v>
      </c>
      <c r="F33" s="3128"/>
      <c r="G33" s="2952">
        <v>10</v>
      </c>
      <c r="H33">
        <v>4</v>
      </c>
      <c r="I33" s="3128"/>
      <c r="J33" s="2953">
        <v>64</v>
      </c>
      <c r="K33">
        <v>12</v>
      </c>
      <c r="L33" s="3128"/>
    </row>
    <row r="34" spans="1:12">
      <c r="A34" s="2952">
        <v>47</v>
      </c>
      <c r="B34">
        <v>4</v>
      </c>
      <c r="C34" s="3128"/>
      <c r="D34" s="2952">
        <v>25</v>
      </c>
      <c r="E34">
        <v>3</v>
      </c>
      <c r="F34" s="3128"/>
      <c r="G34" s="2952">
        <v>11</v>
      </c>
      <c r="H34">
        <v>5</v>
      </c>
      <c r="I34" s="3128"/>
      <c r="J34" s="2954">
        <v>66</v>
      </c>
      <c r="K34">
        <v>40</v>
      </c>
      <c r="L34" s="3128">
        <v>14253.69</v>
      </c>
    </row>
    <row r="35" spans="1:12">
      <c r="A35" s="2952">
        <v>48</v>
      </c>
      <c r="B35">
        <v>6</v>
      </c>
      <c r="C35" s="3128"/>
      <c r="D35" s="2952">
        <v>39</v>
      </c>
      <c r="E35">
        <v>2</v>
      </c>
      <c r="F35" s="3128"/>
      <c r="G35" s="2952">
        <v>13</v>
      </c>
      <c r="H35">
        <v>5</v>
      </c>
      <c r="I35" s="3128"/>
      <c r="J35" s="2954">
        <v>67</v>
      </c>
      <c r="K35">
        <v>66</v>
      </c>
      <c r="L35" s="3128"/>
    </row>
    <row r="36" spans="1:12">
      <c r="A36" s="2952">
        <v>49</v>
      </c>
      <c r="B36">
        <v>2</v>
      </c>
      <c r="C36" s="3128"/>
      <c r="D36" s="2952">
        <v>40</v>
      </c>
      <c r="E36">
        <v>2</v>
      </c>
      <c r="F36" s="3128"/>
      <c r="G36" s="2952">
        <v>15</v>
      </c>
      <c r="H36">
        <v>5</v>
      </c>
      <c r="I36" s="3128"/>
      <c r="J36" s="2949" t="s">
        <v>3074</v>
      </c>
      <c r="K36">
        <v>324</v>
      </c>
      <c r="L36">
        <v>4276.8</v>
      </c>
    </row>
    <row r="37" spans="1:12">
      <c r="A37" s="2952">
        <v>50</v>
      </c>
      <c r="B37">
        <v>2</v>
      </c>
      <c r="C37" s="3128"/>
      <c r="D37" s="2952">
        <v>52</v>
      </c>
      <c r="E37">
        <v>3</v>
      </c>
      <c r="F37" s="3128"/>
      <c r="G37" s="2952">
        <v>17</v>
      </c>
      <c r="H37">
        <v>4</v>
      </c>
      <c r="I37" s="3128"/>
      <c r="J37" s="2949" t="s">
        <v>3080</v>
      </c>
      <c r="L37">
        <f>L28+L34+L36</f>
        <v>27186.530000000002</v>
      </c>
    </row>
    <row r="38" spans="1:12">
      <c r="A38" s="2952">
        <v>51</v>
      </c>
      <c r="B38">
        <v>3</v>
      </c>
      <c r="C38" s="3128"/>
      <c r="D38" s="2952">
        <v>53</v>
      </c>
      <c r="E38">
        <v>3</v>
      </c>
      <c r="F38" s="3128"/>
      <c r="G38" s="2952">
        <v>19</v>
      </c>
      <c r="H38">
        <v>4</v>
      </c>
      <c r="I38" s="3128"/>
      <c r="J38" s="2949"/>
    </row>
    <row r="39" spans="1:12">
      <c r="A39" s="2952">
        <v>26</v>
      </c>
      <c r="B39">
        <v>3</v>
      </c>
      <c r="C39" s="3128"/>
      <c r="D39" s="2952">
        <v>54</v>
      </c>
      <c r="E39">
        <v>4</v>
      </c>
      <c r="F39" s="3128"/>
      <c r="G39" s="2949" t="s">
        <v>3071</v>
      </c>
      <c r="H39">
        <v>32</v>
      </c>
      <c r="I39">
        <v>422.4</v>
      </c>
    </row>
    <row r="40" spans="1:12">
      <c r="A40" s="2952">
        <v>27</v>
      </c>
      <c r="B40">
        <v>2</v>
      </c>
      <c r="C40" s="3128"/>
      <c r="D40" s="2953">
        <v>56</v>
      </c>
      <c r="E40">
        <v>8</v>
      </c>
      <c r="F40" s="3128">
        <v>4321</v>
      </c>
      <c r="G40" s="2949">
        <v>68</v>
      </c>
      <c r="H40" s="2949">
        <v>9</v>
      </c>
      <c r="I40" s="2949">
        <v>1246.24</v>
      </c>
    </row>
    <row r="41" spans="1:12">
      <c r="A41" s="2952">
        <v>28</v>
      </c>
      <c r="B41">
        <v>2</v>
      </c>
      <c r="C41" s="3128"/>
      <c r="D41" s="2953">
        <v>57</v>
      </c>
      <c r="E41">
        <v>8</v>
      </c>
      <c r="F41" s="3128"/>
      <c r="G41" s="2949" t="s">
        <v>3081</v>
      </c>
      <c r="H41" s="2949"/>
      <c r="I41" s="2949">
        <f>I28+I29+I39+I40</f>
        <v>24028.7</v>
      </c>
    </row>
    <row r="42" spans="1:12">
      <c r="A42" s="2952">
        <v>29</v>
      </c>
      <c r="B42">
        <v>2</v>
      </c>
      <c r="C42" s="3128"/>
      <c r="D42" s="2953">
        <v>60</v>
      </c>
      <c r="E42">
        <v>12</v>
      </c>
      <c r="F42" s="3128"/>
      <c r="G42" s="2949"/>
      <c r="H42" s="2949"/>
      <c r="I42" s="2949"/>
    </row>
    <row r="43" spans="1:12">
      <c r="A43" s="2952">
        <v>30</v>
      </c>
      <c r="B43">
        <v>2</v>
      </c>
      <c r="C43" s="3128"/>
      <c r="D43" s="2949" t="s">
        <v>3082</v>
      </c>
      <c r="E43">
        <v>152</v>
      </c>
      <c r="F43">
        <v>2006.4</v>
      </c>
      <c r="G43" s="2949"/>
    </row>
    <row r="44" spans="1:12">
      <c r="A44" s="2952">
        <v>31</v>
      </c>
      <c r="B44">
        <v>2</v>
      </c>
      <c r="C44" s="3128"/>
      <c r="D44" s="2949" t="s">
        <v>3080</v>
      </c>
      <c r="F44">
        <f>F28+F29+F40+F43</f>
        <v>24360.260000000002</v>
      </c>
    </row>
    <row r="45" spans="1:12">
      <c r="A45" s="2952">
        <v>32</v>
      </c>
      <c r="B45">
        <v>2</v>
      </c>
      <c r="C45" s="3128"/>
      <c r="D45" s="2949"/>
    </row>
    <row r="46" spans="1:12">
      <c r="A46" s="2952">
        <v>33</v>
      </c>
      <c r="B46">
        <v>2</v>
      </c>
      <c r="C46" s="3128"/>
      <c r="D46" s="2949"/>
    </row>
    <row r="47" spans="1:12">
      <c r="A47" s="2952">
        <v>34</v>
      </c>
      <c r="B47">
        <v>2</v>
      </c>
      <c r="C47" s="3128"/>
      <c r="F47" s="2949" t="s">
        <v>3072</v>
      </c>
      <c r="G47" s="2952"/>
      <c r="H47">
        <f>F29+I29+C28</f>
        <v>30690.19</v>
      </c>
    </row>
    <row r="48" spans="1:12">
      <c r="A48" s="2952">
        <v>35</v>
      </c>
      <c r="B48">
        <v>2</v>
      </c>
      <c r="C48" s="3128"/>
      <c r="F48" s="2949" t="s">
        <v>3049</v>
      </c>
      <c r="G48" s="2951"/>
      <c r="H48">
        <f>F28+I28+O28+R28</f>
        <v>70489.440000000002</v>
      </c>
    </row>
    <row r="49" spans="1:8">
      <c r="A49" s="2952">
        <v>36</v>
      </c>
      <c r="B49">
        <v>2</v>
      </c>
      <c r="C49" s="3128"/>
      <c r="F49" s="2949" t="s">
        <v>3075</v>
      </c>
      <c r="G49" s="2953"/>
      <c r="H49">
        <f>F40+L28</f>
        <v>12977.04</v>
      </c>
    </row>
    <row r="50" spans="1:8">
      <c r="A50" s="2952">
        <v>37</v>
      </c>
      <c r="B50">
        <v>2</v>
      </c>
      <c r="C50" s="3128"/>
      <c r="F50" s="2949" t="s">
        <v>3077</v>
      </c>
      <c r="G50" s="2954"/>
      <c r="H50">
        <f>L34+O30</f>
        <v>19715.47</v>
      </c>
    </row>
    <row r="51" spans="1:8">
      <c r="A51" s="2952">
        <v>38</v>
      </c>
      <c r="B51">
        <v>2</v>
      </c>
      <c r="C51" s="3128"/>
      <c r="F51" s="2949" t="s">
        <v>3084</v>
      </c>
      <c r="H51">
        <f>F43+I39+L36+R29+C57</f>
        <v>8194.6</v>
      </c>
    </row>
    <row r="52" spans="1:8">
      <c r="A52" s="2952">
        <v>12</v>
      </c>
      <c r="B52">
        <v>4</v>
      </c>
      <c r="C52" s="3128"/>
      <c r="F52" s="2949" t="s">
        <v>3052</v>
      </c>
      <c r="H52">
        <f>I40</f>
        <v>1246.24</v>
      </c>
    </row>
    <row r="53" spans="1:8">
      <c r="A53" s="2952">
        <v>14</v>
      </c>
      <c r="B53">
        <v>4</v>
      </c>
      <c r="C53" s="3128"/>
      <c r="E53">
        <f>F44+I41+L37+O31+R30+C58</f>
        <v>143312.98000000001</v>
      </c>
      <c r="H53">
        <f>SUM(H47:H52)</f>
        <v>143312.98000000001</v>
      </c>
    </row>
    <row r="54" spans="1:8">
      <c r="A54" s="2952">
        <v>20</v>
      </c>
      <c r="B54">
        <v>4</v>
      </c>
      <c r="C54" s="3128"/>
    </row>
    <row r="55" spans="1:8">
      <c r="A55" s="2952">
        <v>22</v>
      </c>
      <c r="B55">
        <v>4</v>
      </c>
      <c r="C55" s="3128"/>
    </row>
    <row r="56" spans="1:8">
      <c r="A56" s="2952">
        <v>55</v>
      </c>
      <c r="B56">
        <v>12</v>
      </c>
      <c r="C56" s="3128"/>
    </row>
    <row r="57" spans="1:8">
      <c r="A57" s="2949" t="s">
        <v>3064</v>
      </c>
      <c r="B57">
        <v>230</v>
      </c>
      <c r="C57">
        <v>306</v>
      </c>
    </row>
    <row r="58" spans="1:8">
      <c r="A58" s="2949" t="s">
        <v>3080</v>
      </c>
      <c r="C58">
        <f>C28+C57</f>
        <v>17520.03</v>
      </c>
    </row>
  </sheetData>
  <mergeCells count="13">
    <mergeCell ref="P26:R26"/>
    <mergeCell ref="A26:C26"/>
    <mergeCell ref="D26:F26"/>
    <mergeCell ref="G26:I26"/>
    <mergeCell ref="J26:L26"/>
    <mergeCell ref="M26:O26"/>
    <mergeCell ref="O28:O29"/>
    <mergeCell ref="C28:C56"/>
    <mergeCell ref="F40:F42"/>
    <mergeCell ref="F29:F39"/>
    <mergeCell ref="I29:I38"/>
    <mergeCell ref="L34:L35"/>
    <mergeCell ref="L28:L33"/>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9"/>
  <sheetViews>
    <sheetView topLeftCell="A228" workbookViewId="0">
      <selection activeCell="E259" sqref="E259"/>
    </sheetView>
  </sheetViews>
  <sheetFormatPr defaultRowHeight="13.5"/>
  <cols>
    <col min="2" max="2" width="40.5" customWidth="1"/>
    <col min="3" max="3" width="13.25" customWidth="1"/>
  </cols>
  <sheetData>
    <row r="1" spans="1:3" ht="40.5" customHeight="1">
      <c r="A1" s="3130" t="s">
        <v>3699</v>
      </c>
      <c r="B1" s="3130"/>
      <c r="C1" s="3130"/>
    </row>
    <row r="2" spans="1:3" ht="27">
      <c r="A2" s="3038" t="s">
        <v>3379</v>
      </c>
      <c r="B2" s="3038" t="s">
        <v>3380</v>
      </c>
      <c r="C2" s="3039" t="s">
        <v>3381</v>
      </c>
    </row>
    <row r="3" spans="1:3">
      <c r="A3" s="2955">
        <v>1</v>
      </c>
      <c r="B3" s="2955" t="s">
        <v>3382</v>
      </c>
      <c r="C3" s="3040">
        <v>131.99</v>
      </c>
    </row>
    <row r="4" spans="1:3">
      <c r="A4" s="2955">
        <v>2</v>
      </c>
      <c r="B4" s="2955" t="s">
        <v>3383</v>
      </c>
      <c r="C4" s="3040">
        <v>106.17</v>
      </c>
    </row>
    <row r="5" spans="1:3">
      <c r="A5" s="2955">
        <v>3</v>
      </c>
      <c r="B5" s="2955" t="s">
        <v>3384</v>
      </c>
      <c r="C5" s="3040">
        <v>106.24</v>
      </c>
    </row>
    <row r="6" spans="1:3">
      <c r="A6" s="2955">
        <v>4</v>
      </c>
      <c r="B6" s="2955" t="s">
        <v>3385</v>
      </c>
      <c r="C6" s="3040">
        <v>122</v>
      </c>
    </row>
    <row r="7" spans="1:3">
      <c r="A7" s="2955">
        <v>5</v>
      </c>
      <c r="B7" s="2955" t="s">
        <v>3386</v>
      </c>
      <c r="C7" s="3040">
        <v>131.99</v>
      </c>
    </row>
    <row r="8" spans="1:3">
      <c r="A8" s="2955">
        <v>6</v>
      </c>
      <c r="B8" s="2955" t="s">
        <v>3387</v>
      </c>
      <c r="C8" s="3040">
        <v>106.17</v>
      </c>
    </row>
    <row r="9" spans="1:3">
      <c r="A9" s="2955">
        <v>7</v>
      </c>
      <c r="B9" s="2955" t="s">
        <v>3388</v>
      </c>
      <c r="C9" s="3040">
        <v>106.24</v>
      </c>
    </row>
    <row r="10" spans="1:3">
      <c r="A10" s="2955">
        <v>8</v>
      </c>
      <c r="B10" s="2955" t="s">
        <v>3389</v>
      </c>
      <c r="C10" s="3040">
        <v>122</v>
      </c>
    </row>
    <row r="11" spans="1:3">
      <c r="A11" s="2955">
        <v>9</v>
      </c>
      <c r="B11" s="2955" t="s">
        <v>3390</v>
      </c>
      <c r="C11" s="3040">
        <v>131.99</v>
      </c>
    </row>
    <row r="12" spans="1:3">
      <c r="A12" s="2955">
        <v>10</v>
      </c>
      <c r="B12" s="2955" t="s">
        <v>3391</v>
      </c>
      <c r="C12" s="3040">
        <v>106.17</v>
      </c>
    </row>
    <row r="13" spans="1:3">
      <c r="A13" s="2955">
        <v>11</v>
      </c>
      <c r="B13" s="2955" t="s">
        <v>3392</v>
      </c>
      <c r="C13" s="3040">
        <v>106.24</v>
      </c>
    </row>
    <row r="14" spans="1:3">
      <c r="A14" s="2955">
        <v>12</v>
      </c>
      <c r="B14" s="2955" t="s">
        <v>3393</v>
      </c>
      <c r="C14" s="3040">
        <v>122</v>
      </c>
    </row>
    <row r="15" spans="1:3">
      <c r="A15" s="2955">
        <v>13</v>
      </c>
      <c r="B15" s="2955" t="s">
        <v>3394</v>
      </c>
      <c r="C15" s="3040">
        <v>131.99</v>
      </c>
    </row>
    <row r="16" spans="1:3">
      <c r="A16" s="2955">
        <v>14</v>
      </c>
      <c r="B16" s="2955" t="s">
        <v>3395</v>
      </c>
      <c r="C16" s="3040">
        <v>106.17</v>
      </c>
    </row>
    <row r="17" spans="1:3">
      <c r="A17" s="2955">
        <v>15</v>
      </c>
      <c r="B17" s="2955" t="s">
        <v>3396</v>
      </c>
      <c r="C17" s="3040">
        <v>106.24</v>
      </c>
    </row>
    <row r="18" spans="1:3">
      <c r="A18" s="2955">
        <v>16</v>
      </c>
      <c r="B18" s="2955" t="s">
        <v>3397</v>
      </c>
      <c r="C18" s="3040">
        <v>122</v>
      </c>
    </row>
    <row r="19" spans="1:3">
      <c r="A19" s="2955">
        <v>17</v>
      </c>
      <c r="B19" s="2955" t="s">
        <v>3398</v>
      </c>
      <c r="C19" s="3040">
        <v>133.13999999999999</v>
      </c>
    </row>
    <row r="20" spans="1:3">
      <c r="A20" s="2955">
        <v>18</v>
      </c>
      <c r="B20" s="2955" t="s">
        <v>3399</v>
      </c>
      <c r="C20" s="3040">
        <v>106.18</v>
      </c>
    </row>
    <row r="21" spans="1:3">
      <c r="A21" s="2955">
        <v>19</v>
      </c>
      <c r="B21" s="2955" t="s">
        <v>3400</v>
      </c>
      <c r="C21" s="3040">
        <v>106.28</v>
      </c>
    </row>
    <row r="22" spans="1:3">
      <c r="A22" s="2955">
        <v>20</v>
      </c>
      <c r="B22" s="2955" t="s">
        <v>3401</v>
      </c>
      <c r="C22" s="3040">
        <v>122.83</v>
      </c>
    </row>
    <row r="23" spans="1:3">
      <c r="A23" s="2955">
        <v>21</v>
      </c>
      <c r="B23" s="2955" t="s">
        <v>3402</v>
      </c>
      <c r="C23" s="3040">
        <v>133.13999999999999</v>
      </c>
    </row>
    <row r="24" spans="1:3">
      <c r="A24" s="2955">
        <v>22</v>
      </c>
      <c r="B24" s="2955" t="s">
        <v>3403</v>
      </c>
      <c r="C24" s="3040">
        <v>106.18</v>
      </c>
    </row>
    <row r="25" spans="1:3">
      <c r="A25" s="2955">
        <v>23</v>
      </c>
      <c r="B25" s="2955" t="s">
        <v>3404</v>
      </c>
      <c r="C25" s="3040">
        <v>106.28</v>
      </c>
    </row>
    <row r="26" spans="1:3">
      <c r="A26" s="2955">
        <v>24</v>
      </c>
      <c r="B26" s="2955" t="s">
        <v>3405</v>
      </c>
      <c r="C26" s="3040">
        <v>122.83</v>
      </c>
    </row>
    <row r="27" spans="1:3">
      <c r="A27" s="2955">
        <v>25</v>
      </c>
      <c r="B27" s="2955" t="s">
        <v>3406</v>
      </c>
      <c r="C27" s="3040">
        <v>133.13999999999999</v>
      </c>
    </row>
    <row r="28" spans="1:3">
      <c r="A28" s="2955">
        <v>26</v>
      </c>
      <c r="B28" s="2955" t="s">
        <v>3407</v>
      </c>
      <c r="C28" s="3040">
        <v>106.18</v>
      </c>
    </row>
    <row r="29" spans="1:3">
      <c r="A29" s="2955">
        <v>27</v>
      </c>
      <c r="B29" s="2955" t="s">
        <v>3408</v>
      </c>
      <c r="C29" s="3040">
        <v>106.28</v>
      </c>
    </row>
    <row r="30" spans="1:3">
      <c r="A30" s="2955">
        <v>28</v>
      </c>
      <c r="B30" s="2955" t="s">
        <v>3409</v>
      </c>
      <c r="C30" s="3040">
        <v>122.83</v>
      </c>
    </row>
    <row r="31" spans="1:3">
      <c r="A31" s="2955">
        <v>29</v>
      </c>
      <c r="B31" s="2955" t="s">
        <v>3410</v>
      </c>
      <c r="C31" s="3040">
        <v>133.13999999999999</v>
      </c>
    </row>
    <row r="32" spans="1:3">
      <c r="A32" s="2955">
        <v>30</v>
      </c>
      <c r="B32" s="2955" t="s">
        <v>3411</v>
      </c>
      <c r="C32" s="3040">
        <v>106.18</v>
      </c>
    </row>
    <row r="33" spans="1:3">
      <c r="A33" s="2955">
        <v>31</v>
      </c>
      <c r="B33" s="2955" t="s">
        <v>3412</v>
      </c>
      <c r="C33" s="3040">
        <v>106.28</v>
      </c>
    </row>
    <row r="34" spans="1:3">
      <c r="A34" s="2955">
        <v>32</v>
      </c>
      <c r="B34" s="2955" t="s">
        <v>3413</v>
      </c>
      <c r="C34" s="3040">
        <v>122.83</v>
      </c>
    </row>
    <row r="35" spans="1:3">
      <c r="A35" s="2955">
        <v>33</v>
      </c>
      <c r="B35" s="2955" t="s">
        <v>3414</v>
      </c>
      <c r="C35" s="3040">
        <v>133.13999999999999</v>
      </c>
    </row>
    <row r="36" spans="1:3">
      <c r="A36" s="2955">
        <v>34</v>
      </c>
      <c r="B36" s="2955" t="s">
        <v>3415</v>
      </c>
      <c r="C36" s="3040">
        <v>106.18</v>
      </c>
    </row>
    <row r="37" spans="1:3">
      <c r="A37" s="2955">
        <v>35</v>
      </c>
      <c r="B37" s="2955" t="s">
        <v>3416</v>
      </c>
      <c r="C37" s="3040">
        <v>106.28</v>
      </c>
    </row>
    <row r="38" spans="1:3">
      <c r="A38" s="2955">
        <v>36</v>
      </c>
      <c r="B38" s="2955" t="s">
        <v>3417</v>
      </c>
      <c r="C38" s="3040">
        <v>122.83</v>
      </c>
    </row>
    <row r="39" spans="1:3">
      <c r="A39" s="2955">
        <v>37</v>
      </c>
      <c r="B39" s="2955" t="s">
        <v>3418</v>
      </c>
      <c r="C39" s="3040">
        <v>133.13999999999999</v>
      </c>
    </row>
    <row r="40" spans="1:3">
      <c r="A40" s="2955">
        <v>38</v>
      </c>
      <c r="B40" s="2955" t="s">
        <v>3419</v>
      </c>
      <c r="C40" s="3040">
        <v>106.18</v>
      </c>
    </row>
    <row r="41" spans="1:3">
      <c r="A41" s="2955">
        <v>39</v>
      </c>
      <c r="B41" s="2955" t="s">
        <v>3420</v>
      </c>
      <c r="C41" s="3040">
        <v>106.28</v>
      </c>
    </row>
    <row r="42" spans="1:3">
      <c r="A42" s="2955">
        <v>40</v>
      </c>
      <c r="B42" s="2955" t="s">
        <v>3421</v>
      </c>
      <c r="C42" s="3040">
        <v>122.83</v>
      </c>
    </row>
    <row r="43" spans="1:3">
      <c r="A43" s="2955">
        <v>41</v>
      </c>
      <c r="B43" s="2955" t="s">
        <v>3422</v>
      </c>
      <c r="C43" s="3040">
        <v>133.13999999999999</v>
      </c>
    </row>
    <row r="44" spans="1:3">
      <c r="A44" s="2955">
        <v>42</v>
      </c>
      <c r="B44" s="2955" t="s">
        <v>3423</v>
      </c>
      <c r="C44" s="3040">
        <v>106.18</v>
      </c>
    </row>
    <row r="45" spans="1:3">
      <c r="A45" s="2955">
        <v>43</v>
      </c>
      <c r="B45" s="2955" t="s">
        <v>3424</v>
      </c>
      <c r="C45" s="3040">
        <v>106.28</v>
      </c>
    </row>
    <row r="46" spans="1:3">
      <c r="A46" s="2955">
        <v>44</v>
      </c>
      <c r="B46" s="2955" t="s">
        <v>3425</v>
      </c>
      <c r="C46" s="3040">
        <v>122.83</v>
      </c>
    </row>
    <row r="47" spans="1:3">
      <c r="A47" s="2955">
        <v>45</v>
      </c>
      <c r="B47" s="2955" t="s">
        <v>3426</v>
      </c>
      <c r="C47" s="3040">
        <v>133.13999999999999</v>
      </c>
    </row>
    <row r="48" spans="1:3">
      <c r="A48" s="2955">
        <v>46</v>
      </c>
      <c r="B48" s="2955" t="s">
        <v>3427</v>
      </c>
      <c r="C48" s="3040">
        <v>106.18</v>
      </c>
    </row>
    <row r="49" spans="1:3">
      <c r="A49" s="2955">
        <v>47</v>
      </c>
      <c r="B49" s="2955" t="s">
        <v>3428</v>
      </c>
      <c r="C49" s="3040">
        <v>106.28</v>
      </c>
    </row>
    <row r="50" spans="1:3">
      <c r="A50" s="2955">
        <v>48</v>
      </c>
      <c r="B50" s="2955" t="s">
        <v>3429</v>
      </c>
      <c r="C50" s="3040">
        <v>122.83</v>
      </c>
    </row>
    <row r="51" spans="1:3">
      <c r="A51" s="2955">
        <v>49</v>
      </c>
      <c r="B51" s="2955" t="s">
        <v>3430</v>
      </c>
      <c r="C51" s="3040">
        <v>133.13999999999999</v>
      </c>
    </row>
    <row r="52" spans="1:3">
      <c r="A52" s="2955">
        <v>50</v>
      </c>
      <c r="B52" s="2955" t="s">
        <v>3431</v>
      </c>
      <c r="C52" s="3040">
        <v>106.18</v>
      </c>
    </row>
    <row r="53" spans="1:3">
      <c r="A53" s="2955">
        <v>51</v>
      </c>
      <c r="B53" s="2955" t="s">
        <v>3432</v>
      </c>
      <c r="C53" s="3040">
        <v>106.28</v>
      </c>
    </row>
    <row r="54" spans="1:3">
      <c r="A54" s="2955">
        <v>52</v>
      </c>
      <c r="B54" s="2955" t="s">
        <v>3433</v>
      </c>
      <c r="C54" s="3040">
        <v>122.83</v>
      </c>
    </row>
    <row r="55" spans="1:3">
      <c r="A55" s="2955">
        <v>53</v>
      </c>
      <c r="B55" s="2955" t="s">
        <v>3434</v>
      </c>
      <c r="C55" s="3040">
        <v>133.13999999999999</v>
      </c>
    </row>
    <row r="56" spans="1:3">
      <c r="A56" s="2955">
        <v>54</v>
      </c>
      <c r="B56" s="2955" t="s">
        <v>3435</v>
      </c>
      <c r="C56" s="3040">
        <v>106.18</v>
      </c>
    </row>
    <row r="57" spans="1:3">
      <c r="A57" s="2955">
        <v>55</v>
      </c>
      <c r="B57" s="2955" t="s">
        <v>3436</v>
      </c>
      <c r="C57" s="3040">
        <v>106.28</v>
      </c>
    </row>
    <row r="58" spans="1:3">
      <c r="A58" s="2955">
        <v>56</v>
      </c>
      <c r="B58" s="2955" t="s">
        <v>3437</v>
      </c>
      <c r="C58" s="3040">
        <v>122.83</v>
      </c>
    </row>
    <row r="59" spans="1:3">
      <c r="A59" s="2955">
        <v>57</v>
      </c>
      <c r="B59" s="2955" t="s">
        <v>3632</v>
      </c>
      <c r="C59" s="3040">
        <v>133.13999999999999</v>
      </c>
    </row>
    <row r="60" spans="1:3">
      <c r="A60" s="2955">
        <v>58</v>
      </c>
      <c r="B60" s="2955" t="s">
        <v>3438</v>
      </c>
      <c r="C60" s="3040">
        <v>106.18</v>
      </c>
    </row>
    <row r="61" spans="1:3">
      <c r="A61" s="2955">
        <v>59</v>
      </c>
      <c r="B61" s="2955" t="s">
        <v>3439</v>
      </c>
      <c r="C61" s="3040">
        <v>106.28</v>
      </c>
    </row>
    <row r="62" spans="1:3">
      <c r="A62" s="2955">
        <v>60</v>
      </c>
      <c r="B62" s="2955" t="s">
        <v>3440</v>
      </c>
      <c r="C62" s="3040">
        <v>122.83</v>
      </c>
    </row>
    <row r="63" spans="1:3">
      <c r="A63" s="2955">
        <v>61</v>
      </c>
      <c r="B63" s="2955" t="s">
        <v>3441</v>
      </c>
      <c r="C63" s="3040">
        <v>133.13999999999999</v>
      </c>
    </row>
    <row r="64" spans="1:3">
      <c r="A64" s="2955">
        <v>62</v>
      </c>
      <c r="B64" s="2955" t="s">
        <v>3442</v>
      </c>
      <c r="C64" s="3040">
        <v>106.18</v>
      </c>
    </row>
    <row r="65" spans="1:3">
      <c r="A65" s="2955">
        <v>63</v>
      </c>
      <c r="B65" s="2955" t="s">
        <v>3443</v>
      </c>
      <c r="C65" s="3040">
        <v>106.28</v>
      </c>
    </row>
    <row r="66" spans="1:3">
      <c r="A66" s="2955">
        <v>64</v>
      </c>
      <c r="B66" s="2955" t="s">
        <v>3444</v>
      </c>
      <c r="C66" s="3040">
        <v>122.83</v>
      </c>
    </row>
    <row r="67" spans="1:3">
      <c r="A67" s="2955">
        <v>65</v>
      </c>
      <c r="B67" s="2955" t="s">
        <v>3633</v>
      </c>
      <c r="C67" s="3040">
        <v>133.13999999999999</v>
      </c>
    </row>
    <row r="68" spans="1:3">
      <c r="A68" s="2955">
        <v>66</v>
      </c>
      <c r="B68" s="2955" t="s">
        <v>3445</v>
      </c>
      <c r="C68" s="3040">
        <v>106.18</v>
      </c>
    </row>
    <row r="69" spans="1:3">
      <c r="A69" s="2955">
        <v>67</v>
      </c>
      <c r="B69" s="2955" t="s">
        <v>3446</v>
      </c>
      <c r="C69" s="3040">
        <v>106.28</v>
      </c>
    </row>
    <row r="70" spans="1:3">
      <c r="A70" s="2955">
        <v>68</v>
      </c>
      <c r="B70" s="2955" t="s">
        <v>3447</v>
      </c>
      <c r="C70" s="3040">
        <v>122.83</v>
      </c>
    </row>
    <row r="71" spans="1:3">
      <c r="A71" s="2955">
        <v>69</v>
      </c>
      <c r="B71" s="2955" t="s">
        <v>3634</v>
      </c>
      <c r="C71" s="3040">
        <v>133.13999999999999</v>
      </c>
    </row>
    <row r="72" spans="1:3">
      <c r="A72" s="2955">
        <v>70</v>
      </c>
      <c r="B72" s="2955" t="s">
        <v>3448</v>
      </c>
      <c r="C72" s="3040">
        <v>106.18</v>
      </c>
    </row>
    <row r="73" spans="1:3">
      <c r="A73" s="2955">
        <v>71</v>
      </c>
      <c r="B73" s="2955" t="s">
        <v>3449</v>
      </c>
      <c r="C73" s="3040">
        <v>106.28</v>
      </c>
    </row>
    <row r="74" spans="1:3">
      <c r="A74" s="2955">
        <v>72</v>
      </c>
      <c r="B74" s="2955" t="s">
        <v>3450</v>
      </c>
      <c r="C74" s="3040">
        <v>122.83</v>
      </c>
    </row>
    <row r="75" spans="1:3">
      <c r="A75" s="2955">
        <v>73</v>
      </c>
      <c r="B75" s="2955" t="s">
        <v>3451</v>
      </c>
      <c r="C75" s="3040">
        <v>133.13999999999999</v>
      </c>
    </row>
    <row r="76" spans="1:3">
      <c r="A76" s="2955">
        <v>74</v>
      </c>
      <c r="B76" s="2955" t="s">
        <v>3452</v>
      </c>
      <c r="C76" s="3040">
        <v>106.18</v>
      </c>
    </row>
    <row r="77" spans="1:3">
      <c r="A77" s="2955">
        <v>75</v>
      </c>
      <c r="B77" s="2955" t="s">
        <v>3453</v>
      </c>
      <c r="C77" s="3040">
        <v>106.28</v>
      </c>
    </row>
    <row r="78" spans="1:3">
      <c r="A78" s="2955">
        <v>76</v>
      </c>
      <c r="B78" s="2955" t="s">
        <v>3454</v>
      </c>
      <c r="C78" s="3040">
        <v>122.83</v>
      </c>
    </row>
    <row r="79" spans="1:3">
      <c r="A79" s="2955">
        <v>77</v>
      </c>
      <c r="B79" s="2955" t="s">
        <v>3455</v>
      </c>
      <c r="C79" s="3040">
        <v>133.13999999999999</v>
      </c>
    </row>
    <row r="80" spans="1:3">
      <c r="A80" s="2955">
        <v>78</v>
      </c>
      <c r="B80" s="2955" t="s">
        <v>3456</v>
      </c>
      <c r="C80" s="3040">
        <v>106.18</v>
      </c>
    </row>
    <row r="81" spans="1:3">
      <c r="A81" s="2955">
        <v>79</v>
      </c>
      <c r="B81" s="2955" t="s">
        <v>3457</v>
      </c>
      <c r="C81" s="3040">
        <v>106.28</v>
      </c>
    </row>
    <row r="82" spans="1:3">
      <c r="A82" s="2955">
        <v>80</v>
      </c>
      <c r="B82" s="2955" t="s">
        <v>3458</v>
      </c>
      <c r="C82" s="3040">
        <v>122.83</v>
      </c>
    </row>
    <row r="83" spans="1:3">
      <c r="A83" s="2955">
        <v>81</v>
      </c>
      <c r="B83" s="2955" t="s">
        <v>3459</v>
      </c>
      <c r="C83" s="3040">
        <v>133.13999999999999</v>
      </c>
    </row>
    <row r="84" spans="1:3">
      <c r="A84" s="2955">
        <v>82</v>
      </c>
      <c r="B84" s="2955" t="s">
        <v>3460</v>
      </c>
      <c r="C84" s="3040">
        <v>106.18</v>
      </c>
    </row>
    <row r="85" spans="1:3">
      <c r="A85" s="2955">
        <v>83</v>
      </c>
      <c r="B85" s="2955" t="s">
        <v>3461</v>
      </c>
      <c r="C85" s="3040">
        <v>106.28</v>
      </c>
    </row>
    <row r="86" spans="1:3">
      <c r="A86" s="2955">
        <v>84</v>
      </c>
      <c r="B86" s="2955" t="s">
        <v>3462</v>
      </c>
      <c r="C86" s="3040">
        <v>122.83</v>
      </c>
    </row>
    <row r="87" spans="1:3">
      <c r="A87" s="2955">
        <v>85</v>
      </c>
      <c r="B87" s="2955" t="s">
        <v>3635</v>
      </c>
      <c r="C87" s="3040">
        <v>133.13999999999999</v>
      </c>
    </row>
    <row r="88" spans="1:3">
      <c r="A88" s="2955">
        <v>86</v>
      </c>
      <c r="B88" s="2955" t="s">
        <v>3463</v>
      </c>
      <c r="C88" s="3040">
        <v>106.18</v>
      </c>
    </row>
    <row r="89" spans="1:3">
      <c r="A89" s="2955">
        <v>87</v>
      </c>
      <c r="B89" s="2955" t="s">
        <v>3464</v>
      </c>
      <c r="C89" s="3040">
        <v>106.28</v>
      </c>
    </row>
    <row r="90" spans="1:3">
      <c r="A90" s="2955">
        <v>88</v>
      </c>
      <c r="B90" s="2955" t="s">
        <v>3465</v>
      </c>
      <c r="C90" s="3040">
        <v>122.83</v>
      </c>
    </row>
    <row r="91" spans="1:3">
      <c r="A91" s="2955">
        <v>89</v>
      </c>
      <c r="B91" s="2955" t="s">
        <v>3466</v>
      </c>
      <c r="C91" s="3040">
        <v>133.13999999999999</v>
      </c>
    </row>
    <row r="92" spans="1:3">
      <c r="A92" s="2955">
        <v>90</v>
      </c>
      <c r="B92" s="2955" t="s">
        <v>3467</v>
      </c>
      <c r="C92" s="3040">
        <v>106.18</v>
      </c>
    </row>
    <row r="93" spans="1:3">
      <c r="A93" s="2955">
        <v>91</v>
      </c>
      <c r="B93" s="2955" t="s">
        <v>3468</v>
      </c>
      <c r="C93" s="3040">
        <v>106.28</v>
      </c>
    </row>
    <row r="94" spans="1:3">
      <c r="A94" s="2955">
        <v>92</v>
      </c>
      <c r="B94" s="2955" t="s">
        <v>3469</v>
      </c>
      <c r="C94" s="3040">
        <v>122.83</v>
      </c>
    </row>
    <row r="95" spans="1:3">
      <c r="A95" s="2955">
        <v>93</v>
      </c>
      <c r="B95" s="2955" t="s">
        <v>3470</v>
      </c>
      <c r="C95" s="3040">
        <v>133.13999999999999</v>
      </c>
    </row>
    <row r="96" spans="1:3">
      <c r="A96" s="2955">
        <v>94</v>
      </c>
      <c r="B96" s="2955" t="s">
        <v>3471</v>
      </c>
      <c r="C96" s="3040">
        <v>106.18</v>
      </c>
    </row>
    <row r="97" spans="1:3">
      <c r="A97" s="2955">
        <v>95</v>
      </c>
      <c r="B97" s="2955" t="s">
        <v>3472</v>
      </c>
      <c r="C97" s="3040">
        <v>106.28</v>
      </c>
    </row>
    <row r="98" spans="1:3">
      <c r="A98" s="2955">
        <v>96</v>
      </c>
      <c r="B98" s="2955" t="s">
        <v>3473</v>
      </c>
      <c r="C98" s="3040">
        <v>122.83</v>
      </c>
    </row>
    <row r="99" spans="1:3">
      <c r="A99" s="2955">
        <v>97</v>
      </c>
      <c r="B99" s="2955" t="s">
        <v>3474</v>
      </c>
      <c r="C99" s="3040">
        <v>133.13999999999999</v>
      </c>
    </row>
    <row r="100" spans="1:3">
      <c r="A100" s="2955">
        <v>98</v>
      </c>
      <c r="B100" s="2955" t="s">
        <v>3475</v>
      </c>
      <c r="C100" s="3040">
        <v>106.18</v>
      </c>
    </row>
    <row r="101" spans="1:3">
      <c r="A101" s="2955">
        <v>99</v>
      </c>
      <c r="B101" s="2955" t="s">
        <v>3476</v>
      </c>
      <c r="C101" s="3040">
        <v>106.28</v>
      </c>
    </row>
    <row r="102" spans="1:3">
      <c r="A102" s="2955">
        <v>100</v>
      </c>
      <c r="B102" s="2955" t="s">
        <v>3477</v>
      </c>
      <c r="C102" s="3040">
        <v>122.83</v>
      </c>
    </row>
    <row r="103" spans="1:3">
      <c r="A103" s="2955">
        <v>101</v>
      </c>
      <c r="B103" s="2955" t="s">
        <v>3636</v>
      </c>
      <c r="C103" s="3040">
        <v>133.13999999999999</v>
      </c>
    </row>
    <row r="104" spans="1:3">
      <c r="A104" s="2955">
        <v>102</v>
      </c>
      <c r="B104" s="2955" t="s">
        <v>3478</v>
      </c>
      <c r="C104" s="3040">
        <v>106.18</v>
      </c>
    </row>
    <row r="105" spans="1:3">
      <c r="A105" s="2955">
        <v>103</v>
      </c>
      <c r="B105" s="2955" t="s">
        <v>3479</v>
      </c>
      <c r="C105" s="3040">
        <v>106.28</v>
      </c>
    </row>
    <row r="106" spans="1:3">
      <c r="A106" s="2955">
        <v>104</v>
      </c>
      <c r="B106" s="2955" t="s">
        <v>3480</v>
      </c>
      <c r="C106" s="3040">
        <v>122.83</v>
      </c>
    </row>
    <row r="107" spans="1:3">
      <c r="A107" s="2955">
        <v>105</v>
      </c>
      <c r="B107" s="2955" t="s">
        <v>3637</v>
      </c>
      <c r="C107" s="3040">
        <v>133.13999999999999</v>
      </c>
    </row>
    <row r="108" spans="1:3">
      <c r="A108" s="2955">
        <v>106</v>
      </c>
      <c r="B108" s="2955" t="s">
        <v>3481</v>
      </c>
      <c r="C108" s="3040">
        <v>106.18</v>
      </c>
    </row>
    <row r="109" spans="1:3">
      <c r="A109" s="2955">
        <v>107</v>
      </c>
      <c r="B109" s="2955" t="s">
        <v>3482</v>
      </c>
      <c r="C109" s="3040">
        <v>106.28</v>
      </c>
    </row>
    <row r="110" spans="1:3">
      <c r="A110" s="2955">
        <v>108</v>
      </c>
      <c r="B110" s="2955" t="s">
        <v>3483</v>
      </c>
      <c r="C110" s="3040">
        <v>122.83</v>
      </c>
    </row>
    <row r="111" spans="1:3">
      <c r="A111" s="2955">
        <v>109</v>
      </c>
      <c r="B111" s="2955" t="s">
        <v>3638</v>
      </c>
      <c r="C111" s="3040">
        <v>133.13999999999999</v>
      </c>
    </row>
    <row r="112" spans="1:3">
      <c r="A112" s="2955">
        <v>110</v>
      </c>
      <c r="B112" s="2955" t="s">
        <v>3484</v>
      </c>
      <c r="C112" s="3040">
        <v>106.18</v>
      </c>
    </row>
    <row r="113" spans="1:3">
      <c r="A113" s="2955">
        <v>111</v>
      </c>
      <c r="B113" s="2955" t="s">
        <v>3485</v>
      </c>
      <c r="C113" s="3040">
        <v>106.28</v>
      </c>
    </row>
    <row r="114" spans="1:3">
      <c r="A114" s="2955">
        <v>112</v>
      </c>
      <c r="B114" s="2955" t="s">
        <v>3486</v>
      </c>
      <c r="C114" s="3040">
        <v>122.83</v>
      </c>
    </row>
    <row r="115" spans="1:3">
      <c r="A115" s="2955">
        <v>113</v>
      </c>
      <c r="B115" s="2955" t="s">
        <v>3487</v>
      </c>
      <c r="C115" s="3040">
        <v>133.13999999999999</v>
      </c>
    </row>
    <row r="116" spans="1:3">
      <c r="A116" s="2955">
        <v>114</v>
      </c>
      <c r="B116" s="2955" t="s">
        <v>3488</v>
      </c>
      <c r="C116" s="3040">
        <v>106.18</v>
      </c>
    </row>
    <row r="117" spans="1:3">
      <c r="A117" s="2955">
        <v>115</v>
      </c>
      <c r="B117" s="2955" t="s">
        <v>3489</v>
      </c>
      <c r="C117" s="3040">
        <v>106.28</v>
      </c>
    </row>
    <row r="118" spans="1:3">
      <c r="A118" s="2955">
        <v>116</v>
      </c>
      <c r="B118" s="2955" t="s">
        <v>3490</v>
      </c>
      <c r="C118" s="3040">
        <v>122.83</v>
      </c>
    </row>
    <row r="119" spans="1:3">
      <c r="A119" s="2955">
        <v>117</v>
      </c>
      <c r="B119" s="2955" t="s">
        <v>3491</v>
      </c>
      <c r="C119" s="3040">
        <v>133.13999999999999</v>
      </c>
    </row>
    <row r="120" spans="1:3">
      <c r="A120" s="2955">
        <v>118</v>
      </c>
      <c r="B120" s="2955" t="s">
        <v>3492</v>
      </c>
      <c r="C120" s="3040">
        <v>106.18</v>
      </c>
    </row>
    <row r="121" spans="1:3">
      <c r="A121" s="2955">
        <v>119</v>
      </c>
      <c r="B121" s="2955" t="s">
        <v>3493</v>
      </c>
      <c r="C121" s="3040">
        <v>106.28</v>
      </c>
    </row>
    <row r="122" spans="1:3">
      <c r="A122" s="2955">
        <v>120</v>
      </c>
      <c r="B122" s="2955" t="s">
        <v>3494</v>
      </c>
      <c r="C122" s="3040">
        <v>122.83</v>
      </c>
    </row>
    <row r="123" spans="1:3">
      <c r="A123" s="2955">
        <v>121</v>
      </c>
      <c r="B123" s="2955" t="s">
        <v>3495</v>
      </c>
      <c r="C123" s="3040">
        <v>133.13999999999999</v>
      </c>
    </row>
    <row r="124" spans="1:3">
      <c r="A124" s="2955">
        <v>122</v>
      </c>
      <c r="B124" s="2955" t="s">
        <v>3496</v>
      </c>
      <c r="C124" s="3040">
        <v>106.18</v>
      </c>
    </row>
    <row r="125" spans="1:3">
      <c r="A125" s="2955">
        <v>123</v>
      </c>
      <c r="B125" s="2955" t="s">
        <v>3497</v>
      </c>
      <c r="C125" s="3040">
        <v>106.28</v>
      </c>
    </row>
    <row r="126" spans="1:3">
      <c r="A126" s="2955">
        <v>124</v>
      </c>
      <c r="B126" s="2955" t="s">
        <v>3498</v>
      </c>
      <c r="C126" s="3040">
        <v>122.83</v>
      </c>
    </row>
    <row r="127" spans="1:3">
      <c r="A127" s="2955">
        <v>125</v>
      </c>
      <c r="B127" s="2955" t="s">
        <v>3499</v>
      </c>
      <c r="C127" s="3040">
        <v>133.13999999999999</v>
      </c>
    </row>
    <row r="128" spans="1:3">
      <c r="A128" s="2955">
        <v>126</v>
      </c>
      <c r="B128" s="2955" t="s">
        <v>3500</v>
      </c>
      <c r="C128" s="3040">
        <v>106.18</v>
      </c>
    </row>
    <row r="129" spans="1:3">
      <c r="A129" s="2955">
        <v>127</v>
      </c>
      <c r="B129" s="2955" t="s">
        <v>3501</v>
      </c>
      <c r="C129" s="3040">
        <v>106.28</v>
      </c>
    </row>
    <row r="130" spans="1:3">
      <c r="A130" s="2955">
        <v>128</v>
      </c>
      <c r="B130" s="2955" t="s">
        <v>3502</v>
      </c>
      <c r="C130" s="3040">
        <v>122.83</v>
      </c>
    </row>
    <row r="131" spans="1:3">
      <c r="A131" s="2955">
        <v>129</v>
      </c>
      <c r="B131" s="2955" t="s">
        <v>3503</v>
      </c>
      <c r="C131" s="3040">
        <v>133.13999999999999</v>
      </c>
    </row>
    <row r="132" spans="1:3">
      <c r="A132" s="2955">
        <v>130</v>
      </c>
      <c r="B132" s="2955" t="s">
        <v>3504</v>
      </c>
      <c r="C132" s="3040">
        <v>106.18</v>
      </c>
    </row>
    <row r="133" spans="1:3">
      <c r="A133" s="2955">
        <v>131</v>
      </c>
      <c r="B133" s="2955" t="s">
        <v>3505</v>
      </c>
      <c r="C133" s="3040">
        <v>106.28</v>
      </c>
    </row>
    <row r="134" spans="1:3">
      <c r="A134" s="2955">
        <v>132</v>
      </c>
      <c r="B134" s="2955" t="s">
        <v>3506</v>
      </c>
      <c r="C134" s="3040">
        <v>122.83</v>
      </c>
    </row>
    <row r="135" spans="1:3">
      <c r="A135" s="2955">
        <v>133</v>
      </c>
      <c r="B135" s="2955" t="s">
        <v>3507</v>
      </c>
      <c r="C135" s="3041">
        <v>171.24</v>
      </c>
    </row>
    <row r="136" spans="1:3">
      <c r="A136" s="2955">
        <v>134</v>
      </c>
      <c r="B136" s="2955" t="s">
        <v>3508</v>
      </c>
      <c r="C136" s="3041">
        <v>171.24</v>
      </c>
    </row>
    <row r="137" spans="1:3">
      <c r="A137" s="2955">
        <v>135</v>
      </c>
      <c r="B137" s="2955" t="s">
        <v>3509</v>
      </c>
      <c r="C137" s="3041">
        <v>192.9</v>
      </c>
    </row>
    <row r="138" spans="1:3">
      <c r="A138" s="2955">
        <v>136</v>
      </c>
      <c r="B138" s="2955" t="s">
        <v>3510</v>
      </c>
      <c r="C138" s="3041">
        <v>164.03</v>
      </c>
    </row>
    <row r="139" spans="1:3">
      <c r="A139" s="2955">
        <v>137</v>
      </c>
      <c r="B139" s="2955" t="s">
        <v>3511</v>
      </c>
      <c r="C139" s="3041">
        <v>163.95</v>
      </c>
    </row>
    <row r="140" spans="1:3">
      <c r="A140" s="2955">
        <v>138</v>
      </c>
      <c r="B140" s="2955" t="s">
        <v>3512</v>
      </c>
      <c r="C140" s="3041">
        <v>163.95</v>
      </c>
    </row>
    <row r="141" spans="1:3">
      <c r="A141" s="2955">
        <v>139</v>
      </c>
      <c r="B141" s="2955" t="s">
        <v>3513</v>
      </c>
      <c r="C141" s="3041">
        <v>170.75</v>
      </c>
    </row>
    <row r="142" spans="1:3">
      <c r="A142" s="2955">
        <v>140</v>
      </c>
      <c r="B142" s="2955" t="s">
        <v>3514</v>
      </c>
      <c r="C142" s="3042">
        <v>195.63</v>
      </c>
    </row>
    <row r="143" spans="1:3">
      <c r="A143" s="2955">
        <v>141</v>
      </c>
      <c r="B143" s="2955" t="s">
        <v>3515</v>
      </c>
      <c r="C143" s="3042">
        <v>196.65</v>
      </c>
    </row>
    <row r="144" spans="1:3">
      <c r="A144" s="2955">
        <v>142</v>
      </c>
      <c r="B144" s="2955" t="s">
        <v>3516</v>
      </c>
      <c r="C144" s="3042">
        <v>170.02</v>
      </c>
    </row>
    <row r="145" spans="1:3">
      <c r="A145" s="2955">
        <v>143</v>
      </c>
      <c r="B145" s="2955" t="s">
        <v>3517</v>
      </c>
      <c r="C145" s="3042">
        <v>163.16</v>
      </c>
    </row>
    <row r="146" spans="1:3">
      <c r="A146" s="2955">
        <v>144</v>
      </c>
      <c r="B146" s="2955" t="s">
        <v>3518</v>
      </c>
      <c r="C146" s="3042">
        <v>163.13999999999999</v>
      </c>
    </row>
    <row r="147" spans="1:3">
      <c r="A147" s="2955">
        <v>145</v>
      </c>
      <c r="B147" s="2955" t="s">
        <v>3519</v>
      </c>
      <c r="C147" s="3042">
        <v>163.24</v>
      </c>
    </row>
    <row r="148" spans="1:3">
      <c r="A148" s="2955">
        <v>146</v>
      </c>
      <c r="B148" s="2955" t="s">
        <v>3520</v>
      </c>
      <c r="C148" s="3042">
        <v>170.02</v>
      </c>
    </row>
    <row r="149" spans="1:3">
      <c r="A149" s="2955">
        <v>147</v>
      </c>
      <c r="B149" s="2955" t="s">
        <v>3521</v>
      </c>
      <c r="C149" s="3042">
        <v>170.22</v>
      </c>
    </row>
    <row r="150" spans="1:3">
      <c r="A150" s="2955">
        <v>148</v>
      </c>
      <c r="B150" s="2955" t="s">
        <v>3522</v>
      </c>
      <c r="C150" s="3042">
        <v>163.54</v>
      </c>
    </row>
    <row r="151" spans="1:3">
      <c r="A151" s="2955">
        <v>149</v>
      </c>
      <c r="B151" s="2955" t="s">
        <v>3523</v>
      </c>
      <c r="C151" s="3042">
        <v>163.54</v>
      </c>
    </row>
    <row r="152" spans="1:3">
      <c r="A152" s="2955">
        <v>150</v>
      </c>
      <c r="B152" s="2955" t="s">
        <v>3524</v>
      </c>
      <c r="C152" s="3042">
        <v>170.31</v>
      </c>
    </row>
    <row r="153" spans="1:3">
      <c r="A153" s="2955">
        <v>151</v>
      </c>
      <c r="B153" s="2955" t="s">
        <v>3525</v>
      </c>
      <c r="C153" s="3042">
        <v>170.02</v>
      </c>
    </row>
    <row r="154" spans="1:3">
      <c r="A154" s="2955">
        <v>152</v>
      </c>
      <c r="B154" s="2955" t="s">
        <v>3526</v>
      </c>
      <c r="C154" s="3042">
        <v>163.16</v>
      </c>
    </row>
    <row r="155" spans="1:3">
      <c r="A155" s="2955">
        <v>153</v>
      </c>
      <c r="B155" s="2955" t="s">
        <v>3527</v>
      </c>
      <c r="C155" s="3042">
        <v>163.13999999999999</v>
      </c>
    </row>
    <row r="156" spans="1:3">
      <c r="A156" s="2955">
        <v>154</v>
      </c>
      <c r="B156" s="2955" t="s">
        <v>3528</v>
      </c>
      <c r="C156" s="3042">
        <v>163.24</v>
      </c>
    </row>
    <row r="157" spans="1:3">
      <c r="A157" s="2955">
        <v>155</v>
      </c>
      <c r="B157" s="2955" t="s">
        <v>3529</v>
      </c>
      <c r="C157" s="3042">
        <v>170.02</v>
      </c>
    </row>
    <row r="158" spans="1:3">
      <c r="A158" s="2955">
        <v>156</v>
      </c>
      <c r="B158" s="2955" t="s">
        <v>3530</v>
      </c>
      <c r="C158" s="3042">
        <v>170.02</v>
      </c>
    </row>
    <row r="159" spans="1:3">
      <c r="A159" s="2955">
        <v>157</v>
      </c>
      <c r="B159" s="2955" t="s">
        <v>3531</v>
      </c>
      <c r="C159" s="3042">
        <v>163.16</v>
      </c>
    </row>
    <row r="160" spans="1:3">
      <c r="A160" s="2955">
        <v>158</v>
      </c>
      <c r="B160" s="2955" t="s">
        <v>3532</v>
      </c>
      <c r="C160" s="3042">
        <v>163.13999999999999</v>
      </c>
    </row>
    <row r="161" spans="1:3">
      <c r="A161" s="2955">
        <v>159</v>
      </c>
      <c r="B161" s="2955" t="s">
        <v>3533</v>
      </c>
      <c r="C161" s="3042">
        <v>163.24</v>
      </c>
    </row>
    <row r="162" spans="1:3">
      <c r="A162" s="2955">
        <v>160</v>
      </c>
      <c r="B162" s="2955" t="s">
        <v>3534</v>
      </c>
      <c r="C162" s="3042">
        <v>170.02</v>
      </c>
    </row>
    <row r="163" spans="1:3">
      <c r="A163" s="2955">
        <v>161</v>
      </c>
      <c r="B163" s="2955" t="s">
        <v>3535</v>
      </c>
      <c r="C163" s="3042">
        <v>194.09</v>
      </c>
    </row>
    <row r="164" spans="1:3">
      <c r="A164" s="2955">
        <v>162</v>
      </c>
      <c r="B164" s="2955" t="s">
        <v>3536</v>
      </c>
      <c r="C164" s="3042">
        <v>194.32</v>
      </c>
    </row>
    <row r="165" spans="1:3">
      <c r="A165" s="2955">
        <v>163</v>
      </c>
      <c r="B165" s="2955" t="s">
        <v>3537</v>
      </c>
      <c r="C165" s="3042">
        <v>151.43</v>
      </c>
    </row>
    <row r="166" spans="1:3">
      <c r="A166" s="2955">
        <v>164</v>
      </c>
      <c r="B166" s="2955" t="s">
        <v>3538</v>
      </c>
      <c r="C166" s="3040">
        <v>157.24</v>
      </c>
    </row>
    <row r="167" spans="1:3">
      <c r="A167" s="2955">
        <v>165</v>
      </c>
      <c r="B167" s="2955" t="s">
        <v>3539</v>
      </c>
      <c r="C167" s="3040">
        <v>157.24</v>
      </c>
    </row>
    <row r="168" spans="1:3">
      <c r="A168" s="2955">
        <v>166</v>
      </c>
      <c r="B168" s="2955" t="s">
        <v>3540</v>
      </c>
      <c r="C168" s="3040">
        <v>157.24</v>
      </c>
    </row>
    <row r="169" spans="1:3">
      <c r="A169" s="2955">
        <v>167</v>
      </c>
      <c r="B169" s="2955" t="s">
        <v>3541</v>
      </c>
      <c r="C169" s="3040">
        <v>157.24</v>
      </c>
    </row>
    <row r="170" spans="1:3">
      <c r="A170" s="2955">
        <v>168</v>
      </c>
      <c r="B170" s="2955" t="s">
        <v>3542</v>
      </c>
      <c r="C170" s="3040">
        <v>151.66999999999999</v>
      </c>
    </row>
    <row r="171" spans="1:3">
      <c r="A171" s="2955">
        <v>169</v>
      </c>
      <c r="B171" s="2955" t="s">
        <v>3543</v>
      </c>
      <c r="C171" s="3040">
        <v>151.57</v>
      </c>
    </row>
    <row r="172" spans="1:3">
      <c r="A172" s="2955">
        <v>170</v>
      </c>
      <c r="B172" s="2955" t="s">
        <v>3544</v>
      </c>
      <c r="C172" s="3040">
        <v>151.57</v>
      </c>
    </row>
    <row r="173" spans="1:3">
      <c r="A173" s="2955">
        <v>171</v>
      </c>
      <c r="B173" s="2955" t="s">
        <v>3545</v>
      </c>
      <c r="C173" s="3040">
        <v>151.66999999999999</v>
      </c>
    </row>
    <row r="174" spans="1:3">
      <c r="A174" s="2955">
        <v>172</v>
      </c>
      <c r="B174" s="2955" t="s">
        <v>3546</v>
      </c>
      <c r="C174" s="3040">
        <v>156.99</v>
      </c>
    </row>
    <row r="175" spans="1:3">
      <c r="A175" s="2955">
        <v>173</v>
      </c>
      <c r="B175" s="2955" t="s">
        <v>3547</v>
      </c>
      <c r="C175" s="3040">
        <v>156.99</v>
      </c>
    </row>
    <row r="176" spans="1:3">
      <c r="A176" s="2955">
        <v>174</v>
      </c>
      <c r="B176" s="2955" t="s">
        <v>3548</v>
      </c>
      <c r="C176" s="3040">
        <v>156.99</v>
      </c>
    </row>
    <row r="177" spans="1:3">
      <c r="A177" s="2955">
        <v>175</v>
      </c>
      <c r="B177" s="2955" t="s">
        <v>3549</v>
      </c>
      <c r="C177" s="3040">
        <v>156.99</v>
      </c>
    </row>
    <row r="178" spans="1:3">
      <c r="A178" s="2955">
        <v>176</v>
      </c>
      <c r="B178" s="2955" t="s">
        <v>3550</v>
      </c>
      <c r="C178" s="3040">
        <v>156.99</v>
      </c>
    </row>
    <row r="179" spans="1:3">
      <c r="A179" s="2955">
        <v>177</v>
      </c>
      <c r="B179" s="2955" t="s">
        <v>3551</v>
      </c>
      <c r="C179" s="3040">
        <v>156.99</v>
      </c>
    </row>
    <row r="180" spans="1:3">
      <c r="A180" s="2955">
        <v>178</v>
      </c>
      <c r="B180" s="2955" t="s">
        <v>3552</v>
      </c>
      <c r="C180" s="3040">
        <v>151.43</v>
      </c>
    </row>
    <row r="181" spans="1:3">
      <c r="A181" s="2955">
        <v>179</v>
      </c>
      <c r="B181" s="2955" t="s">
        <v>3553</v>
      </c>
      <c r="C181" s="3040">
        <v>151.33000000000001</v>
      </c>
    </row>
    <row r="182" spans="1:3">
      <c r="A182" s="2955">
        <v>180</v>
      </c>
      <c r="B182" s="2955" t="s">
        <v>3554</v>
      </c>
      <c r="C182" s="3040">
        <v>151.33000000000001</v>
      </c>
    </row>
    <row r="183" spans="1:3">
      <c r="A183" s="2955">
        <v>181</v>
      </c>
      <c r="B183" s="2955" t="s">
        <v>3555</v>
      </c>
      <c r="C183" s="3040">
        <v>151.33000000000001</v>
      </c>
    </row>
    <row r="184" spans="1:3">
      <c r="A184" s="2955">
        <v>182</v>
      </c>
      <c r="B184" s="2955" t="s">
        <v>3556</v>
      </c>
      <c r="C184" s="3040">
        <v>151.33000000000001</v>
      </c>
    </row>
    <row r="185" spans="1:3">
      <c r="A185" s="2955">
        <v>183</v>
      </c>
      <c r="B185" s="2955" t="s">
        <v>3557</v>
      </c>
      <c r="C185" s="3040">
        <v>151.43</v>
      </c>
    </row>
    <row r="186" spans="1:3">
      <c r="A186" s="3131" t="s">
        <v>3558</v>
      </c>
      <c r="B186" s="3131"/>
      <c r="C186" s="3043">
        <f>SUM(C3:C185)</f>
        <v>23822.16000000004</v>
      </c>
    </row>
    <row r="187" spans="1:3">
      <c r="A187" s="2955">
        <v>184</v>
      </c>
      <c r="B187" s="2955" t="s">
        <v>3559</v>
      </c>
      <c r="C187" s="3040">
        <v>157.44</v>
      </c>
    </row>
    <row r="188" spans="1:3">
      <c r="A188" s="2955">
        <v>185</v>
      </c>
      <c r="B188" s="2955" t="s">
        <v>3560</v>
      </c>
      <c r="C188" s="3040">
        <v>157.44</v>
      </c>
    </row>
    <row r="189" spans="1:3">
      <c r="A189" s="2955">
        <v>186</v>
      </c>
      <c r="B189" s="2955" t="s">
        <v>3561</v>
      </c>
      <c r="C189" s="3040">
        <v>157.44</v>
      </c>
    </row>
    <row r="190" spans="1:3">
      <c r="A190" s="2955">
        <v>187</v>
      </c>
      <c r="B190" s="2955" t="s">
        <v>3562</v>
      </c>
      <c r="C190" s="3040">
        <v>157.44</v>
      </c>
    </row>
    <row r="191" spans="1:3">
      <c r="A191" s="2955">
        <v>188</v>
      </c>
      <c r="B191" s="2955" t="s">
        <v>3563</v>
      </c>
      <c r="C191" s="3040">
        <v>151.97</v>
      </c>
    </row>
    <row r="192" spans="1:3">
      <c r="A192" s="2955">
        <v>189</v>
      </c>
      <c r="B192" s="2955" t="s">
        <v>3564</v>
      </c>
      <c r="C192" s="3040">
        <v>151.87</v>
      </c>
    </row>
    <row r="193" spans="1:3">
      <c r="A193" s="2955">
        <v>190</v>
      </c>
      <c r="B193" s="2955" t="s">
        <v>3565</v>
      </c>
      <c r="C193" s="3040">
        <v>151.87</v>
      </c>
    </row>
    <row r="194" spans="1:3">
      <c r="A194" s="2955">
        <v>191</v>
      </c>
      <c r="B194" s="2955" t="s">
        <v>3566</v>
      </c>
      <c r="C194" s="3040">
        <v>151.97</v>
      </c>
    </row>
    <row r="195" spans="1:3">
      <c r="A195" s="2955">
        <v>192</v>
      </c>
      <c r="B195" s="2955" t="s">
        <v>3567</v>
      </c>
      <c r="C195" s="3040">
        <v>157.44</v>
      </c>
    </row>
    <row r="196" spans="1:3">
      <c r="A196" s="2955">
        <v>193</v>
      </c>
      <c r="B196" s="2955" t="s">
        <v>3568</v>
      </c>
      <c r="C196" s="3040">
        <v>157.44</v>
      </c>
    </row>
    <row r="197" spans="1:3">
      <c r="A197" s="2955">
        <v>194</v>
      </c>
      <c r="B197" s="2955" t="s">
        <v>3569</v>
      </c>
      <c r="C197" s="3040">
        <v>157.44</v>
      </c>
    </row>
    <row r="198" spans="1:3">
      <c r="A198" s="2955">
        <v>195</v>
      </c>
      <c r="B198" s="2955" t="s">
        <v>3570</v>
      </c>
      <c r="C198" s="3040">
        <v>157.44</v>
      </c>
    </row>
    <row r="199" spans="1:3">
      <c r="A199" s="2955">
        <v>196</v>
      </c>
      <c r="B199" s="2955" t="s">
        <v>3571</v>
      </c>
      <c r="C199" s="3040">
        <v>151.97</v>
      </c>
    </row>
    <row r="200" spans="1:3">
      <c r="A200" s="2955">
        <v>197</v>
      </c>
      <c r="B200" s="2955" t="s">
        <v>3572</v>
      </c>
      <c r="C200" s="3040">
        <v>151.87</v>
      </c>
    </row>
    <row r="201" spans="1:3">
      <c r="A201" s="2955">
        <v>198</v>
      </c>
      <c r="B201" s="2955" t="s">
        <v>3573</v>
      </c>
      <c r="C201" s="3040">
        <v>151.87</v>
      </c>
    </row>
    <row r="202" spans="1:3">
      <c r="A202" s="2955">
        <v>199</v>
      </c>
      <c r="B202" s="2955" t="s">
        <v>3574</v>
      </c>
      <c r="C202" s="3040">
        <v>151.97</v>
      </c>
    </row>
    <row r="203" spans="1:3">
      <c r="A203" s="2955">
        <v>200</v>
      </c>
      <c r="B203" s="2955" t="s">
        <v>3575</v>
      </c>
      <c r="C203" s="3040">
        <v>118.7</v>
      </c>
    </row>
    <row r="204" spans="1:3">
      <c r="A204" s="2955">
        <v>201</v>
      </c>
      <c r="B204" s="2955" t="s">
        <v>3576</v>
      </c>
      <c r="C204" s="3040">
        <v>118.72</v>
      </c>
    </row>
    <row r="205" spans="1:3">
      <c r="A205" s="2955">
        <v>202</v>
      </c>
      <c r="B205" s="2955" t="s">
        <v>3577</v>
      </c>
      <c r="C205" s="3040">
        <v>157.65</v>
      </c>
    </row>
    <row r="206" spans="1:3">
      <c r="A206" s="2955">
        <v>203</v>
      </c>
      <c r="B206" s="2955" t="s">
        <v>3578</v>
      </c>
      <c r="C206" s="3040">
        <v>161.97</v>
      </c>
    </row>
    <row r="207" spans="1:3">
      <c r="A207" s="2955">
        <v>204</v>
      </c>
      <c r="B207" s="2955" t="s">
        <v>3579</v>
      </c>
      <c r="C207" s="3040">
        <v>161.97</v>
      </c>
    </row>
    <row r="208" spans="1:3">
      <c r="A208" s="2955">
        <v>205</v>
      </c>
      <c r="B208" s="2955" t="s">
        <v>3580</v>
      </c>
      <c r="C208" s="3040">
        <v>157.65</v>
      </c>
    </row>
    <row r="209" spans="1:3">
      <c r="A209" s="2955">
        <v>206</v>
      </c>
      <c r="B209" s="2955" t="s">
        <v>3581</v>
      </c>
      <c r="C209" s="3040">
        <v>122.61</v>
      </c>
    </row>
    <row r="210" spans="1:3">
      <c r="A210" s="2955">
        <v>207</v>
      </c>
      <c r="B210" s="2955" t="s">
        <v>3582</v>
      </c>
      <c r="C210" s="3040">
        <v>122.67</v>
      </c>
    </row>
    <row r="211" spans="1:3">
      <c r="A211" s="2955">
        <v>208</v>
      </c>
      <c r="B211" s="2955" t="s">
        <v>3583</v>
      </c>
      <c r="C211" s="3040">
        <v>122.61</v>
      </c>
    </row>
    <row r="212" spans="1:3">
      <c r="A212" s="2955">
        <v>209</v>
      </c>
      <c r="B212" s="2955" t="s">
        <v>3584</v>
      </c>
      <c r="C212" s="3040">
        <v>122.67</v>
      </c>
    </row>
    <row r="213" spans="1:3">
      <c r="A213" s="2955">
        <v>210</v>
      </c>
      <c r="B213" s="2955" t="s">
        <v>3585</v>
      </c>
      <c r="C213" s="3040">
        <v>138.78</v>
      </c>
    </row>
    <row r="214" spans="1:3">
      <c r="A214" s="2955">
        <v>211</v>
      </c>
      <c r="B214" s="2955" t="s">
        <v>3586</v>
      </c>
      <c r="C214" s="3040">
        <v>138.78</v>
      </c>
    </row>
    <row r="215" spans="1:3">
      <c r="A215" s="2955">
        <v>212</v>
      </c>
      <c r="B215" s="2955" t="s">
        <v>3587</v>
      </c>
      <c r="C215" s="3040">
        <v>122.61</v>
      </c>
    </row>
    <row r="216" spans="1:3">
      <c r="A216" s="2955">
        <v>213</v>
      </c>
      <c r="B216" s="2955" t="s">
        <v>3588</v>
      </c>
      <c r="C216" s="3040">
        <v>122.67</v>
      </c>
    </row>
    <row r="217" spans="1:3">
      <c r="A217" s="2955">
        <v>214</v>
      </c>
      <c r="B217" s="2955" t="s">
        <v>3589</v>
      </c>
      <c r="C217" s="3040">
        <v>141.65</v>
      </c>
    </row>
    <row r="218" spans="1:3">
      <c r="A218" s="2955">
        <v>215</v>
      </c>
      <c r="B218" s="2955" t="s">
        <v>3590</v>
      </c>
      <c r="C218" s="3040">
        <v>141.65</v>
      </c>
    </row>
    <row r="219" spans="1:3">
      <c r="A219" s="2955">
        <v>216</v>
      </c>
      <c r="B219" s="2955" t="s">
        <v>3591</v>
      </c>
      <c r="C219" s="3040">
        <v>122.61</v>
      </c>
    </row>
    <row r="220" spans="1:3">
      <c r="A220" s="2955">
        <v>217</v>
      </c>
      <c r="B220" s="2955" t="s">
        <v>3592</v>
      </c>
      <c r="C220" s="3040">
        <v>122.67</v>
      </c>
    </row>
    <row r="221" spans="1:3">
      <c r="A221" s="2955">
        <v>218</v>
      </c>
      <c r="B221" s="2955" t="s">
        <v>3593</v>
      </c>
      <c r="C221" s="3040">
        <v>141.65</v>
      </c>
    </row>
    <row r="222" spans="1:3">
      <c r="A222" s="2955">
        <v>219</v>
      </c>
      <c r="B222" s="2955" t="s">
        <v>3594</v>
      </c>
      <c r="C222" s="3040">
        <v>141.65</v>
      </c>
    </row>
    <row r="223" spans="1:3">
      <c r="A223" s="2955">
        <v>220</v>
      </c>
      <c r="B223" s="2955" t="s">
        <v>3595</v>
      </c>
      <c r="C223" s="3040">
        <v>122.61</v>
      </c>
    </row>
    <row r="224" spans="1:3">
      <c r="A224" s="2955">
        <v>221</v>
      </c>
      <c r="B224" s="2955" t="s">
        <v>3596</v>
      </c>
      <c r="C224" s="3040">
        <v>122.67</v>
      </c>
    </row>
    <row r="225" spans="1:3">
      <c r="A225" s="2955">
        <v>222</v>
      </c>
      <c r="B225" s="2955" t="s">
        <v>3597</v>
      </c>
      <c r="C225" s="3040">
        <v>141.65</v>
      </c>
    </row>
    <row r="226" spans="1:3">
      <c r="A226" s="2955">
        <v>223</v>
      </c>
      <c r="B226" s="2955" t="s">
        <v>3598</v>
      </c>
      <c r="C226" s="3040">
        <v>141.65</v>
      </c>
    </row>
    <row r="227" spans="1:3">
      <c r="A227" s="2955">
        <v>224</v>
      </c>
      <c r="B227" s="2999" t="s">
        <v>3599</v>
      </c>
      <c r="C227" s="3040">
        <v>122.61</v>
      </c>
    </row>
    <row r="228" spans="1:3">
      <c r="A228" s="2955">
        <v>225</v>
      </c>
      <c r="B228" s="2999" t="s">
        <v>3600</v>
      </c>
      <c r="C228" s="3040">
        <v>122.67</v>
      </c>
    </row>
    <row r="229" spans="1:3">
      <c r="A229" s="2955">
        <v>226</v>
      </c>
      <c r="B229" s="2999" t="s">
        <v>3601</v>
      </c>
      <c r="C229" s="3040">
        <v>141.65</v>
      </c>
    </row>
    <row r="230" spans="1:3">
      <c r="A230" s="2955">
        <v>227</v>
      </c>
      <c r="B230" s="2999" t="s">
        <v>3602</v>
      </c>
      <c r="C230" s="3040">
        <v>141.65</v>
      </c>
    </row>
    <row r="231" spans="1:3">
      <c r="A231" s="2955">
        <v>228</v>
      </c>
      <c r="B231" s="2999" t="s">
        <v>3603</v>
      </c>
      <c r="C231" s="3040">
        <v>122.61</v>
      </c>
    </row>
    <row r="232" spans="1:3">
      <c r="A232" s="2955">
        <v>229</v>
      </c>
      <c r="B232" s="2999" t="s">
        <v>3604</v>
      </c>
      <c r="C232" s="3040">
        <v>122.67</v>
      </c>
    </row>
    <row r="233" spans="1:3">
      <c r="A233" s="2955">
        <v>230</v>
      </c>
      <c r="B233" s="2999" t="s">
        <v>3605</v>
      </c>
      <c r="C233" s="3040">
        <v>141.65</v>
      </c>
    </row>
    <row r="234" spans="1:3">
      <c r="A234" s="2955">
        <v>231</v>
      </c>
      <c r="B234" s="2999" t="s">
        <v>3606</v>
      </c>
      <c r="C234" s="3040">
        <v>141.65</v>
      </c>
    </row>
    <row r="235" spans="1:3">
      <c r="A235" s="2955">
        <v>232</v>
      </c>
      <c r="B235" s="2999" t="s">
        <v>3607</v>
      </c>
      <c r="C235" s="3040">
        <v>122.61</v>
      </c>
    </row>
    <row r="236" spans="1:3">
      <c r="A236" s="2955">
        <v>233</v>
      </c>
      <c r="B236" s="2999" t="s">
        <v>3608</v>
      </c>
      <c r="C236" s="3040">
        <v>122.67</v>
      </c>
    </row>
    <row r="237" spans="1:3">
      <c r="A237" s="2955">
        <v>234</v>
      </c>
      <c r="B237" s="2999" t="s">
        <v>3609</v>
      </c>
      <c r="C237" s="3040">
        <v>141.65</v>
      </c>
    </row>
    <row r="238" spans="1:3">
      <c r="A238" s="2955">
        <v>235</v>
      </c>
      <c r="B238" s="2999" t="s">
        <v>3610</v>
      </c>
      <c r="C238" s="3040">
        <v>141.65</v>
      </c>
    </row>
    <row r="239" spans="1:3">
      <c r="A239" s="2955">
        <v>236</v>
      </c>
      <c r="B239" s="2999" t="s">
        <v>3611</v>
      </c>
      <c r="C239" s="3040">
        <v>149.09</v>
      </c>
    </row>
    <row r="240" spans="1:3">
      <c r="A240" s="2955">
        <v>237</v>
      </c>
      <c r="B240" s="2999" t="s">
        <v>3612</v>
      </c>
      <c r="C240" s="3040">
        <v>149.15</v>
      </c>
    </row>
    <row r="241" spans="1:3">
      <c r="A241" s="2955">
        <v>238</v>
      </c>
      <c r="B241" s="2999" t="s">
        <v>3613</v>
      </c>
      <c r="C241" s="3040">
        <v>173.57</v>
      </c>
    </row>
    <row r="242" spans="1:3">
      <c r="A242" s="2955">
        <v>239</v>
      </c>
      <c r="B242" s="2999" t="s">
        <v>3614</v>
      </c>
      <c r="C242" s="3040">
        <v>173.71</v>
      </c>
    </row>
    <row r="243" spans="1:3">
      <c r="A243" s="2955">
        <v>240</v>
      </c>
      <c r="B243" s="2999" t="s">
        <v>3615</v>
      </c>
      <c r="C243" s="3040">
        <v>155.74</v>
      </c>
    </row>
    <row r="244" spans="1:3">
      <c r="A244" s="2955">
        <v>241</v>
      </c>
      <c r="B244" s="2999" t="s">
        <v>3616</v>
      </c>
      <c r="C244" s="3040">
        <v>160</v>
      </c>
    </row>
    <row r="245" spans="1:3">
      <c r="A245" s="2955">
        <v>242</v>
      </c>
      <c r="B245" s="2999" t="s">
        <v>3617</v>
      </c>
      <c r="C245" s="3040">
        <v>160</v>
      </c>
    </row>
    <row r="246" spans="1:3">
      <c r="A246" s="2955">
        <v>243</v>
      </c>
      <c r="B246" s="2999" t="s">
        <v>3618</v>
      </c>
      <c r="C246" s="3040">
        <v>155.74</v>
      </c>
    </row>
    <row r="247" spans="1:3">
      <c r="A247" s="2955">
        <v>244</v>
      </c>
      <c r="B247" s="2999" t="s">
        <v>3619</v>
      </c>
      <c r="C247" s="3040">
        <v>160</v>
      </c>
    </row>
    <row r="248" spans="1:3">
      <c r="A248" s="2955">
        <v>245</v>
      </c>
      <c r="B248" s="2999" t="s">
        <v>3620</v>
      </c>
      <c r="C248" s="3040">
        <v>160</v>
      </c>
    </row>
    <row r="249" spans="1:3">
      <c r="A249" s="2955">
        <v>246</v>
      </c>
      <c r="B249" s="2999" t="s">
        <v>3621</v>
      </c>
      <c r="C249" s="3040">
        <v>155.74</v>
      </c>
    </row>
    <row r="250" spans="1:3">
      <c r="A250" s="2955">
        <v>247</v>
      </c>
      <c r="B250" s="2999" t="s">
        <v>3622</v>
      </c>
      <c r="C250" s="3040">
        <v>157.13</v>
      </c>
    </row>
    <row r="251" spans="1:3">
      <c r="A251" s="2955">
        <v>248</v>
      </c>
      <c r="B251" s="2999" t="s">
        <v>3623</v>
      </c>
      <c r="C251" s="3040">
        <v>161.43</v>
      </c>
    </row>
    <row r="252" spans="1:3">
      <c r="A252" s="2955">
        <v>249</v>
      </c>
      <c r="B252" s="2999" t="s">
        <v>3624</v>
      </c>
      <c r="C252" s="3040">
        <v>161.43</v>
      </c>
    </row>
    <row r="253" spans="1:3">
      <c r="A253" s="2955">
        <v>250</v>
      </c>
      <c r="B253" s="2999" t="s">
        <v>3625</v>
      </c>
      <c r="C253" s="3040">
        <v>157.13</v>
      </c>
    </row>
    <row r="254" spans="1:3">
      <c r="A254" s="2955">
        <v>251</v>
      </c>
      <c r="B254" s="2999" t="s">
        <v>3626</v>
      </c>
      <c r="C254" s="3040">
        <v>157.13</v>
      </c>
    </row>
    <row r="255" spans="1:3">
      <c r="A255" s="2955">
        <v>252</v>
      </c>
      <c r="B255" s="2999" t="s">
        <v>3627</v>
      </c>
      <c r="C255" s="3040">
        <v>161.43</v>
      </c>
    </row>
    <row r="256" spans="1:3">
      <c r="A256" s="2955">
        <v>253</v>
      </c>
      <c r="B256" s="2999" t="s">
        <v>3628</v>
      </c>
      <c r="C256" s="3040">
        <v>161.43</v>
      </c>
    </row>
    <row r="257" spans="1:3">
      <c r="A257" s="2955">
        <v>254</v>
      </c>
      <c r="B257" s="2999" t="s">
        <v>3629</v>
      </c>
      <c r="C257" s="3040">
        <v>157.13</v>
      </c>
    </row>
    <row r="258" spans="1:3">
      <c r="A258" s="3131" t="s">
        <v>3630</v>
      </c>
      <c r="B258" s="3131"/>
      <c r="C258" s="3043">
        <f>SUM(C187:C257)</f>
        <v>10318.119999999992</v>
      </c>
    </row>
    <row r="259" spans="1:3">
      <c r="A259" s="3131" t="s">
        <v>3631</v>
      </c>
      <c r="B259" s="3131"/>
      <c r="C259" s="3043">
        <f>C258+C186</f>
        <v>34140.280000000028</v>
      </c>
    </row>
  </sheetData>
  <mergeCells count="4">
    <mergeCell ref="A1:C1"/>
    <mergeCell ref="A186:B186"/>
    <mergeCell ref="A258:B258"/>
    <mergeCell ref="A259:B25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9" sqref="G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41" t="s">
        <v>1934</v>
      </c>
      <c r="B2" s="3141"/>
      <c r="C2" s="3141"/>
      <c r="D2" s="967" t="s">
        <v>1910</v>
      </c>
      <c r="E2" s="2226" t="s">
        <v>1911</v>
      </c>
      <c r="F2" s="1392"/>
      <c r="G2" s="2227"/>
      <c r="H2" s="2228"/>
      <c r="I2" s="2229" t="s">
        <v>1935</v>
      </c>
      <c r="J2" s="1392"/>
      <c r="K2" s="1392"/>
      <c r="L2" s="1392"/>
      <c r="M2" s="1392"/>
      <c r="N2" s="1427"/>
      <c r="O2" s="1392"/>
      <c r="P2" s="1392"/>
    </row>
    <row r="3" spans="1:16" ht="15.75" thickBot="1">
      <c r="A3" s="3142" t="s">
        <v>1908</v>
      </c>
      <c r="B3" s="3142"/>
      <c r="C3" s="3142"/>
      <c r="D3" s="46">
        <f>'数据-基础表'!AY6</f>
        <v>15532.95</v>
      </c>
      <c r="E3" s="46">
        <f>'数据-基础表'!AZ5</f>
        <v>23293.309999999998</v>
      </c>
      <c r="F3" s="1392"/>
      <c r="G3" s="1399"/>
      <c r="H3" s="1247" t="s">
        <v>1909</v>
      </c>
      <c r="I3" s="55">
        <f>ROUND('数据-基础表'!B3/'数据-基础表'!A3,2)</f>
        <v>1.5</v>
      </c>
      <c r="J3" s="1392"/>
      <c r="K3" s="1392"/>
      <c r="L3" s="1392"/>
      <c r="M3" s="1392"/>
      <c r="N3" s="1427"/>
      <c r="O3" s="1392"/>
      <c r="P3" s="1392"/>
    </row>
    <row r="4" spans="1:16" ht="15">
      <c r="A4" s="3143"/>
      <c r="B4" s="3144"/>
      <c r="C4" s="3145"/>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46" t="s">
        <v>1913</v>
      </c>
      <c r="C5" s="3146"/>
      <c r="D5" s="48">
        <f>ROUND($D$3*E5/$E$3,2)</f>
        <v>15532.95</v>
      </c>
      <c r="E5" s="49">
        <f>SUMIF('数据-基础表'!$11:$11,"住宅",'数据-基础表'!$5:$5)</f>
        <v>23293.309999999998</v>
      </c>
      <c r="F5" s="1392"/>
      <c r="G5" s="1399"/>
      <c r="H5" s="1247" t="s">
        <v>1909</v>
      </c>
      <c r="I5" s="55">
        <f>ROUND(E31/D31,2)</f>
        <v>1.5</v>
      </c>
      <c r="J5" s="1392"/>
      <c r="K5" s="1392"/>
      <c r="L5" s="1392"/>
      <c r="M5" s="1392"/>
      <c r="N5" s="1392"/>
      <c r="O5" s="1392"/>
      <c r="P5" s="1392"/>
    </row>
    <row r="6" spans="1:16" ht="15" thickBot="1">
      <c r="A6" s="2233"/>
      <c r="B6" s="3146" t="s">
        <v>1914</v>
      </c>
      <c r="C6" s="3146"/>
      <c r="D6" s="48">
        <f>ROUND($D$3*E6/$E$3,2)</f>
        <v>0</v>
      </c>
      <c r="E6" s="49">
        <f>E3-E5</f>
        <v>0</v>
      </c>
      <c r="F6" s="1392"/>
      <c r="G6" s="2234" t="s">
        <v>1915</v>
      </c>
      <c r="H6" s="1399" t="s">
        <v>1916</v>
      </c>
      <c r="I6" s="939">
        <f>ROUND(F31/D31,2)</f>
        <v>1.5</v>
      </c>
      <c r="J6" s="1392"/>
      <c r="K6" s="1392"/>
      <c r="L6" s="1392"/>
      <c r="M6" s="1392"/>
      <c r="N6" s="1392"/>
      <c r="O6" s="1392"/>
      <c r="P6" s="1392"/>
    </row>
    <row r="7" spans="1:16" ht="15">
      <c r="A7" s="3138"/>
      <c r="B7" s="3139"/>
      <c r="C7" s="3140"/>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15532.95</v>
      </c>
      <c r="E8" s="51">
        <f>SUMIF('数据-基础表'!BB10:BK10,"地上",'数据-基础表'!BB5:BK5)</f>
        <v>23293.309999999998</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15532.95</v>
      </c>
      <c r="E16" s="53">
        <f>SUM(E8:E15)</f>
        <v>23293.309999999998</v>
      </c>
      <c r="F16" s="1392"/>
      <c r="G16" s="2236"/>
      <c r="H16" s="2239" t="s">
        <v>1938</v>
      </c>
      <c r="I16" s="2240"/>
      <c r="J16" s="1392"/>
      <c r="K16" s="3135" t="s">
        <v>1938</v>
      </c>
      <c r="L16" s="3136"/>
      <c r="M16" s="3136"/>
      <c r="N16" s="3136"/>
      <c r="O16" s="3136"/>
      <c r="P16" s="3137"/>
    </row>
    <row r="17" spans="1:19" ht="15">
      <c r="A17" s="2241" t="s">
        <v>1939</v>
      </c>
      <c r="B17" s="2242" t="s">
        <v>1940</v>
      </c>
      <c r="C17" s="2243" t="s">
        <v>1941</v>
      </c>
      <c r="D17" s="2244" t="s">
        <v>1929</v>
      </c>
      <c r="E17" s="2245" t="s">
        <v>1930</v>
      </c>
      <c r="F17" s="2246"/>
      <c r="G17" s="2247"/>
      <c r="H17" s="2248" t="s">
        <v>1942</v>
      </c>
      <c r="I17" s="2249" t="s">
        <v>1927</v>
      </c>
      <c r="J17" s="1392"/>
      <c r="K17" s="3132" t="s">
        <v>1943</v>
      </c>
      <c r="L17" s="3133"/>
      <c r="M17" s="3134"/>
      <c r="N17" s="3132" t="s">
        <v>1944</v>
      </c>
      <c r="O17" s="3133"/>
      <c r="P17" s="3134"/>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9" t="str">
        <f>抵押物清单!M5</f>
        <v>高层</v>
      </c>
      <c r="D19" s="48">
        <f>ROUND($D$3*E19/$E$3,2)</f>
        <v>10302.75</v>
      </c>
      <c r="E19" s="56">
        <f t="shared" ref="E19:E26" si="1">SUM(F19:G19)</f>
        <v>15450.07</v>
      </c>
      <c r="F19" s="57">
        <f>'数据-基础表'!I13</f>
        <v>15450.07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10302.75</v>
      </c>
      <c r="S19" s="1248">
        <f t="shared" si="5"/>
        <v>15450.07</v>
      </c>
    </row>
    <row r="20" spans="1:19">
      <c r="A20" s="2262"/>
      <c r="B20" s="50" t="s">
        <v>1956</v>
      </c>
      <c r="C20" s="2259" t="str">
        <f>抵押物清单!M6</f>
        <v>双拼</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t="str">
        <f>抵押物清单!M7</f>
        <v>联排</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t="str">
        <f>抵押物清单!M8</f>
        <v>叠墅</v>
      </c>
      <c r="D22" s="48">
        <f t="shared" si="6"/>
        <v>0</v>
      </c>
      <c r="E22" s="56">
        <f t="shared" si="1"/>
        <v>0</v>
      </c>
      <c r="F22" s="61">
        <f>'数据-基础表'!O13</f>
        <v>0</v>
      </c>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t="str">
        <f>抵押物清单!M9</f>
        <v>洋房</v>
      </c>
      <c r="D23" s="48">
        <f>ROUND($D$3*E23/$E$3,2)</f>
        <v>5230.2</v>
      </c>
      <c r="E23" s="56">
        <f>SUM(F23:G23)</f>
        <v>7843.24</v>
      </c>
      <c r="F23" s="61">
        <f>'数据-基础表'!Q13</f>
        <v>7843.24</v>
      </c>
      <c r="G23" s="62"/>
      <c r="H23" s="723">
        <f>ROUND($D$3*I23/$E$3,2)</f>
        <v>0</v>
      </c>
      <c r="I23" s="51">
        <f t="shared" si="2"/>
        <v>0</v>
      </c>
      <c r="J23" s="1392"/>
      <c r="K23" s="1391">
        <f t="shared" si="3"/>
        <v>0</v>
      </c>
      <c r="L23" s="1247">
        <f t="shared" si="4"/>
        <v>0</v>
      </c>
      <c r="M23" s="1403">
        <f t="shared" si="8"/>
        <v>0</v>
      </c>
      <c r="N23" s="2260"/>
      <c r="O23" s="2261"/>
      <c r="P23" s="1403">
        <f t="shared" si="9"/>
        <v>0</v>
      </c>
      <c r="R23" s="1247">
        <f t="shared" si="5"/>
        <v>5230.2</v>
      </c>
      <c r="S23" s="1248">
        <f t="shared" si="5"/>
        <v>7843.24</v>
      </c>
    </row>
    <row r="24" spans="1:19">
      <c r="A24" s="2262"/>
      <c r="B24" s="50" t="s">
        <v>1956</v>
      </c>
      <c r="C24" s="297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15532.95</v>
      </c>
      <c r="E27" s="1394">
        <f>IF(SUM(E19:E26)='数据-基础表'!BA5,SUM(E19:E26),IF(F27="地上面积有误","面积有误","地下面积有误"))</f>
        <v>23293.309999999998</v>
      </c>
      <c r="F27" s="1393">
        <f>IF(SUM(F19:F26)=E8,SUM(F19:F26),"地上面积有误")</f>
        <v>23293.309999999998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15532.95</v>
      </c>
      <c r="S27" s="1247">
        <f>IF(SUM(S19:S26)=$E$3,SUM(S19:S26),SUM(S19:S26)&amp;"误差"&amp;ROUND(SUM(S19:S26)-E3,2))</f>
        <v>23293.309999999998</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15532.95</v>
      </c>
      <c r="E31" s="729">
        <f>E27+E30</f>
        <v>23293.309999999998</v>
      </c>
      <c r="F31" s="730">
        <f>F27+F30</f>
        <v>23293.309999999998</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3198</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15450.07</v>
      </c>
      <c r="L6" s="803">
        <v>2500</v>
      </c>
      <c r="M6" s="75">
        <f t="shared" ref="M6:M14" si="0">ROUND(K6*L6/10000,0)</f>
        <v>3863</v>
      </c>
      <c r="N6" s="801">
        <v>0.5</v>
      </c>
      <c r="O6" s="75">
        <f>IF($N$5="成新度","——",ROUND(M6*N6,0))</f>
        <v>1932</v>
      </c>
      <c r="P6" s="76">
        <f>IF($N$5="成新度","——",M6-O6)</f>
        <v>1931</v>
      </c>
      <c r="Q6" s="804">
        <v>0.15</v>
      </c>
      <c r="R6" s="77">
        <f ca="1">SUMIF('数据-汇总表'!C$19:C$33,A6,'数据-汇总表'!R$19:R$27)</f>
        <v>10302.75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38625175</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3198</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0</v>
      </c>
      <c r="L7" s="803">
        <v>2800</v>
      </c>
      <c r="M7" s="75">
        <f t="shared" si="0"/>
        <v>0</v>
      </c>
      <c r="N7" s="801">
        <f>N6</f>
        <v>0.5</v>
      </c>
      <c r="O7" s="75">
        <f t="shared" ref="O7:O14" si="3">IF($N$5="成新度","——",ROUND(M7*N7,0))</f>
        <v>0</v>
      </c>
      <c r="P7" s="76">
        <f t="shared" ref="P7:P14" si="4">IF($N$5="成新度","——",M7-O7)</f>
        <v>0</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3198</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0</v>
      </c>
      <c r="L8" s="803">
        <f>L7</f>
        <v>2800</v>
      </c>
      <c r="M8" s="75">
        <f>ROUND(K8*L8/10000,0)</f>
        <v>0</v>
      </c>
      <c r="N8" s="801">
        <f>N6</f>
        <v>0.5</v>
      </c>
      <c r="O8" s="75">
        <f t="shared" si="3"/>
        <v>0</v>
      </c>
      <c r="P8" s="76">
        <f t="shared" si="4"/>
        <v>0</v>
      </c>
      <c r="Q8" s="804">
        <v>0.2</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3198</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0</v>
      </c>
      <c r="L9" s="803">
        <f>L6</f>
        <v>2500</v>
      </c>
      <c r="M9" s="75">
        <f t="shared" si="0"/>
        <v>0</v>
      </c>
      <c r="N9" s="801">
        <f>N6</f>
        <v>0.5</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t="s">
        <v>3198</v>
      </c>
      <c r="D10" s="1051">
        <f>SUMIF(项目基本情况!D$12:I$12,C10,项目基本情况!D$14:I$14)</f>
        <v>70</v>
      </c>
      <c r="E10" s="1048">
        <f>IF(B10="","",SUMIF(项目基本情况!D$12:I$12,C10,项目基本情况!D$13:I$13))</f>
        <v>67317</v>
      </c>
      <c r="F10" s="72">
        <f>SUMIF(项目基本情况!D$12:I$12,C10,项目基本情况!D$15:I$15)</f>
        <v>64.98</v>
      </c>
      <c r="G10" s="73">
        <f t="shared" si="2"/>
        <v>0.98799999999999999</v>
      </c>
      <c r="H10" s="74">
        <f>H6</f>
        <v>4.4999999999999998E-2</v>
      </c>
      <c r="I10" s="74">
        <f>I6</f>
        <v>0.05</v>
      </c>
      <c r="J10" s="74">
        <v>8.5000000000000006E-2</v>
      </c>
      <c r="K10" s="1251">
        <f>SUMIF('数据-汇总表'!C$19:C$33,A10,'数据-汇总表'!E$19:E$33)</f>
        <v>7843.24</v>
      </c>
      <c r="L10" s="803">
        <f>L6</f>
        <v>2500</v>
      </c>
      <c r="M10" s="75">
        <f t="shared" si="0"/>
        <v>1961</v>
      </c>
      <c r="N10" s="801">
        <f>N6</f>
        <v>0.5</v>
      </c>
      <c r="O10" s="75">
        <f t="shared" si="3"/>
        <v>981</v>
      </c>
      <c r="P10" s="76">
        <f t="shared" si="4"/>
        <v>980</v>
      </c>
      <c r="Q10" s="90">
        <v>0.2</v>
      </c>
      <c r="R10" s="77">
        <f ca="1">SUMIF('数据-汇总表'!C$19:C$33,A10,'数据-汇总表'!R$19:R$27)</f>
        <v>5230.2</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19608100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23293.309999999998</v>
      </c>
      <c r="L16" s="102">
        <f>ROUND(M16*10000/SUM(K6:K14),0)</f>
        <v>2500</v>
      </c>
      <c r="M16" s="102">
        <f>SUM(M6:M14)</f>
        <v>5824</v>
      </c>
      <c r="N16" s="103">
        <f>ROUND(SUMPRODUCT(M6:M14,N6:N14)/M16,3)</f>
        <v>0.5</v>
      </c>
      <c r="O16" s="102">
        <f>SUM(O6:O14)</f>
        <v>2913</v>
      </c>
      <c r="P16" s="102">
        <f>SUM(P6:P14)</f>
        <v>2911</v>
      </c>
      <c r="Q16" s="104">
        <f>ROUND(SUMPRODUCT(Q6:Q13,K6:K13)/SUMPRODUCT((Q6:Q13&gt;0)*(K6:K13)),2)</f>
        <v>0.17</v>
      </c>
      <c r="R16" s="1255">
        <f ca="1">SUM(R6:R13)</f>
        <v>15532.95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f>B20*N16</f>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1.5</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47" t="s">
        <v>2080</v>
      </c>
      <c r="B1" s="3148"/>
      <c r="C1" s="3148"/>
      <c r="D1" s="3148"/>
      <c r="E1" s="3148"/>
      <c r="F1" s="3148"/>
      <c r="G1" s="31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3" t="s">
        <v>3328</v>
      </c>
      <c r="D3" s="2369"/>
      <c r="E3" s="431" t="s">
        <v>2083</v>
      </c>
      <c r="F3" s="2370" t="s">
        <v>2085</v>
      </c>
      <c r="G3" s="2371"/>
      <c r="H3" s="2367"/>
      <c r="I3" s="2367"/>
      <c r="J3" s="2367"/>
      <c r="K3" s="2367"/>
      <c r="L3" s="2367"/>
      <c r="M3" s="2367"/>
      <c r="N3" s="2367"/>
      <c r="O3" s="2367"/>
      <c r="P3" s="2367"/>
      <c r="Q3" s="2367"/>
      <c r="R3" s="2367"/>
    </row>
    <row r="4" spans="1:29" ht="15">
      <c r="A4" s="431"/>
      <c r="B4" s="1794" t="s">
        <v>2086</v>
      </c>
      <c r="C4" s="3024" t="s">
        <v>3330</v>
      </c>
      <c r="D4" s="2369"/>
      <c r="E4" s="2372"/>
      <c r="F4" s="42" t="s">
        <v>2087</v>
      </c>
      <c r="G4" s="2373"/>
      <c r="H4" s="2367"/>
      <c r="I4" s="2367"/>
      <c r="J4" s="2367"/>
      <c r="K4" s="2367"/>
      <c r="L4" s="2367"/>
      <c r="M4" s="2367"/>
      <c r="N4" s="2367"/>
      <c r="O4" s="2367"/>
      <c r="P4" s="2367"/>
      <c r="Q4" s="2367"/>
      <c r="R4" s="2367"/>
    </row>
    <row r="5" spans="1:29" ht="15">
      <c r="A5" s="431"/>
      <c r="B5" s="1794" t="s">
        <v>2088</v>
      </c>
      <c r="C5" s="3025"/>
      <c r="D5" s="2369"/>
      <c r="E5" s="2372"/>
      <c r="F5" s="1794" t="s">
        <v>2089</v>
      </c>
      <c r="G5" s="2373"/>
      <c r="H5" s="2367"/>
      <c r="I5" s="2367"/>
      <c r="J5" s="2367"/>
      <c r="K5" s="2367"/>
      <c r="L5" s="2367"/>
      <c r="M5" s="2367"/>
      <c r="N5" s="2367"/>
      <c r="O5" s="2367"/>
      <c r="P5" s="2367"/>
      <c r="Q5" s="2367"/>
      <c r="R5" s="2367"/>
    </row>
    <row r="6" spans="1:29" ht="15">
      <c r="A6" s="431"/>
      <c r="B6" s="1794" t="s">
        <v>2090</v>
      </c>
      <c r="C6" s="3026" t="s">
        <v>3331</v>
      </c>
      <c r="D6" s="2369"/>
      <c r="E6" s="2372"/>
      <c r="F6" s="1794" t="s">
        <v>2091</v>
      </c>
      <c r="G6" s="2373"/>
      <c r="H6" s="2367"/>
      <c r="I6" s="2367"/>
      <c r="J6" s="2367"/>
      <c r="K6" s="2367"/>
      <c r="L6" s="2367"/>
      <c r="M6" s="2367"/>
      <c r="N6" s="2367"/>
      <c r="O6" s="2367"/>
      <c r="P6" s="2367"/>
      <c r="Q6" s="2367"/>
      <c r="R6" s="2367"/>
    </row>
    <row r="7" spans="1:29" ht="15.75" thickBot="1">
      <c r="A7" s="431"/>
      <c r="B7" s="1794" t="s">
        <v>2089</v>
      </c>
      <c r="C7" s="3044" t="s">
        <v>3639</v>
      </c>
      <c r="D7" s="2374"/>
      <c r="E7" s="2375"/>
      <c r="F7" s="2376" t="s">
        <v>2092</v>
      </c>
      <c r="G7" s="2377"/>
      <c r="H7" s="2367"/>
      <c r="I7" s="2367"/>
      <c r="J7" s="2367"/>
      <c r="K7" s="2367"/>
      <c r="L7" s="2367"/>
      <c r="M7" s="2367"/>
      <c r="N7" s="2367"/>
      <c r="O7" s="2367"/>
      <c r="P7" s="2367"/>
      <c r="Q7" s="2367"/>
      <c r="R7" s="2367"/>
    </row>
    <row r="8" spans="1:29" ht="15">
      <c r="A8" s="431"/>
      <c r="B8" s="1794" t="s">
        <v>2091</v>
      </c>
      <c r="C8" s="3026" t="s">
        <v>3332</v>
      </c>
      <c r="D8" s="2374"/>
      <c r="E8" s="2374"/>
      <c r="F8" s="1133"/>
      <c r="G8" s="1133"/>
      <c r="H8" s="2367"/>
      <c r="I8" s="2367"/>
      <c r="J8" s="2367"/>
      <c r="K8" s="2367"/>
      <c r="L8" s="2367"/>
      <c r="M8" s="2367"/>
      <c r="N8" s="2367"/>
      <c r="O8" s="2367"/>
      <c r="P8" s="2367"/>
      <c r="Q8" s="2367"/>
      <c r="R8" s="2367"/>
    </row>
    <row r="9" spans="1:29" ht="15">
      <c r="A9" s="431"/>
      <c r="B9" s="1794" t="s">
        <v>2093</v>
      </c>
      <c r="C9" s="3024" t="s">
        <v>3640</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7" t="s">
        <v>3333</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5" t="s">
        <v>3334</v>
      </c>
      <c r="D19" s="2369"/>
      <c r="E19" s="2403"/>
      <c r="F19" s="1794" t="s">
        <v>2089</v>
      </c>
      <c r="G19" s="136">
        <f>G5</f>
        <v>0</v>
      </c>
    </row>
    <row r="20" spans="1:18" ht="15">
      <c r="A20" s="645"/>
      <c r="B20" s="2404" t="s">
        <v>2103</v>
      </c>
      <c r="C20" s="2402" t="str">
        <f>C9</f>
        <v>较好</v>
      </c>
      <c r="D20" s="2374"/>
      <c r="E20" s="2403"/>
      <c r="F20" s="1794" t="s">
        <v>2104</v>
      </c>
      <c r="G20" s="136">
        <f>G6</f>
        <v>0</v>
      </c>
    </row>
    <row r="21" spans="1:18" ht="15">
      <c r="A21" s="645"/>
      <c r="B21" s="1794" t="s">
        <v>2089</v>
      </c>
      <c r="C21" s="136" t="str">
        <f>C7</f>
        <v>较差</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3336</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1" t="str">
        <f>项目基本情况!B1</f>
        <v>宁波万年卡玛利亚184出让国有建设用地使用权及在建建筑物房地产抵押价值预评估</v>
      </c>
      <c r="C37" s="3051"/>
      <c r="D37" s="3051"/>
      <c r="E37" s="3051"/>
      <c r="F37" s="3051"/>
      <c r="G37" s="3051"/>
      <c r="H37" s="3051"/>
      <c r="I37" s="305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34140.28</v>
      </c>
      <c r="C1" s="1741"/>
      <c r="D1" s="1741"/>
      <c r="E1" s="1741"/>
      <c r="F1" s="1741"/>
      <c r="G1" s="1739"/>
    </row>
    <row r="2" spans="1:10" ht="16.5">
      <c r="A2" s="1742" t="s">
        <v>1349</v>
      </c>
      <c r="B2" s="1742">
        <f>SUM(C14:C23)</f>
        <v>22766.16</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27064</v>
      </c>
      <c r="C5" s="1742">
        <f ca="1">ROUND(B5*10000/$B$1,0)</f>
        <v>7927</v>
      </c>
      <c r="D5" s="1742">
        <f ca="1">ROUND(B5*10000/$B$2,0)</f>
        <v>11888</v>
      </c>
      <c r="E5" s="1741"/>
      <c r="F5" s="1739"/>
      <c r="G5" s="1739"/>
    </row>
    <row r="6" spans="1:10" ht="16.5">
      <c r="A6" s="1742" t="s">
        <v>1352</v>
      </c>
      <c r="B6" s="1742">
        <f ca="1">SUM(G14:G23)</f>
        <v>27064</v>
      </c>
      <c r="C6" s="1742">
        <f ca="1">ROUND(B6*10000/$B$1,0)</f>
        <v>7927</v>
      </c>
      <c r="D6" s="1742">
        <f ca="1">ROUND(B6*10000/$B$2,0)</f>
        <v>11888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23293.309999999998</v>
      </c>
      <c r="C14" s="1740">
        <f>结果表!C118</f>
        <v>15532.95</v>
      </c>
      <c r="D14" s="1740">
        <f ca="1">结果表!H118</f>
        <v>17468</v>
      </c>
      <c r="E14" s="1740">
        <f ca="1">ROUND(D14*10000/B14,0)</f>
        <v>7499</v>
      </c>
      <c r="F14" s="1740">
        <f ca="1">ROUND(D14*10000/C14,0)</f>
        <v>11246</v>
      </c>
      <c r="G14" s="1740">
        <f ca="1">结果表!D122</f>
        <v>17468</v>
      </c>
      <c r="H14" s="1740" t="str">
        <f>结果表!D124</f>
        <v>——</v>
      </c>
      <c r="I14" s="1740" t="str">
        <f>结果表!D126</f>
        <v>——</v>
      </c>
      <c r="J14" s="1739"/>
    </row>
    <row r="15" spans="1:10" ht="16.5">
      <c r="A15" s="1738" t="s">
        <v>1345</v>
      </c>
      <c r="B15" s="1745">
        <f>[1]系统读取表!$B$14</f>
        <v>10846.970000000001</v>
      </c>
      <c r="C15" s="1745">
        <f>[1]系统读取表!$C$14</f>
        <v>7233.21</v>
      </c>
      <c r="D15" s="1745">
        <f ca="1">[1]系统读取表!$D$14</f>
        <v>9596</v>
      </c>
      <c r="E15" s="1740">
        <f t="shared" ref="E15:E23" ca="1" si="0">ROUND(D15*10000/B15,0)</f>
        <v>8847</v>
      </c>
      <c r="F15" s="1740">
        <f t="shared" ref="F15:F23" ca="1" si="1">ROUND(D15*10000/C15,0)</f>
        <v>13267</v>
      </c>
      <c r="G15" s="1746">
        <f ca="1">D15</f>
        <v>9596</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3337</v>
      </c>
    </row>
    <row r="2" spans="1:12" ht="21.75" customHeight="1" thickBot="1">
      <c r="A2" s="3221" t="str">
        <f>项目基本情况!S2</f>
        <v>宁波万年卡玛利亚184出让国有建设用地使用权及在建建筑物房地产</v>
      </c>
      <c r="B2" s="3222"/>
      <c r="C2" s="3222"/>
      <c r="D2" s="3222"/>
      <c r="E2" s="3222"/>
      <c r="F2" s="3222"/>
      <c r="G2" s="3222"/>
      <c r="H2" s="3222"/>
      <c r="I2" s="3223"/>
    </row>
    <row r="3" spans="1:12" ht="12.75">
      <c r="A3" s="3224" t="s">
        <v>2111</v>
      </c>
      <c r="B3" s="3225"/>
      <c r="C3" s="3225"/>
      <c r="D3" s="3225"/>
      <c r="E3" s="3225"/>
      <c r="F3" s="3225"/>
      <c r="G3" s="3225"/>
      <c r="H3" s="3225"/>
      <c r="I3" s="3225"/>
    </row>
    <row r="4" spans="1:12" ht="14.25">
      <c r="A4" s="2422" t="s">
        <v>2112</v>
      </c>
      <c r="B4" s="2423" t="s">
        <v>2113</v>
      </c>
      <c r="C4" s="2424" t="s">
        <v>3196</v>
      </c>
      <c r="D4" s="2424" t="s">
        <v>3197</v>
      </c>
      <c r="E4" s="3205" t="s">
        <v>2114</v>
      </c>
      <c r="F4" s="3218"/>
      <c r="G4" s="3218"/>
      <c r="H4" s="3218"/>
      <c r="I4" s="32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96" t="s">
        <v>2115</v>
      </c>
      <c r="B5" s="3117">
        <v>25</v>
      </c>
      <c r="C5" s="3226"/>
      <c r="D5" s="3214"/>
      <c r="E5" s="140" t="s">
        <v>2116</v>
      </c>
      <c r="F5" s="2426"/>
      <c r="G5" s="2426"/>
      <c r="H5" s="2426"/>
      <c r="I5" s="1830"/>
    </row>
    <row r="6" spans="1:12" ht="12.75">
      <c r="A6" s="3196"/>
      <c r="B6" s="3117"/>
      <c r="C6" s="3228"/>
      <c r="D6" s="3214"/>
      <c r="E6" s="140" t="s">
        <v>2117</v>
      </c>
      <c r="F6" s="2426"/>
      <c r="G6" s="2426"/>
      <c r="H6" s="2426"/>
      <c r="I6" s="1830"/>
    </row>
    <row r="7" spans="1:12" ht="12.75">
      <c r="A7" s="3196"/>
      <c r="B7" s="3117"/>
      <c r="C7" s="3227"/>
      <c r="D7" s="3214"/>
      <c r="E7" s="140" t="s">
        <v>2118</v>
      </c>
      <c r="F7" s="2426"/>
      <c r="G7" s="2426"/>
      <c r="H7" s="2426"/>
      <c r="I7" s="1830"/>
    </row>
    <row r="8" spans="1:12" ht="12.75">
      <c r="A8" s="3196" t="s">
        <v>2119</v>
      </c>
      <c r="B8" s="3117">
        <v>15</v>
      </c>
      <c r="C8" s="3226"/>
      <c r="D8" s="3214"/>
      <c r="E8" s="140" t="s">
        <v>2120</v>
      </c>
      <c r="F8" s="2426"/>
      <c r="G8" s="2426"/>
      <c r="H8" s="2426"/>
      <c r="I8" s="1830"/>
    </row>
    <row r="9" spans="1:12" ht="12.75">
      <c r="A9" s="3196"/>
      <c r="B9" s="3117"/>
      <c r="C9" s="3227"/>
      <c r="D9" s="3214"/>
      <c r="E9" s="140" t="s">
        <v>2121</v>
      </c>
      <c r="F9" s="2426"/>
      <c r="G9" s="2426"/>
      <c r="H9" s="2426"/>
      <c r="I9" s="1830"/>
    </row>
    <row r="10" spans="1:12" ht="12.75">
      <c r="A10" s="3196" t="s">
        <v>2122</v>
      </c>
      <c r="B10" s="3117">
        <v>15</v>
      </c>
      <c r="C10" s="3226"/>
      <c r="D10" s="3214"/>
      <c r="E10" s="140" t="s">
        <v>2123</v>
      </c>
      <c r="F10" s="2426"/>
      <c r="G10" s="2426"/>
      <c r="H10" s="2426"/>
      <c r="I10" s="1830"/>
    </row>
    <row r="11" spans="1:12" ht="12.75">
      <c r="A11" s="3196"/>
      <c r="B11" s="3117"/>
      <c r="C11" s="3227"/>
      <c r="D11" s="3214"/>
      <c r="E11" s="140" t="s">
        <v>2124</v>
      </c>
      <c r="F11" s="2426"/>
      <c r="G11" s="2426"/>
      <c r="H11" s="2426"/>
      <c r="I11" s="1830"/>
    </row>
    <row r="12" spans="1:12" ht="12.75">
      <c r="A12" s="3196" t="s">
        <v>2125</v>
      </c>
      <c r="B12" s="3117">
        <v>15</v>
      </c>
      <c r="C12" s="3226"/>
      <c r="D12" s="3214"/>
      <c r="E12" s="140" t="s">
        <v>2126</v>
      </c>
      <c r="F12" s="2426"/>
      <c r="G12" s="2426"/>
      <c r="H12" s="2426"/>
      <c r="I12" s="1830"/>
    </row>
    <row r="13" spans="1:12" ht="12.75">
      <c r="A13" s="3196"/>
      <c r="B13" s="3117"/>
      <c r="C13" s="3227"/>
      <c r="D13" s="3214"/>
      <c r="E13" s="140" t="s">
        <v>2127</v>
      </c>
      <c r="F13" s="2426"/>
      <c r="G13" s="2426"/>
      <c r="H13" s="2426"/>
      <c r="I13" s="1830"/>
    </row>
    <row r="14" spans="1:12" ht="12.75">
      <c r="A14" s="3196" t="s">
        <v>2128</v>
      </c>
      <c r="B14" s="3117">
        <v>30</v>
      </c>
      <c r="C14" s="3226">
        <v>5</v>
      </c>
      <c r="D14" s="3214">
        <v>5</v>
      </c>
      <c r="E14" s="140" t="s">
        <v>2129</v>
      </c>
      <c r="F14" s="2426"/>
      <c r="G14" s="2426"/>
      <c r="H14" s="2426"/>
      <c r="I14" s="1830"/>
    </row>
    <row r="15" spans="1:12" ht="12.75">
      <c r="A15" s="3196"/>
      <c r="B15" s="3117"/>
      <c r="C15" s="3228"/>
      <c r="D15" s="3214"/>
      <c r="E15" s="140" t="s">
        <v>2130</v>
      </c>
      <c r="F15" s="2426"/>
      <c r="G15" s="2426"/>
      <c r="H15" s="2426"/>
      <c r="I15" s="1830"/>
    </row>
    <row r="16" spans="1:12" ht="12.75">
      <c r="A16" s="3196"/>
      <c r="B16" s="3117"/>
      <c r="C16" s="3227"/>
      <c r="D16" s="3214"/>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23293.309999999998</v>
      </c>
      <c r="M18" s="2425">
        <f>IF(C1="",'数据-汇总表'!E3,SUMIF(项目类型,C1,'数据-汇总表'!E17:E26))</f>
        <v>23293.309999999998</v>
      </c>
    </row>
    <row r="19" spans="1:35" ht="15">
      <c r="A19" s="2431" t="s">
        <v>2137</v>
      </c>
      <c r="B19" s="2432" t="s">
        <v>2138</v>
      </c>
      <c r="C19" s="143">
        <f ca="1">SUMIF(INDIRECT("'"&amp;C4&amp;"'"&amp;"!A:A"),结果表!B19,INDIRECT("'"&amp;C4&amp;"'"&amp;"!B:B"))</f>
        <v>17374</v>
      </c>
      <c r="D19" s="144">
        <f ca="1">SUMIF(INDIRECT("'"&amp;D4&amp;"'"&amp;"!A:A"),结果表!B19,INDIRECT("'"&amp;D4&amp;"'"&amp;"!B:B"))</f>
        <v>17561</v>
      </c>
      <c r="E19" s="2431" t="s">
        <v>2139</v>
      </c>
      <c r="F19" s="2432" t="s">
        <v>2138</v>
      </c>
      <c r="G19" s="145">
        <f ca="1">ROUND(C19*$C$18+D19*$D$18,0)</f>
        <v>17468</v>
      </c>
      <c r="H19" s="2433" t="s">
        <v>2140</v>
      </c>
      <c r="I19" s="138"/>
      <c r="K19" s="2425" t="s">
        <v>2141</v>
      </c>
      <c r="L19" s="2425">
        <f>IF(C1="",'数据-汇总表'!D3,SUMIF(项目类型,C1,'数据-汇总表'!D17:D26)+SUMIF(项目类型,C1,'数据-汇总表'!H17:H27))</f>
        <v>15532.95</v>
      </c>
      <c r="M19" s="2425">
        <f>IF(C1="",'数据-汇总表'!D3,SUMIF(项目类型,C1,'数据-汇总表'!D17:D26))</f>
        <v>15532.95</v>
      </c>
    </row>
    <row r="20" spans="1:35" ht="15">
      <c r="A20" s="2434"/>
      <c r="B20" s="1247" t="s">
        <v>2142</v>
      </c>
      <c r="C20" s="146">
        <f ca="1">SUMIF(INDIRECT("'"&amp;C4&amp;"'"&amp;"!A:A"),结果表!B20,INDIRECT("'"&amp;C4&amp;"'"&amp;"!B:B"))</f>
        <v>7459</v>
      </c>
      <c r="D20" s="147">
        <f ca="1">SUMIF(INDIRECT("'"&amp;D4&amp;"'"&amp;"!A:A"),结果表!B20,INDIRECT("'"&amp;D4&amp;"'"&amp;"!B:B"))</f>
        <v>7539</v>
      </c>
      <c r="E20" s="2434"/>
      <c r="F20" s="1247" t="s">
        <v>2142</v>
      </c>
      <c r="G20" s="148">
        <f ca="1">ROUND(C20*$C$18+D20*$D$18,0)</f>
        <v>7499</v>
      </c>
      <c r="H20" s="980" t="s">
        <v>2143</v>
      </c>
      <c r="I20" s="138"/>
    </row>
    <row r="21" spans="1:35" ht="15" customHeight="1" thickBot="1">
      <c r="A21" s="1000"/>
      <c r="B21" s="2435" t="s">
        <v>2144</v>
      </c>
      <c r="C21" s="789">
        <f ca="1">ROUND(C19*10000/L19,0)</f>
        <v>11185</v>
      </c>
      <c r="D21" s="790">
        <f ca="1">ROUND(D19*10000/L19,0)</f>
        <v>11306</v>
      </c>
      <c r="E21" s="1000"/>
      <c r="F21" s="2435" t="s">
        <v>2144</v>
      </c>
      <c r="G21" s="149">
        <f ca="1">ROUND(G19*10000/L19,0)</f>
        <v>11246</v>
      </c>
      <c r="H21" s="2436" t="s">
        <v>2143</v>
      </c>
      <c r="I21" s="138"/>
    </row>
    <row r="22" spans="1:35" ht="15" thickBot="1">
      <c r="A22" s="2280" t="s">
        <v>2145</v>
      </c>
      <c r="B22" s="2437"/>
      <c r="C22" s="2438"/>
      <c r="D22" s="791">
        <f ca="1">IF(C19&lt;D19,D19/C19-1,C19/D19-1)</f>
        <v>1.0763209393346296E-2</v>
      </c>
      <c r="E22" s="138"/>
      <c r="F22" s="138"/>
      <c r="G22" s="138"/>
      <c r="H22" s="138"/>
      <c r="I22" s="138"/>
    </row>
    <row r="23" spans="1:35" ht="13.5" thickBot="1">
      <c r="A23" s="2415"/>
      <c r="B23" s="2415"/>
      <c r="C23" s="2415"/>
      <c r="D23" s="2415"/>
      <c r="E23" s="138"/>
      <c r="F23" s="138"/>
      <c r="G23" s="138"/>
      <c r="H23" s="138"/>
      <c r="I23" s="138"/>
    </row>
    <row r="24" spans="1:35" ht="14.25">
      <c r="A24" s="3235" t="s">
        <v>2146</v>
      </c>
      <c r="B24" s="2432" t="s">
        <v>2138</v>
      </c>
      <c r="C24" s="145">
        <f>IF(B30=0,0,D30)</f>
        <v>0</v>
      </c>
      <c r="D24" s="2439"/>
      <c r="E24" s="138"/>
      <c r="F24" s="138"/>
      <c r="G24" s="138"/>
      <c r="H24" s="138"/>
      <c r="I24" s="138"/>
    </row>
    <row r="25" spans="1:35" ht="14.25">
      <c r="A25" s="3236"/>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3" t="s">
        <v>3023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17468</v>
      </c>
      <c r="D32" s="2446" t="s">
        <v>2153</v>
      </c>
      <c r="E32" s="138"/>
      <c r="F32" s="138"/>
      <c r="G32" s="138"/>
      <c r="H32" s="138"/>
      <c r="I32" s="138"/>
    </row>
    <row r="33" spans="1:15" ht="15">
      <c r="A33" s="957" t="s">
        <v>2154</v>
      </c>
      <c r="B33" s="2447"/>
      <c r="C33" s="2448" t="s">
        <v>3338</v>
      </c>
      <c r="D33" s="2449" t="s">
        <v>3196</v>
      </c>
      <c r="E33" s="2450" t="s">
        <v>2155</v>
      </c>
      <c r="F33" s="2451" t="str">
        <f>IF(D32="楼面单价","取值（单价）","取值（总价）")</f>
        <v>取值（总价）</v>
      </c>
      <c r="G33" s="138"/>
      <c r="H33" s="138"/>
      <c r="I33" s="138"/>
    </row>
    <row r="34" spans="1:15" ht="15">
      <c r="A34" s="2452"/>
      <c r="B34" s="2453" t="s">
        <v>2156</v>
      </c>
      <c r="C34" s="157">
        <f ca="1">IF(C33="自定义",F34,C32-C35)</f>
        <v>12961</v>
      </c>
      <c r="D34" s="1055">
        <f ca="1">IF(C33="自定义",ROUND(C34/C32,3),IF(C33="收益比率",SUMIF(INDIRECT("'"&amp;D33&amp;"'"&amp;"!b:b"),"土地收益比率",INDIRECT("'"&amp;D33&amp;"'"&amp;"!c:c")),SUMIF(INDIRECT("'"&amp;D33&amp;"'"&amp;"!b:b"),"土地成本比率",INDIRECT("'"&amp;D33&amp;"'"&amp;"!c:c"))))</f>
        <v>0.74199999999999999</v>
      </c>
      <c r="E34" s="2454" t="s">
        <v>2157</v>
      </c>
      <c r="F34" s="1735"/>
      <c r="G34" s="138"/>
      <c r="H34" s="138"/>
      <c r="I34" s="138"/>
    </row>
    <row r="35" spans="1:15" ht="15.75" thickBot="1">
      <c r="A35" s="2455"/>
      <c r="B35" s="2456" t="s">
        <v>2158</v>
      </c>
      <c r="C35" s="1441">
        <f ca="1">IF(C33="自定义",F35,ROUND(C32*D35,0))</f>
        <v>4507</v>
      </c>
      <c r="D35" s="1442">
        <f ca="1">IF(C33="自定义",ROUND(C35/C32,3),IF(C33="收益比率",SUMIF(INDIRECT("'"&amp;D33&amp;"'"&amp;"!b:b"),"建筑物收益比率",INDIRECT("'"&amp;D33&amp;"'"&amp;"!c:c")),SUMIF(INDIRECT("'"&amp;D33&amp;"'"&amp;"!b:b"),"建筑物成本比率",INDIRECT("'"&amp;D33&amp;"'"&amp;"!c:c"))))</f>
        <v>0.25800000000000001</v>
      </c>
      <c r="E35" s="2457" t="s">
        <v>2159</v>
      </c>
      <c r="F35" s="163"/>
      <c r="G35" s="138"/>
      <c r="H35" s="138"/>
      <c r="I35" s="138"/>
    </row>
    <row r="36" spans="1:15" ht="15.75" thickBot="1">
      <c r="A36" s="3215" t="s">
        <v>2160</v>
      </c>
      <c r="B36" s="2458" t="s">
        <v>2161</v>
      </c>
      <c r="C36" s="154"/>
      <c r="D36" s="2459"/>
      <c r="E36" s="2460"/>
      <c r="F36" s="2461"/>
      <c r="G36" s="138"/>
      <c r="H36" s="138"/>
      <c r="I36" s="138"/>
    </row>
    <row r="37" spans="1:15" ht="15.75" thickBot="1">
      <c r="A37" s="3216"/>
      <c r="B37" s="2266" t="s">
        <v>2162</v>
      </c>
      <c r="C37" s="156"/>
      <c r="D37" s="1392"/>
      <c r="E37" s="1392"/>
      <c r="F37" s="2461"/>
      <c r="G37" s="138"/>
      <c r="H37" s="138"/>
      <c r="I37" s="138"/>
    </row>
    <row r="38" spans="1:15" ht="15.75" thickBot="1">
      <c r="A38" s="3217"/>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232" t="s">
        <v>2174</v>
      </c>
      <c r="B45" s="3233"/>
      <c r="C45" s="3234"/>
      <c r="D45" s="164">
        <f ca="1">ROUND(H101*F45,0)</f>
        <v>17468</v>
      </c>
      <c r="E45" s="165" t="s">
        <v>2175</v>
      </c>
      <c r="F45" s="166">
        <v>1</v>
      </c>
      <c r="G45" s="167" t="s">
        <v>2176</v>
      </c>
      <c r="H45" s="138"/>
      <c r="I45" s="138"/>
      <c r="J45" s="3151" t="s">
        <v>2177</v>
      </c>
      <c r="K45" s="3151"/>
      <c r="L45" s="3151"/>
      <c r="M45" s="3151"/>
      <c r="N45" s="3151"/>
      <c r="O45" s="3151"/>
    </row>
    <row r="46" spans="1:15" ht="14.25" customHeight="1">
      <c r="A46" s="3229" t="s">
        <v>2178</v>
      </c>
      <c r="B46" s="3230"/>
      <c r="C46" s="3230"/>
      <c r="D46" s="3230"/>
      <c r="E46" s="3230"/>
      <c r="F46" s="3230"/>
      <c r="G46" s="3231"/>
      <c r="H46" s="2477"/>
      <c r="I46" s="168"/>
      <c r="J46" s="1808">
        <v>1</v>
      </c>
      <c r="K46" s="3151" t="s">
        <v>2179</v>
      </c>
      <c r="L46" s="3151"/>
      <c r="M46" s="3152"/>
      <c r="N46" s="3152"/>
      <c r="O46" s="3152"/>
    </row>
    <row r="47" spans="1:15" ht="12" customHeight="1">
      <c r="A47" s="169" t="s">
        <v>2180</v>
      </c>
      <c r="B47" s="170"/>
      <c r="C47" s="171"/>
      <c r="D47" s="172" t="s">
        <v>2181</v>
      </c>
      <c r="E47" s="24" t="s">
        <v>2182</v>
      </c>
      <c r="F47" s="173" t="s">
        <v>2183</v>
      </c>
      <c r="G47" s="174" t="s">
        <v>2184</v>
      </c>
      <c r="H47" s="2477"/>
      <c r="I47" s="168"/>
      <c r="J47" s="1808">
        <v>2</v>
      </c>
      <c r="K47" s="3151" t="s">
        <v>2185</v>
      </c>
      <c r="L47" s="3151"/>
      <c r="M47" s="3153">
        <f>'数据-取费表'!B2</f>
        <v>43598</v>
      </c>
      <c r="N47" s="3153"/>
      <c r="O47" s="3153"/>
    </row>
    <row r="48" spans="1:15" ht="25.5">
      <c r="A48" s="3219" t="s">
        <v>2186</v>
      </c>
      <c r="B48" s="3220"/>
      <c r="C48" s="3220"/>
      <c r="D48" s="140">
        <f ca="1">IF(H48="情况1",0,IF(H48="情况2",D52,IF(H48="情况3",D53,IF(H48="情况4",D54))))</f>
        <v>932</v>
      </c>
      <c r="E48" s="1797" t="str">
        <f>IF(H48="情况4","(销售额-原购置价)×税（费）率","销售额×税（费）率")</f>
        <v>销售额×税（费）率</v>
      </c>
      <c r="F48" s="175">
        <f>IF(H48="情况1","免征",'数据-取费表'!B41)</f>
        <v>5.6000000000000001E-2</v>
      </c>
      <c r="G48" s="2478" t="s">
        <v>2187</v>
      </c>
      <c r="H48" s="2479" t="s">
        <v>3377</v>
      </c>
      <c r="I48" s="2477"/>
      <c r="J48" s="1808">
        <v>3</v>
      </c>
      <c r="K48" s="3151" t="s">
        <v>2188</v>
      </c>
      <c r="L48" s="3151"/>
      <c r="M48" s="3154">
        <f ca="1">H101</f>
        <v>17468</v>
      </c>
      <c r="N48" s="3154"/>
      <c r="O48" s="3154"/>
    </row>
    <row r="49" spans="1:35" ht="25.5" customHeight="1">
      <c r="A49" s="176" t="s">
        <v>2189</v>
      </c>
      <c r="B49" s="3199" t="s">
        <v>2190</v>
      </c>
      <c r="C49" s="3199"/>
      <c r="D49" s="177">
        <v>0</v>
      </c>
      <c r="E49" s="23" t="s">
        <v>2191</v>
      </c>
      <c r="F49" s="28" t="s">
        <v>34</v>
      </c>
      <c r="G49" s="3180"/>
      <c r="H49" s="138"/>
      <c r="I49" s="2480"/>
      <c r="J49" s="1808">
        <v>4</v>
      </c>
      <c r="K49" s="3151" t="str">
        <f>IF(项目基本情况!E8="房地产抵押价值","房地产抵押价值","抵押担保权已注销时的房地产抵押价值")</f>
        <v>房地产抵押价值</v>
      </c>
      <c r="L49" s="3151"/>
      <c r="M49" s="3154">
        <f ca="1">IF(项目基本情况!E8="房地产抵押价值",H107,H109)</f>
        <v>17468</v>
      </c>
      <c r="N49" s="3154"/>
      <c r="O49" s="3154"/>
    </row>
    <row r="50" spans="1:35" ht="25.5" customHeight="1">
      <c r="A50" s="178"/>
      <c r="B50" s="3199" t="s">
        <v>2192</v>
      </c>
      <c r="C50" s="3199"/>
      <c r="D50" s="179"/>
      <c r="E50" s="31"/>
      <c r="F50" s="180"/>
      <c r="G50" s="3181"/>
      <c r="H50" s="138"/>
      <c r="I50" s="2480"/>
      <c r="J50" s="3151" t="s">
        <v>2193</v>
      </c>
      <c r="K50" s="3151"/>
      <c r="L50" s="3151"/>
      <c r="M50" s="3151"/>
      <c r="N50" s="3151"/>
      <c r="O50" s="3151"/>
    </row>
    <row r="51" spans="1:35" ht="12" customHeight="1">
      <c r="A51" s="181"/>
      <c r="B51" s="3199" t="s">
        <v>2194</v>
      </c>
      <c r="C51" s="3199"/>
      <c r="D51" s="182"/>
      <c r="E51" s="30"/>
      <c r="F51" s="180"/>
      <c r="G51" s="3182"/>
      <c r="H51" s="138"/>
      <c r="I51" s="2480"/>
      <c r="J51" s="2481" t="s">
        <v>2195</v>
      </c>
      <c r="K51" s="3151" t="s">
        <v>2196</v>
      </c>
      <c r="L51" s="3151"/>
      <c r="M51" s="2481" t="s">
        <v>2197</v>
      </c>
      <c r="N51" s="2481" t="s">
        <v>2198</v>
      </c>
      <c r="O51" s="2481" t="s">
        <v>2199</v>
      </c>
    </row>
    <row r="52" spans="1:35" ht="24" customHeight="1">
      <c r="A52" s="183" t="s">
        <v>2200</v>
      </c>
      <c r="B52" s="3199" t="s">
        <v>2201</v>
      </c>
      <c r="C52" s="3199"/>
      <c r="D52" s="182">
        <f ca="1">ROUND(D45*'数据-取费表'!B41/(1+'数据-取费表'!C42),0)</f>
        <v>932</v>
      </c>
      <c r="E52" s="11" t="s">
        <v>2202</v>
      </c>
      <c r="F52" s="184">
        <f>'数据-取费表'!B41</f>
        <v>5.6000000000000001E-2</v>
      </c>
      <c r="G52" s="2482"/>
      <c r="H52" s="138"/>
      <c r="I52" s="2480"/>
      <c r="J52" s="1808">
        <v>1</v>
      </c>
      <c r="K52" s="3174" t="s">
        <v>2203</v>
      </c>
      <c r="L52" s="3174"/>
      <c r="M52" s="1750">
        <f ca="1">D48</f>
        <v>932</v>
      </c>
      <c r="N52" s="1808" t="str">
        <f>E48</f>
        <v>销售额×税（费）率</v>
      </c>
      <c r="O52" s="1751">
        <f>F48</f>
        <v>5.6000000000000001E-2</v>
      </c>
    </row>
    <row r="53" spans="1:35" ht="12" customHeight="1">
      <c r="A53" s="183" t="s">
        <v>2204</v>
      </c>
      <c r="B53" s="3200" t="s">
        <v>2205</v>
      </c>
      <c r="C53" s="3201"/>
      <c r="D53" s="182">
        <f ca="1">ROUND(D45*'数据-取费表'!B41/(1+'数据-取费表'!C42),0)</f>
        <v>932</v>
      </c>
      <c r="E53" s="11" t="s">
        <v>2202</v>
      </c>
      <c r="F53" s="184">
        <f>'数据-取费表'!B41</f>
        <v>5.6000000000000001E-2</v>
      </c>
      <c r="G53" s="2482"/>
      <c r="H53" s="138"/>
      <c r="I53" s="2480"/>
      <c r="J53" s="1808">
        <v>2</v>
      </c>
      <c r="K53" s="3174" t="s">
        <v>2206</v>
      </c>
      <c r="L53" s="3174"/>
      <c r="M53" s="1750">
        <f t="shared" ref="M53:O54" ca="1" si="0">D55</f>
        <v>9</v>
      </c>
      <c r="N53" s="1808" t="str">
        <f t="shared" si="0"/>
        <v>销售额×税（费）率</v>
      </c>
      <c r="O53" s="1751">
        <f t="shared" si="0"/>
        <v>5.0000000000000001E-4</v>
      </c>
    </row>
    <row r="54" spans="1:35" ht="12" customHeight="1">
      <c r="A54" s="183" t="s">
        <v>2207</v>
      </c>
      <c r="B54" s="3200" t="s">
        <v>2208</v>
      </c>
      <c r="C54" s="3201"/>
      <c r="D54" s="182">
        <f ca="1">C68</f>
        <v>932</v>
      </c>
      <c r="E54" s="30" t="s">
        <v>2209</v>
      </c>
      <c r="F54" s="184">
        <f>'数据-取费表'!B41</f>
        <v>5.6000000000000001E-2</v>
      </c>
      <c r="G54" s="2482"/>
      <c r="H54" s="2483"/>
      <c r="I54" s="2480"/>
      <c r="J54" s="1808">
        <v>3</v>
      </c>
      <c r="K54" s="3174" t="s">
        <v>2210</v>
      </c>
      <c r="L54" s="3174"/>
      <c r="M54" s="1750">
        <f t="shared" ca="1" si="0"/>
        <v>9887</v>
      </c>
      <c r="N54" s="1808" t="str">
        <f t="shared" si="0"/>
        <v>增值额×税（费）率</v>
      </c>
      <c r="O54" s="1752" t="str">
        <f t="shared" si="0"/>
        <v>——</v>
      </c>
    </row>
    <row r="55" spans="1:35" ht="24" customHeight="1">
      <c r="A55" s="3238" t="s">
        <v>2211</v>
      </c>
      <c r="B55" s="3220"/>
      <c r="C55" s="3220"/>
      <c r="D55" s="185">
        <f ca="1">IF(H55="个人住宅",0,ROUND(D45*I55,0))</f>
        <v>9</v>
      </c>
      <c r="E55" s="11" t="s">
        <v>2212</v>
      </c>
      <c r="F55" s="184">
        <f>IF(H55="正常",I55,"免征")</f>
        <v>5.0000000000000001E-4</v>
      </c>
      <c r="G55" s="2482"/>
      <c r="H55" s="2479" t="s">
        <v>2213</v>
      </c>
      <c r="I55" s="186">
        <f>'数据-取费表'!B49</f>
        <v>5.0000000000000001E-4</v>
      </c>
      <c r="J55" s="1808" t="str">
        <f>IF(H59="非个人房产","",4)</f>
        <v/>
      </c>
      <c r="K55" s="3174" t="str">
        <f>IF(H59="非个人房产","——","个人所得税")</f>
        <v>——</v>
      </c>
      <c r="L55" s="3174"/>
      <c r="M55" s="1753" t="str">
        <f>D59</f>
        <v>——</v>
      </c>
      <c r="N55" s="1806" t="str">
        <f>E59</f>
        <v>——</v>
      </c>
      <c r="O55" s="1754" t="str">
        <f>F59</f>
        <v>——</v>
      </c>
    </row>
    <row r="56" spans="1:35" ht="24.75">
      <c r="A56" s="3238" t="s">
        <v>2214</v>
      </c>
      <c r="B56" s="3220"/>
      <c r="C56" s="3220"/>
      <c r="D56" s="185">
        <f ca="1">IF(H56="个人住宅",D57,D58)</f>
        <v>9887</v>
      </c>
      <c r="E56" s="11" t="s">
        <v>2215</v>
      </c>
      <c r="F56" s="184" t="str">
        <f>IF(H56="正常",F58,"免征")</f>
        <v>——</v>
      </c>
      <c r="G56" s="2484" t="s">
        <v>2216</v>
      </c>
      <c r="H56" s="2485" t="s">
        <v>2213</v>
      </c>
      <c r="I56" s="2486"/>
      <c r="J56" s="1808" t="str">
        <f>IF(项目基本情况!K6="上海银行",IF(J55="",4,J55+1),"")</f>
        <v/>
      </c>
      <c r="K56" s="3157" t="str">
        <f>IF(项目基本情况!K6="上海银行","其他处置费用","")</f>
        <v/>
      </c>
      <c r="L56" s="3158"/>
      <c r="M56" s="1750" t="str">
        <f>IF(项目基本情况!K6="上海银行",M69,"")</f>
        <v/>
      </c>
      <c r="N56" s="3160" t="str">
        <f>IF(项目基本情况!K6="上海银行","包含处置中涉及的律师、诉讼、拍卖、评估等费用","")</f>
        <v/>
      </c>
      <c r="O56" s="3161"/>
    </row>
    <row r="57" spans="1:35" ht="12.75">
      <c r="A57" s="183" t="s">
        <v>2189</v>
      </c>
      <c r="B57" s="3205" t="s">
        <v>2217</v>
      </c>
      <c r="C57" s="3206"/>
      <c r="D57" s="187">
        <v>0</v>
      </c>
      <c r="E57" s="23" t="s">
        <v>2191</v>
      </c>
      <c r="F57" s="155"/>
      <c r="G57" s="2482"/>
      <c r="H57" s="2486"/>
      <c r="I57" s="2486"/>
      <c r="J57" s="3174">
        <f>IF(AND(J55="",J56=""),4,IF(项目基本情况!K6="上海银行",结果表!J56+1,结果表!J55+1))</f>
        <v>4</v>
      </c>
      <c r="K57" s="3174" t="s">
        <v>2218</v>
      </c>
      <c r="L57" s="2487" t="s">
        <v>2219</v>
      </c>
      <c r="M57" s="1755"/>
      <c r="N57" s="1756">
        <f ca="1">SUMIF(M52:M56,"&lt;9e307")</f>
        <v>10828</v>
      </c>
      <c r="O57" s="2488"/>
      <c r="P57" s="1749">
        <f ca="1">N57/M49</f>
        <v>0.61987634531715141</v>
      </c>
    </row>
    <row r="58" spans="1:35" ht="24.75">
      <c r="A58" s="183" t="s">
        <v>2200</v>
      </c>
      <c r="B58" s="3205" t="s">
        <v>2220</v>
      </c>
      <c r="C58" s="3218"/>
      <c r="D58" s="185">
        <f ca="1">IF(H58="转让取得",C81,C97)</f>
        <v>9887</v>
      </c>
      <c r="E58" s="11" t="s">
        <v>2215</v>
      </c>
      <c r="F58" s="24" t="s">
        <v>34</v>
      </c>
      <c r="G58" s="2482"/>
      <c r="H58" s="2485" t="s">
        <v>2221</v>
      </c>
      <c r="I58" s="2486"/>
      <c r="J58" s="3174"/>
      <c r="K58" s="3174"/>
      <c r="L58" s="2487" t="s">
        <v>2222</v>
      </c>
      <c r="M58" s="1757"/>
      <c r="N58" s="2489" t="str">
        <f ca="1">NUMBERSTRING(INT(N57*10000),2)&amp;"元整"</f>
        <v>壹亿零捌佰贰拾捌万元整</v>
      </c>
      <c r="O58" s="2490"/>
    </row>
    <row r="59" spans="1:35" ht="24.75" thickBot="1">
      <c r="A59" s="3178" t="s">
        <v>2223</v>
      </c>
      <c r="B59" s="3179"/>
      <c r="C59" s="3179"/>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176">
        <f>J57+1</f>
        <v>5</v>
      </c>
      <c r="K59" s="3174" t="s">
        <v>2225</v>
      </c>
      <c r="L59" s="1808" t="s">
        <v>2219</v>
      </c>
      <c r="M59" s="1758"/>
      <c r="N59" s="1759">
        <f ca="1">M49-N57</f>
        <v>6640</v>
      </c>
      <c r="O59" s="2492"/>
    </row>
    <row r="60" spans="1:35" ht="12" customHeight="1">
      <c r="A60" s="2493"/>
      <c r="B60" s="2415"/>
      <c r="C60" s="2415"/>
      <c r="D60" s="2415"/>
      <c r="E60" s="2165"/>
      <c r="F60" s="2486"/>
      <c r="G60" s="2486"/>
      <c r="H60" s="2494"/>
      <c r="I60" s="138"/>
      <c r="J60" s="3177"/>
      <c r="K60" s="3174"/>
      <c r="L60" s="2487" t="s">
        <v>2222</v>
      </c>
      <c r="M60" s="1757"/>
      <c r="N60" s="2489" t="str">
        <f ca="1">NUMBERSTRING(INT(N59*10000),2)&amp;"元整"</f>
        <v>陆仟陆佰肆拾万元整</v>
      </c>
      <c r="O60" s="2490"/>
    </row>
    <row r="61" spans="1:35" ht="13.5" thickBot="1">
      <c r="A61" s="3237" t="s">
        <v>2226</v>
      </c>
      <c r="B61" s="3237"/>
      <c r="C61" s="3237"/>
      <c r="D61" s="3237"/>
      <c r="E61" s="3237"/>
      <c r="F61" s="2486"/>
      <c r="G61" s="2486"/>
      <c r="H61" s="2494"/>
      <c r="I61" s="138"/>
      <c r="J61" s="1808">
        <f>J59+1</f>
        <v>6</v>
      </c>
      <c r="K61" s="3174" t="s">
        <v>2227</v>
      </c>
      <c r="L61" s="3174"/>
      <c r="M61" s="1760"/>
      <c r="N61" s="1761">
        <f ca="1">ROUND(N59*10000/'数据-汇总表'!E3,0)</f>
        <v>2851</v>
      </c>
      <c r="O61" s="2495"/>
    </row>
    <row r="62" spans="1:35" ht="12.75">
      <c r="A62" s="3194" t="s">
        <v>2228</v>
      </c>
      <c r="B62" s="3195"/>
      <c r="C62" s="1800"/>
      <c r="D62" s="1800" t="s">
        <v>2229</v>
      </c>
      <c r="E62" s="192" t="s">
        <v>2230</v>
      </c>
      <c r="F62" s="2486"/>
      <c r="G62" s="2486"/>
      <c r="H62" s="2494"/>
      <c r="I62" s="138"/>
    </row>
    <row r="63" spans="1:35" ht="12.75">
      <c r="A63" s="203" t="s">
        <v>775</v>
      </c>
      <c r="B63" s="193" t="s">
        <v>2231</v>
      </c>
      <c r="C63" s="194">
        <f ca="1">ROUND((C64+C65)/(1+'数据-取费表'!C42),0)</f>
        <v>16636</v>
      </c>
      <c r="D63" s="195"/>
      <c r="E63" s="196"/>
      <c r="F63" s="2486"/>
      <c r="G63" s="2486"/>
      <c r="H63" s="2494"/>
      <c r="I63" s="138"/>
      <c r="J63" s="3159" t="s">
        <v>2232</v>
      </c>
      <c r="K63" s="2496" t="s">
        <v>2233</v>
      </c>
      <c r="L63" s="1748">
        <f ca="1">IF(M49&gt;10000,M49*0.5%,IF(AND(M49&gt;1000,M49&lt;=10000),M49*1%,IF(AND(M49&gt;100,M49&lt;=1000),M49*3%,IF(AND(M49&gt;10,M49&lt;=100),M49*5%,M49*8%))))</f>
        <v>87.34</v>
      </c>
      <c r="M63" s="24">
        <f ca="1">ROUND(L63,1)</f>
        <v>87.3</v>
      </c>
      <c r="Z63" s="2420"/>
      <c r="AI63" s="2421"/>
    </row>
    <row r="64" spans="1:35" ht="14.25" customHeight="1">
      <c r="A64" s="197" t="s">
        <v>770</v>
      </c>
      <c r="B64" s="198" t="s">
        <v>2234</v>
      </c>
      <c r="C64" s="199">
        <f ca="1">D45</f>
        <v>17468</v>
      </c>
      <c r="D64" s="200" t="s">
        <v>32</v>
      </c>
      <c r="E64" s="201"/>
      <c r="F64" s="2486"/>
      <c r="G64" s="2486"/>
      <c r="H64" s="2494"/>
      <c r="I64" s="138"/>
      <c r="J64" s="3159"/>
      <c r="K64" s="2496" t="s">
        <v>2235</v>
      </c>
      <c r="L64" s="1748">
        <f ca="1">IF(M49&gt;2000,M49*0.5%,IF(AND(M49&gt;1000,M49&lt;=2000),M49*0.6%,IF(AND(M49&gt;500,M49&lt;=1000),M49*0.7%,IF(AND(M49&gt;200,M49&lt;=500),M49*0.8%,IF(AND(M49&gt;100,M49&lt;=200),M49*0.9%,IF(AND(M49&gt;50,M49&lt;=100),M49*1%,IF(AND(M49&gt;20,M49&lt;=50),M49*1.5%,IF(AND(M49&gt;10,M49&lt;=20),M49*2%,IF(AND(M49&gt;1,M49&lt;=10),M49*2.5%)))))))))</f>
        <v>87.34</v>
      </c>
      <c r="M64" s="24">
        <f t="shared" ref="M64:M65" ca="1" si="1">ROUND(L64,1)</f>
        <v>87.3</v>
      </c>
      <c r="N64" s="138" t="s">
        <v>2236</v>
      </c>
      <c r="Z64" s="2420"/>
      <c r="AI64" s="2421"/>
    </row>
    <row r="65" spans="1:35" ht="14.25" customHeight="1">
      <c r="A65" s="197" t="s">
        <v>771</v>
      </c>
      <c r="B65" s="198" t="s">
        <v>2237</v>
      </c>
      <c r="C65" s="202"/>
      <c r="D65" s="200"/>
      <c r="E65" s="201"/>
      <c r="F65" s="2486"/>
      <c r="G65" s="2486"/>
      <c r="H65" s="2494"/>
      <c r="I65" s="138"/>
      <c r="J65" s="3159"/>
      <c r="K65" s="2496" t="s">
        <v>2238</v>
      </c>
      <c r="L65" s="1748">
        <f ca="1">IF(M49&gt;1000,M49*0.1%,IF(AND(M49&gt;500,M49&lt;=1000),M49*0.5%,IF(AND(M49&gt;50,M49&lt;=500),M49*1%,IF(AND(M49&gt;1,M49&lt;=50),M49*1.5%))))</f>
        <v>17.468</v>
      </c>
      <c r="M65" s="24">
        <f t="shared" ca="1" si="1"/>
        <v>17.5</v>
      </c>
      <c r="N65" s="138" t="s">
        <v>2236</v>
      </c>
      <c r="Z65" s="2420"/>
      <c r="AI65" s="2421"/>
    </row>
    <row r="66" spans="1:35" ht="14.25" customHeight="1">
      <c r="A66" s="203" t="s">
        <v>772</v>
      </c>
      <c r="B66" s="204" t="s">
        <v>2239</v>
      </c>
      <c r="C66" s="205"/>
      <c r="D66" s="206" t="s">
        <v>32</v>
      </c>
      <c r="E66" s="1772" t="s">
        <v>1367</v>
      </c>
      <c r="F66" s="2486"/>
      <c r="G66" s="2486"/>
      <c r="H66" s="2494"/>
      <c r="I66" s="138"/>
      <c r="J66" s="3159"/>
      <c r="K66" s="2496" t="s">
        <v>2240</v>
      </c>
      <c r="L66" s="1748">
        <f ca="1">M49*0.5%</f>
        <v>87.34</v>
      </c>
      <c r="M66" s="24">
        <f ca="1">IF(L66&gt;0.5,0.5,ROUND(L66,0))</f>
        <v>0.5</v>
      </c>
      <c r="N66" s="138" t="s">
        <v>2241</v>
      </c>
      <c r="Z66" s="2420"/>
      <c r="AI66" s="2421"/>
    </row>
    <row r="67" spans="1:35" ht="14.25" customHeight="1">
      <c r="A67" s="203" t="s">
        <v>773</v>
      </c>
      <c r="B67" s="204" t="s">
        <v>2242</v>
      </c>
      <c r="C67" s="207">
        <f ca="1">C63-C66</f>
        <v>16636</v>
      </c>
      <c r="D67" s="200" t="s">
        <v>32</v>
      </c>
      <c r="E67" s="201"/>
      <c r="F67" s="2486"/>
      <c r="G67" s="2486"/>
      <c r="H67" s="2494"/>
      <c r="I67" s="138"/>
      <c r="J67" s="3159"/>
      <c r="K67" s="2496" t="s">
        <v>2243</v>
      </c>
      <c r="L67" s="1748">
        <f ca="1">IF(M49&gt;=10000,(8.25+(M49-10000)*0.01%),IF(AND(M49&gt;=8000,M49&lt;10000),(7.85+(M49-8000)*0.02%),IF(AND(M49&gt;=5000,M49&lt;8000),(6.65+(M49-5000)*0.04%),IF(AND(M49&gt;=2000,M49&lt;5000),(4.25+(PM49-2000)*0.08%),IF(AND(M49&gt;=1000,M49&lt;2000),(2.75+(M49-1000)*0.15%),IF(AND(M49&gt;=100,M49&lt;1000),(0.5+(M49-100)*0.25%),IF(AND(M49&gt;0,M49&lt;100),M49*0.5%)))))))</f>
        <v>8.9968000000000004</v>
      </c>
      <c r="M67" s="24">
        <f ca="1">ROUND(L67*0.9,1)</f>
        <v>8.1</v>
      </c>
      <c r="Z67" s="2420"/>
      <c r="AI67" s="2421"/>
    </row>
    <row r="68" spans="1:35" ht="14.25" customHeight="1" thickBot="1">
      <c r="A68" s="208" t="s">
        <v>774</v>
      </c>
      <c r="B68" s="209" t="s">
        <v>2244</v>
      </c>
      <c r="C68" s="210">
        <f ca="1">IF(C67&lt;=0,0,ROUND(C67*D68,0))</f>
        <v>932</v>
      </c>
      <c r="D68" s="211">
        <f>'数据-取费表'!B41</f>
        <v>5.6000000000000001E-2</v>
      </c>
      <c r="E68" s="212"/>
      <c r="F68" s="2486"/>
      <c r="G68" s="2486"/>
      <c r="H68" s="2494"/>
      <c r="I68" s="138"/>
      <c r="J68" s="3159"/>
      <c r="K68" s="2496" t="s">
        <v>2245</v>
      </c>
      <c r="L68" s="1748">
        <f ca="1">IF(M49&gt;10000,M49*0.5%,IF(AND(M49&gt;5000,M49&lt;=10000),M49*1%,IF(AND(M49&gt;1000,M49&lt;=5000),M49*2%,IF(AND(M49&gt;200,M49&lt;=1000),M49*3%,M49*5%))))</f>
        <v>87.34</v>
      </c>
      <c r="M68" s="24">
        <f ca="1">ROUND(L68,1)</f>
        <v>87.3</v>
      </c>
      <c r="Z68" s="2420"/>
      <c r="AI68" s="2421"/>
    </row>
    <row r="69" spans="1:35" s="2443" customFormat="1" ht="16.5" customHeight="1">
      <c r="A69" s="2497"/>
      <c r="B69" s="2498"/>
      <c r="C69" s="2499"/>
      <c r="D69" s="2500"/>
      <c r="E69" s="2501"/>
      <c r="F69" s="2165"/>
      <c r="G69" s="2165"/>
      <c r="H69" s="2164"/>
      <c r="I69" s="2415"/>
      <c r="J69" s="3159"/>
      <c r="K69" s="2496" t="s">
        <v>2246</v>
      </c>
      <c r="L69" s="2502"/>
      <c r="M69" s="24">
        <f ca="1">ROUND(SUM(M63:M68),0)</f>
        <v>288</v>
      </c>
      <c r="N69" s="1749">
        <f ca="1">M69/M49</f>
        <v>1.6487291046485001E-2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03" t="s">
        <v>2247</v>
      </c>
      <c r="B70" s="3204"/>
      <c r="C70" s="3204"/>
      <c r="D70" s="3204"/>
      <c r="E70" s="3204"/>
      <c r="F70" s="3204"/>
      <c r="G70" s="3204"/>
      <c r="H70" s="32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94" t="s">
        <v>2228</v>
      </c>
      <c r="B71" s="3195"/>
      <c r="C71" s="1800"/>
      <c r="D71" s="1800"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16636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100</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200" t="s">
        <v>2256</v>
      </c>
      <c r="F76" s="3199"/>
      <c r="G76" s="3199"/>
      <c r="H76" s="32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100</v>
      </c>
      <c r="D78" s="226">
        <f>'数据-取费表'!B43</f>
        <v>6.000000000000001E-3</v>
      </c>
      <c r="E78" s="3191" t="s">
        <v>2261</v>
      </c>
      <c r="F78" s="3192"/>
      <c r="G78" s="3192"/>
      <c r="H78" s="319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16536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165.36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9887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3" t="s">
        <v>2265</v>
      </c>
      <c r="B83" s="3204"/>
      <c r="C83" s="3204"/>
      <c r="D83" s="3204"/>
      <c r="E83" s="3204"/>
      <c r="F83" s="3204"/>
      <c r="G83" s="3204"/>
      <c r="H83" s="32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94" t="s">
        <v>2228</v>
      </c>
      <c r="B84" s="3195"/>
      <c r="C84" s="1800"/>
      <c r="D84" s="1800"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16636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100</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6"/>
      <c r="G88" s="238" t="s">
        <v>2269</v>
      </c>
      <c r="H88" s="2514" t="s">
        <v>3378</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191" t="s">
        <v>2274</v>
      </c>
      <c r="F91" s="3192"/>
      <c r="G91" s="3192"/>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191" t="s">
        <v>2278</v>
      </c>
      <c r="F92" s="3192"/>
      <c r="G92" s="3192"/>
      <c r="H92" s="319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100</v>
      </c>
      <c r="D93" s="226">
        <f>'数据-取费表'!B43</f>
        <v>6.000000000000001E-3</v>
      </c>
      <c r="E93" s="3191" t="s">
        <v>2261</v>
      </c>
      <c r="F93" s="3192"/>
      <c r="G93" s="3192"/>
      <c r="H93" s="319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239" t="s">
        <v>2282</v>
      </c>
      <c r="F94" s="3240"/>
      <c r="G94" s="3240"/>
      <c r="H94" s="324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16536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165.36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9887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143" t="s">
        <v>2284</v>
      </c>
      <c r="B100" s="3144"/>
      <c r="C100" s="3144"/>
      <c r="D100" s="3175"/>
      <c r="E100" s="3144" t="s">
        <v>2285</v>
      </c>
      <c r="F100" s="3144"/>
      <c r="G100" s="3144"/>
      <c r="H100" s="3175"/>
      <c r="I100" s="138"/>
    </row>
    <row r="101" spans="1:35" ht="18.75" customHeight="1">
      <c r="A101" s="3183" t="s">
        <v>2286</v>
      </c>
      <c r="B101" s="3184"/>
      <c r="C101" s="736" t="str">
        <f>C4</f>
        <v>成本法</v>
      </c>
      <c r="D101" s="737" t="str">
        <f>D4</f>
        <v>假设开发法</v>
      </c>
      <c r="E101" s="3155" t="s">
        <v>2287</v>
      </c>
      <c r="F101" s="3156"/>
      <c r="G101" s="2517" t="s">
        <v>2288</v>
      </c>
      <c r="H101" s="1045">
        <f ca="1">H118</f>
        <v>17468</v>
      </c>
      <c r="I101" s="138"/>
    </row>
    <row r="102" spans="1:35" ht="18.75" customHeight="1">
      <c r="A102" s="3185" t="s">
        <v>2289</v>
      </c>
      <c r="B102" s="2517" t="s">
        <v>2288</v>
      </c>
      <c r="C102" s="736">
        <f ca="1">C19</f>
        <v>17374</v>
      </c>
      <c r="D102" s="737">
        <f ca="1">D19</f>
        <v>17561</v>
      </c>
      <c r="E102" s="3155"/>
      <c r="F102" s="3156"/>
      <c r="G102" s="2517" t="s">
        <v>2290</v>
      </c>
      <c r="H102" s="371">
        <f ca="1">I118</f>
        <v>7499</v>
      </c>
      <c r="I102" s="138"/>
    </row>
    <row r="103" spans="1:35" ht="42.75" customHeight="1">
      <c r="A103" s="3185"/>
      <c r="B103" s="2517" t="s">
        <v>2290</v>
      </c>
      <c r="C103" s="738">
        <f ca="1">C20</f>
        <v>7459</v>
      </c>
      <c r="D103" s="739">
        <f ca="1">D20</f>
        <v>7539</v>
      </c>
      <c r="E103" s="3149" t="s">
        <v>2291</v>
      </c>
      <c r="F103" s="3150"/>
      <c r="G103" s="2518" t="s">
        <v>2292</v>
      </c>
      <c r="H103" s="1045">
        <f>IF(D36="正常操作",H104+H105+H106,H105+H106)</f>
        <v>0</v>
      </c>
      <c r="I103" s="138"/>
    </row>
    <row r="104" spans="1:35" ht="18.75" customHeight="1">
      <c r="A104" s="3185" t="s">
        <v>2293</v>
      </c>
      <c r="B104" s="2519" t="s">
        <v>2288</v>
      </c>
      <c r="C104" s="740">
        <f ca="1">H118</f>
        <v>17468</v>
      </c>
      <c r="D104" s="741"/>
      <c r="E104" s="2266" t="s">
        <v>2294</v>
      </c>
      <c r="F104" s="2257"/>
      <c r="G104" s="2518" t="s">
        <v>2292</v>
      </c>
      <c r="H104" s="1046">
        <f>IF(D36="同一抵押权人同一抵押物续贷",C36&amp;"（未扣减，详见特别提示）",C36)</f>
        <v>0</v>
      </c>
      <c r="I104" s="138"/>
    </row>
    <row r="105" spans="1:35" ht="18.75" customHeight="1" thickBot="1">
      <c r="A105" s="3197"/>
      <c r="B105" s="2520" t="s">
        <v>2290</v>
      </c>
      <c r="C105" s="742">
        <f ca="1">I118</f>
        <v>7499</v>
      </c>
      <c r="D105" s="743"/>
      <c r="E105" s="2266" t="s">
        <v>2295</v>
      </c>
      <c r="F105" s="2257"/>
      <c r="G105" s="2518" t="s">
        <v>2292</v>
      </c>
      <c r="H105" s="1046">
        <f>C37</f>
        <v>0</v>
      </c>
      <c r="I105" s="138"/>
    </row>
    <row r="106" spans="1:35" ht="18.75" customHeight="1">
      <c r="A106" s="2415" t="s">
        <v>2296</v>
      </c>
      <c r="B106" s="2415"/>
      <c r="C106" s="2415"/>
      <c r="D106" s="2415"/>
      <c r="E106" s="2521" t="s">
        <v>2297</v>
      </c>
      <c r="F106" s="2257"/>
      <c r="G106" s="2518" t="s">
        <v>2292</v>
      </c>
      <c r="H106" s="1046">
        <f>C38</f>
        <v>0</v>
      </c>
      <c r="I106" s="138"/>
    </row>
    <row r="107" spans="1:35" ht="18.75" customHeight="1">
      <c r="A107" s="138"/>
      <c r="B107" s="138"/>
      <c r="C107" s="138"/>
      <c r="D107" s="138"/>
      <c r="E107" s="3186" t="str">
        <f>IF(项目基本情况!E8="已注销","——","3.房地产抵押价值")</f>
        <v>3.房地产抵押价值</v>
      </c>
      <c r="F107" s="3156"/>
      <c r="G107" s="2517" t="s">
        <v>2288</v>
      </c>
      <c r="H107" s="1045">
        <f ca="1">IF(E107="——","——",H101-H103)</f>
        <v>17468</v>
      </c>
      <c r="I107" s="138"/>
    </row>
    <row r="108" spans="1:35" ht="18.75" customHeight="1">
      <c r="A108" s="138"/>
      <c r="B108" s="138"/>
      <c r="C108" s="138"/>
      <c r="D108" s="138"/>
      <c r="E108" s="3186"/>
      <c r="F108" s="3156"/>
      <c r="G108" s="2517" t="s">
        <v>2290</v>
      </c>
      <c r="H108" s="371">
        <f ca="1">ROUND(H107*10000/'数据-汇总表'!E3,0)</f>
        <v>7499</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56"/>
      <c r="G109" s="2517" t="s">
        <v>2288</v>
      </c>
      <c r="H109" s="348" t="str">
        <f>IF(E109="——","——",H101-H105-H106)</f>
        <v>——</v>
      </c>
      <c r="I109" s="138"/>
    </row>
    <row r="110" spans="1:35" ht="18.75" customHeight="1">
      <c r="A110" s="138"/>
      <c r="B110" s="138"/>
      <c r="C110" s="138"/>
      <c r="D110" s="138"/>
      <c r="E110" s="3186"/>
      <c r="F110" s="3156"/>
      <c r="G110" s="2517" t="s">
        <v>2290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7" t="s">
        <v>2288</v>
      </c>
      <c r="H111" s="1045" t="str">
        <f>IF(E111="——","——",N59)</f>
        <v>——</v>
      </c>
      <c r="I111" s="138"/>
    </row>
    <row r="112" spans="1:35" ht="18.75" customHeight="1" thickBot="1">
      <c r="A112" s="138"/>
      <c r="B112" s="138"/>
      <c r="C112" s="138"/>
      <c r="D112" s="138"/>
      <c r="E112" s="3189"/>
      <c r="F112" s="3190"/>
      <c r="G112" s="2522" t="s">
        <v>2290</v>
      </c>
      <c r="H112" s="790" t="str">
        <f>IF(E111="——","——",N61)</f>
        <v>——</v>
      </c>
      <c r="I112" s="138"/>
    </row>
    <row r="113" spans="1:11" ht="18.75" customHeight="1">
      <c r="A113" s="138"/>
      <c r="B113" s="138"/>
      <c r="C113" s="138"/>
      <c r="D113" s="138"/>
      <c r="E113" s="3198" t="s">
        <v>2296</v>
      </c>
      <c r="F113" s="3198"/>
      <c r="G113" s="3198"/>
      <c r="H113" s="3198"/>
      <c r="I113" s="138"/>
    </row>
    <row r="114" spans="1:11" ht="3.75" customHeight="1">
      <c r="A114" s="2415"/>
      <c r="B114" s="2415"/>
      <c r="C114" s="2415"/>
      <c r="D114" s="2415"/>
      <c r="E114" s="2493"/>
      <c r="F114" s="2493"/>
      <c r="G114" s="2493"/>
      <c r="H114" s="2493"/>
      <c r="I114" s="2415"/>
    </row>
    <row r="115" spans="1:11" ht="18.75" customHeight="1">
      <c r="A115" s="3211" t="s">
        <v>2298</v>
      </c>
      <c r="B115" s="3212"/>
      <c r="C115" s="3212"/>
      <c r="D115" s="3212"/>
      <c r="E115" s="3212"/>
      <c r="F115" s="3212"/>
      <c r="G115" s="3212"/>
      <c r="H115" s="3212"/>
      <c r="I115" s="3213"/>
    </row>
    <row r="116" spans="1:11" ht="27" customHeight="1">
      <c r="A116" s="3117" t="s">
        <v>2299</v>
      </c>
      <c r="B116" s="3165" t="s">
        <v>2300</v>
      </c>
      <c r="C116" s="3165" t="s">
        <v>2301</v>
      </c>
      <c r="D116" s="3171" t="s">
        <v>2302</v>
      </c>
      <c r="E116" s="3172"/>
      <c r="F116" s="3207" t="s">
        <v>2303</v>
      </c>
      <c r="G116" s="3207"/>
      <c r="H116" s="3117" t="s">
        <v>2304</v>
      </c>
      <c r="I116" s="3117"/>
    </row>
    <row r="117" spans="1:11" ht="18.75" customHeight="1">
      <c r="A117" s="3117"/>
      <c r="B117" s="3166"/>
      <c r="C117" s="3166"/>
      <c r="D117" s="1794" t="s">
        <v>2305</v>
      </c>
      <c r="E117" s="1794" t="s">
        <v>2306</v>
      </c>
      <c r="F117" s="1794" t="s">
        <v>2305</v>
      </c>
      <c r="G117" s="1794" t="s">
        <v>2307</v>
      </c>
      <c r="H117" s="1794" t="s">
        <v>2305</v>
      </c>
      <c r="I117" s="1794" t="s">
        <v>2307</v>
      </c>
    </row>
    <row r="118" spans="1:11" ht="24.75" customHeight="1">
      <c r="A118" s="2523" t="str">
        <f>项目基本情况!S2</f>
        <v>宁波万年卡玛利亚184出让国有建设用地使用权及在建建筑物房地产</v>
      </c>
      <c r="B118" s="1794">
        <f>M18</f>
        <v>23293.309999999998</v>
      </c>
      <c r="C118" s="1794">
        <f>M19</f>
        <v>15532.95</v>
      </c>
      <c r="D118" s="1794">
        <f ca="1">ROUND(IF(D32="总价",C34,E118*B118/10000),0)</f>
        <v>12961</v>
      </c>
      <c r="E118" s="1794">
        <f ca="1">ROUND(IF(C33="自定义",IF(D32="楼面单价",C34,D118*10000/B118),I118-G118),0)</f>
        <v>5564</v>
      </c>
      <c r="F118" s="1794">
        <f ca="1">ROUND(IF(D32="总价",C35,G118*B118/10000),0)</f>
        <v>4507</v>
      </c>
      <c r="G118" s="1794">
        <f ca="1">ROUND(IF(D32="楼面单价",C35,F118*10000/B118),0)</f>
        <v>1935</v>
      </c>
      <c r="H118" s="1794">
        <f ca="1">ROUND(IF(D32="总价",C32,I118*B118/10000),0)</f>
        <v>17468</v>
      </c>
      <c r="I118" s="1794">
        <f ca="1">ROUND(IF(D32="楼面单价",C32,H118*10000/B118),0)</f>
        <v>7499</v>
      </c>
    </row>
    <row r="119" spans="1:11" ht="18.75" customHeight="1">
      <c r="A119" s="3117" t="s">
        <v>2308</v>
      </c>
      <c r="B119" s="3117"/>
      <c r="C119" s="3117"/>
      <c r="D119" s="3167" t="str">
        <f ca="1">NUMBERSTRING(INT(D118*10000),2)&amp;"元整"</f>
        <v>壹亿贰仟玖佰陆拾壹万元整</v>
      </c>
      <c r="E119" s="3168"/>
      <c r="F119" s="3167" t="str">
        <f ca="1">NUMBERSTRING(INT(F118*10000),2)&amp;"元整"</f>
        <v>肆仟伍佰零柒万元整</v>
      </c>
      <c r="G119" s="3168"/>
      <c r="H119" s="3167" t="str">
        <f ca="1">NUMBERSTRING(INT(H118*10000),2)&amp;"元整"</f>
        <v>壹亿柒仟肆佰陆拾捌万元整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0" t="str">
        <f>IF(D120=0,"故，本次评估不存在"&amp;A120,"故，本次评估"&amp;A120&amp;"为人民币"&amp;D120&amp;"万元整。")</f>
        <v>故，本次评估不存在估价师知悉的法定优先受偿款</v>
      </c>
    </row>
    <row r="121" spans="1:11" ht="18.75" customHeight="1">
      <c r="A121" s="3208" t="s">
        <v>2308</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17468</v>
      </c>
      <c r="E122" s="3163"/>
      <c r="F122" s="3163"/>
      <c r="G122" s="3163"/>
      <c r="H122" s="3163"/>
      <c r="I122" s="3164"/>
    </row>
    <row r="123" spans="1:11" ht="18.75" customHeight="1">
      <c r="A123" s="3117" t="s">
        <v>2308</v>
      </c>
      <c r="B123" s="3117"/>
      <c r="C123" s="3117"/>
      <c r="D123" s="3167" t="str">
        <f ca="1">NUMBERSTRING(INT(D122*10000),2)&amp;"元整"</f>
        <v>壹亿柒仟肆佰陆拾捌万元整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117" t="s">
        <v>2308</v>
      </c>
      <c r="B125" s="3117"/>
      <c r="C125" s="3117"/>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117" t="s">
        <v>2308</v>
      </c>
      <c r="B127" s="3117"/>
      <c r="C127" s="3117"/>
      <c r="D127" s="3167" t="e">
        <f>NUMBERSTRING(INT(D126*10000),2)&amp;"元整"</f>
        <v>#VALUE!</v>
      </c>
      <c r="E127" s="3169"/>
      <c r="F127" s="3169"/>
      <c r="G127" s="3169"/>
      <c r="H127" s="3169"/>
      <c r="I127" s="3168"/>
    </row>
    <row r="128" spans="1:11" ht="21.75" customHeight="1">
      <c r="A128" s="3170" t="s">
        <v>2309</v>
      </c>
      <c r="B128" s="3170"/>
      <c r="C128" s="3170"/>
      <c r="D128" s="3170"/>
      <c r="E128" s="3170"/>
      <c r="F128" s="3170"/>
      <c r="G128" s="3170"/>
      <c r="H128" s="3170"/>
      <c r="I128" s="3170"/>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2312</v>
      </c>
      <c r="G135" s="2541"/>
      <c r="H135" s="2541"/>
      <c r="I135" s="2542" t="s">
        <v>2313</v>
      </c>
    </row>
    <row r="136" spans="1:35" ht="21.75" customHeight="1">
      <c r="A136" s="795"/>
      <c r="B136" s="2543"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2315</v>
      </c>
    </row>
    <row r="139" spans="1:35" ht="21.75" customHeight="1">
      <c r="A139" s="795"/>
      <c r="B139" s="2543" t="s">
        <v>2316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2315</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11</v>
      </c>
    </row>
    <row r="2" spans="1:9" s="244" customFormat="1" ht="18" customHeight="1">
      <c r="A2" s="245" t="s">
        <v>2318</v>
      </c>
      <c r="B2" s="246">
        <f ca="1">IF(D2="——",C52,C52-E2)</f>
        <v>17374</v>
      </c>
      <c r="C2" s="243" t="s">
        <v>2319</v>
      </c>
      <c r="D2" s="2546" t="s">
        <v>70</v>
      </c>
      <c r="E2" s="1440"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7459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10103</v>
      </c>
      <c r="D5" s="255" t="s">
        <v>2325</v>
      </c>
      <c r="E5" s="256" t="s">
        <v>2326</v>
      </c>
      <c r="F5" s="256" t="s">
        <v>2327</v>
      </c>
      <c r="G5" s="257"/>
    </row>
    <row r="6" spans="1:9" s="258" customFormat="1" ht="13.5" customHeight="1">
      <c r="A6" s="949" t="s">
        <v>2328</v>
      </c>
      <c r="B6" s="259" t="s">
        <v>2329</v>
      </c>
      <c r="C6" s="260">
        <f>'土地比较法-住宅、综合'!F56</f>
        <v>9804</v>
      </c>
      <c r="D6" s="261"/>
      <c r="E6" s="262"/>
      <c r="F6" s="262"/>
      <c r="G6" s="263"/>
    </row>
    <row r="7" spans="1:9" s="258" customFormat="1" ht="13.5" customHeight="1">
      <c r="A7" s="949" t="s">
        <v>2330</v>
      </c>
      <c r="B7" s="259" t="s">
        <v>2331</v>
      </c>
      <c r="C7" s="264">
        <f>ROUND(C6*F7,0)</f>
        <v>299</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9" t="s">
        <v>3345</v>
      </c>
    </row>
    <row r="9" spans="1:9" s="258" customFormat="1" ht="13.5" customHeight="1">
      <c r="A9" s="950" t="s">
        <v>800</v>
      </c>
      <c r="B9" s="268" t="s">
        <v>2334</v>
      </c>
      <c r="C9" s="269">
        <f ca="1">ROUND(D9*E9/10000,0)</f>
        <v>210</v>
      </c>
      <c r="D9" s="1032">
        <f ca="1">IF(B1="",'数据-汇总表'!E5,IF(INDIRECT("'数据-取费表'!c"&amp;$G$1)="住宅",INDIRECT("'数据-取费表'!k"&amp;$G$1),0))</f>
        <v>23293.309999999998</v>
      </c>
      <c r="E9" s="269">
        <f>'数据-取费表'!B27</f>
        <v>90</v>
      </c>
      <c r="F9" s="265"/>
      <c r="G9" s="2550"/>
      <c r="H9" s="1390"/>
      <c r="I9" s="2551" t="s">
        <v>2335</v>
      </c>
    </row>
    <row r="10" spans="1:9" s="258" customFormat="1" ht="13.5" customHeight="1">
      <c r="A10" s="950" t="s">
        <v>801</v>
      </c>
      <c r="B10" s="268" t="s">
        <v>2336</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23293.309999999998</v>
      </c>
      <c r="E19" s="255">
        <f>'数据-取费表'!B31</f>
        <v>200</v>
      </c>
      <c r="F19" s="275"/>
      <c r="G19" s="2549" t="s">
        <v>3346</v>
      </c>
    </row>
    <row r="20" spans="1:7" s="258" customFormat="1" ht="13.5" customHeight="1">
      <c r="A20" s="299" t="s">
        <v>2349</v>
      </c>
      <c r="B20" s="254" t="s">
        <v>2350</v>
      </c>
      <c r="C20" s="276">
        <f>ROUND((C5+C19)*F20,0)</f>
        <v>202</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735</v>
      </c>
      <c r="D22" s="279">
        <f ca="1">C26</f>
        <v>6.9999999999999999E-4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728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7</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876</v>
      </c>
      <c r="D27" s="279">
        <f ca="1">C29</f>
        <v>1.6999999999999999E-3</v>
      </c>
      <c r="E27" s="280" t="s">
        <v>2370</v>
      </c>
      <c r="F27" s="290">
        <f ca="1">IF(B1="",'数据-取费表'!Q16,INDIRECT("'数据-取费表'!q"&amp;$G$1))</f>
        <v>0.17</v>
      </c>
      <c r="G27" s="291" t="s">
        <v>2371</v>
      </c>
    </row>
    <row r="28" spans="1:7" s="258" customFormat="1" ht="13.5" customHeight="1">
      <c r="A28" s="951" t="s">
        <v>791</v>
      </c>
      <c r="B28" s="292" t="s">
        <v>2372</v>
      </c>
      <c r="C28" s="293">
        <f ca="1">ROUND((C5+C19+C20)*F27*'数据-取费表'!B21/'数据-取费表'!B20,0)</f>
        <v>876</v>
      </c>
      <c r="D28" s="279"/>
      <c r="E28" s="280"/>
      <c r="F28" s="290"/>
      <c r="G28" s="291"/>
    </row>
    <row r="29" spans="1:7" s="258" customFormat="1" ht="13.5" customHeight="1">
      <c r="A29" s="951" t="s">
        <v>792</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12892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3364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2913</v>
      </c>
      <c r="D34" s="261"/>
      <c r="E34" s="264"/>
      <c r="F34" s="301">
        <f ca="1">IF('数据-取费表'!B24=0,1,IF(B1="",'数据-取费表'!N16,INDIRECT("'数据-取费表'!n"&amp;$G$1)))</f>
        <v>0.5</v>
      </c>
      <c r="G34" s="263" t="s">
        <v>2382</v>
      </c>
    </row>
    <row r="35" spans="1:7" ht="13.5" customHeight="1">
      <c r="A35" s="951" t="s">
        <v>796</v>
      </c>
      <c r="B35" s="259" t="s">
        <v>2383</v>
      </c>
      <c r="C35" s="264">
        <f ca="1">ROUND(C34*F35,0)</f>
        <v>87</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0.03</v>
      </c>
      <c r="G36" s="304" t="s">
        <v>2386</v>
      </c>
    </row>
    <row r="37" spans="1:7" s="302" customFormat="1" ht="13.5" customHeight="1">
      <c r="A37" s="951" t="s">
        <v>798</v>
      </c>
      <c r="B37" s="259" t="s">
        <v>2387</v>
      </c>
      <c r="C37" s="293">
        <f ca="1">ROUND(E37*D37*F34/10000,0)</f>
        <v>233</v>
      </c>
      <c r="D37" s="261">
        <f ca="1">D19</f>
        <v>23293.309999999998</v>
      </c>
      <c r="E37" s="293">
        <f>'数据-取费表'!B35</f>
        <v>200</v>
      </c>
      <c r="F37" s="303"/>
      <c r="G37" s="305" t="s">
        <v>2388</v>
      </c>
    </row>
    <row r="38" spans="1:7" ht="13.5" customHeight="1">
      <c r="A38" s="951" t="s">
        <v>799</v>
      </c>
      <c r="B38" s="259" t="s">
        <v>2389</v>
      </c>
      <c r="C38" s="264">
        <f ca="1">ROUND(C34*F38,0)</f>
        <v>44</v>
      </c>
      <c r="D38" s="264"/>
      <c r="E38" s="264"/>
      <c r="F38" s="303">
        <f>'数据-取费表'!B36</f>
        <v>1.4999999999999999E-2</v>
      </c>
      <c r="G38" s="263" t="s">
        <v>2384</v>
      </c>
    </row>
    <row r="39" spans="1:7" s="258" customFormat="1" ht="13.5" customHeight="1">
      <c r="A39" s="299" t="s">
        <v>2390</v>
      </c>
      <c r="B39" s="254" t="s">
        <v>2391</v>
      </c>
      <c r="C39" s="276">
        <f ca="1">ROUND(C33*F20,0)</f>
        <v>67</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121</v>
      </c>
      <c r="D41" s="279">
        <f ca="1">C44</f>
        <v>6.9999999999999999E-4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119</v>
      </c>
      <c r="D42" s="282"/>
      <c r="E42" s="282"/>
      <c r="F42" s="283"/>
      <c r="G42" s="3242" t="s">
        <v>2400</v>
      </c>
    </row>
    <row r="43" spans="1:7" ht="13.5" customHeight="1">
      <c r="A43" s="951" t="s">
        <v>792</v>
      </c>
      <c r="B43" s="259" t="s">
        <v>2401</v>
      </c>
      <c r="C43" s="282">
        <f ca="1">ROUND(IF('数据-取费表'!B22&lt;=1,C39*F22*'数据-取费表'!B21/2,C39*(POWER((1+F22),'数据-取费表'!B21/2)-1)),0)</f>
        <v>2</v>
      </c>
      <c r="D43" s="282"/>
      <c r="E43" s="282"/>
      <c r="F43" s="283"/>
      <c r="G43" s="3243"/>
    </row>
    <row r="44" spans="1:7" ht="13.5" customHeight="1">
      <c r="A44" s="951" t="s">
        <v>793</v>
      </c>
      <c r="B44" s="259" t="s">
        <v>2402</v>
      </c>
      <c r="C44" s="282">
        <f ca="1">ROUND(IF('数据-取费表'!B22&lt;=1,C40*F22*'数据-取费表'!B21/2,C40*(POWER((1+F22),'数据-取费表'!B21/2)-1)),4)</f>
        <v>6.9999999999999999E-4</v>
      </c>
      <c r="D44" s="282"/>
      <c r="E44" s="282"/>
      <c r="F44" s="283"/>
      <c r="G44" s="3244"/>
    </row>
    <row r="45" spans="1:7" s="258" customFormat="1" ht="13.5" customHeight="1">
      <c r="A45" s="299" t="s">
        <v>2403</v>
      </c>
      <c r="B45" s="288" t="s">
        <v>2369</v>
      </c>
      <c r="C45" s="289">
        <f ca="1">C46</f>
        <v>583</v>
      </c>
      <c r="D45" s="279">
        <f ca="1">C47</f>
        <v>3.3999999999999998E-3</v>
      </c>
      <c r="E45" s="280" t="s">
        <v>2395</v>
      </c>
      <c r="F45" s="290"/>
      <c r="G45" s="291" t="s">
        <v>2404</v>
      </c>
    </row>
    <row r="46" spans="1:7" s="258" customFormat="1" ht="13.5" customHeight="1">
      <c r="A46" s="951" t="s">
        <v>791</v>
      </c>
      <c r="B46" s="292" t="s">
        <v>2405</v>
      </c>
      <c r="C46" s="293">
        <f ca="1">ROUND((C33+C39)*F27,0)</f>
        <v>583</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4482</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4482</v>
      </c>
      <c r="D51" s="276"/>
      <c r="E51" s="276"/>
      <c r="F51" s="308"/>
      <c r="G51" s="278" t="s">
        <v>2416</v>
      </c>
    </row>
    <row r="52" spans="1:7" s="252" customFormat="1" ht="16.5" thickBot="1">
      <c r="A52" s="309" t="s">
        <v>2417</v>
      </c>
      <c r="B52" s="310"/>
      <c r="C52" s="311">
        <f ca="1">C31+C51</f>
        <v>17374</v>
      </c>
      <c r="D52" s="310"/>
      <c r="E52" s="310"/>
      <c r="F52" s="310"/>
      <c r="G52" s="312"/>
    </row>
    <row r="55" spans="1:7" ht="15">
      <c r="B55" s="314" t="s">
        <v>2418</v>
      </c>
      <c r="C55" s="315"/>
    </row>
    <row r="56" spans="1:7">
      <c r="B56" s="317" t="s">
        <v>1509</v>
      </c>
      <c r="C56" s="319">
        <f ca="1">1-C57</f>
        <v>0.74199999999999999</v>
      </c>
    </row>
    <row r="57" spans="1:7">
      <c r="B57" s="317" t="s">
        <v>1510</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2" t="s">
        <v>2419</v>
      </c>
      <c r="D1" s="242"/>
      <c r="E1" s="242"/>
      <c r="F1" s="242"/>
      <c r="G1" s="1379">
        <f>MATCH(B1,'数据-取费表'!A6:A16,0)+5</f>
        <v>11</v>
      </c>
      <c r="H1" s="1282" t="str">
        <f>IF(ISERROR(FIND("住宅",B1)),"非住宅","住宅")</f>
        <v>非住宅</v>
      </c>
    </row>
    <row r="2" spans="1:8" s="244" customFormat="1" ht="18" customHeight="1">
      <c r="A2" s="245" t="s">
        <v>2318</v>
      </c>
      <c r="B2" s="246">
        <f ca="1">ROUND(IF(D2="——",C52/10000,C52/10000-E2),0)</f>
        <v>10228</v>
      </c>
      <c r="C2" s="243" t="s">
        <v>2319</v>
      </c>
      <c r="D2" s="2546" t="s">
        <v>70</v>
      </c>
      <c r="E2" s="1440"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4391</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2096398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2096398</v>
      </c>
      <c r="D8" s="266"/>
      <c r="E8" s="264"/>
      <c r="F8" s="265"/>
      <c r="G8" s="2549"/>
    </row>
    <row r="9" spans="1:8" s="258" customFormat="1" ht="13.5" customHeight="1">
      <c r="A9" s="950" t="s">
        <v>800</v>
      </c>
      <c r="B9" s="268" t="s">
        <v>2334</v>
      </c>
      <c r="C9" s="269">
        <f ca="1">ROUND(D9*E9,0)</f>
        <v>2096398</v>
      </c>
      <c r="D9" s="1032">
        <f ca="1">IF(B1="",'数据-汇总表'!E5,IF(INDIRECT("'数据-取费表'!c"&amp;$G$1)="住宅",INDIRECT("'数据-取费表'!k"&amp;$G$1),0))</f>
        <v>23293.309999999998</v>
      </c>
      <c r="E9" s="269">
        <f>'数据-取费表'!B27</f>
        <v>90</v>
      </c>
      <c r="F9" s="265"/>
      <c r="G9" s="270"/>
    </row>
    <row r="10" spans="1:8" s="258" customFormat="1" ht="13.5" customHeight="1">
      <c r="A10" s="950" t="s">
        <v>801</v>
      </c>
      <c r="B10" s="268" t="s">
        <v>2336</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4658662</v>
      </c>
      <c r="D19" s="1036">
        <f ca="1">D9+D10</f>
        <v>23293.309999999998</v>
      </c>
      <c r="E19" s="255">
        <f>'数据-取费表'!B31</f>
        <v>200</v>
      </c>
      <c r="F19" s="275"/>
      <c r="G19" s="2549"/>
    </row>
    <row r="20" spans="1:7" s="258" customFormat="1" ht="13.5" customHeight="1">
      <c r="A20" s="299" t="s">
        <v>2430</v>
      </c>
      <c r="B20" s="254" t="s">
        <v>2431</v>
      </c>
      <c r="C20" s="276">
        <f ca="1">ROUND((C5+C19)*F20,0)</f>
        <v>135101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1018782</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313151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695892</v>
      </c>
      <c r="D24" s="282"/>
      <c r="E24" s="282"/>
      <c r="F24" s="283"/>
      <c r="G24" s="284" t="s">
        <v>2442</v>
      </c>
    </row>
    <row r="25" spans="1:7" s="258" customFormat="1" ht="24">
      <c r="A25" s="951" t="s">
        <v>2332</v>
      </c>
      <c r="B25" s="259" t="s">
        <v>2443</v>
      </c>
      <c r="C25" s="1381">
        <f ca="1">ROUND(IF('数据-取费表'!B22&lt;=1,C20*F22*'数据-取费表'!B22/2,C20*(POWER((1+F22),'数据-取费表'!B22/2)-1)),0)</f>
        <v>9739</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1171327</v>
      </c>
      <c r="D27" s="279">
        <f ca="1">C29</f>
        <v>3.3999999999999998E-3</v>
      </c>
      <c r="E27" s="280" t="s">
        <v>2370</v>
      </c>
      <c r="F27" s="290">
        <f ca="1">IF(B1="",'数据-取费表'!Q16,INDIRECT("'数据-取费表'!q"&amp;$G$1))</f>
        <v>0.17</v>
      </c>
      <c r="G27" s="291" t="s">
        <v>2371</v>
      </c>
    </row>
    <row r="28" spans="1:7" s="258" customFormat="1" ht="13.5" customHeight="1">
      <c r="A28" s="951" t="s">
        <v>791</v>
      </c>
      <c r="B28" s="292" t="s">
        <v>2372</v>
      </c>
      <c r="C28" s="293">
        <f ca="1">ROUND((C5+C19+C20)*F27,0)</f>
        <v>1171327</v>
      </c>
      <c r="D28" s="279"/>
      <c r="E28" s="280"/>
      <c r="F28" s="290"/>
      <c r="G28" s="291"/>
    </row>
    <row r="29" spans="1:7" s="258" customFormat="1" ht="13.5" customHeight="1">
      <c r="A29" s="951" t="s">
        <v>792</v>
      </c>
      <c r="B29" s="292" t="s">
        <v>2373</v>
      </c>
      <c r="C29" s="282">
        <f ca="1">ROUND(C21*F27,4)</f>
        <v>3.3999999999999998E-3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9849517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67259432</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58233275</v>
      </c>
      <c r="D34" s="261"/>
      <c r="E34" s="264"/>
      <c r="F34" s="301"/>
      <c r="G34" s="263"/>
    </row>
    <row r="35" spans="1:7" ht="13.5" customHeight="1">
      <c r="A35" s="951" t="s">
        <v>796</v>
      </c>
      <c r="B35" s="259" t="s">
        <v>2383</v>
      </c>
      <c r="C35" s="264">
        <f ca="1">ROUND(C34*F35,0)</f>
        <v>1746998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1746998</v>
      </c>
      <c r="D36" s="264"/>
      <c r="E36" s="264"/>
      <c r="F36" s="303">
        <f>'数据-取费表'!B34</f>
        <v>0.03</v>
      </c>
      <c r="G36" s="304" t="s">
        <v>2386</v>
      </c>
    </row>
    <row r="37" spans="1:7" s="302" customFormat="1" ht="13.5" customHeight="1">
      <c r="A37" s="951" t="s">
        <v>798</v>
      </c>
      <c r="B37" s="259" t="s">
        <v>2387</v>
      </c>
      <c r="C37" s="293">
        <f ca="1">ROUND(E37*D37,0)</f>
        <v>4658662</v>
      </c>
      <c r="D37" s="261">
        <f ca="1">D19</f>
        <v>23293.309999999998</v>
      </c>
      <c r="E37" s="293">
        <f>'数据-取费表'!B35</f>
        <v>200</v>
      </c>
      <c r="F37" s="303"/>
      <c r="G37" s="305"/>
    </row>
    <row r="38" spans="1:7" ht="13.5" customHeight="1">
      <c r="A38" s="951" t="s">
        <v>799</v>
      </c>
      <c r="B38" s="259" t="s">
        <v>2389</v>
      </c>
      <c r="C38" s="264">
        <f ca="1">ROUND(C34*F38,0)</f>
        <v>873499</v>
      </c>
      <c r="D38" s="264"/>
      <c r="E38" s="264"/>
      <c r="F38" s="303">
        <f>'数据-取费表'!B36</f>
        <v>1.4999999999999999E-2</v>
      </c>
      <c r="G38" s="263" t="s">
        <v>2384</v>
      </c>
    </row>
    <row r="39" spans="1:7" s="258" customFormat="1" ht="13.5" customHeight="1">
      <c r="A39" s="299" t="s">
        <v>2390</v>
      </c>
      <c r="B39" s="254" t="s">
        <v>2391</v>
      </c>
      <c r="C39" s="276">
        <f ca="1">ROUND(C33*F20,0)</f>
        <v>1345189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4945674</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4848700</v>
      </c>
      <c r="D42" s="282"/>
      <c r="E42" s="282"/>
      <c r="F42" s="283"/>
      <c r="G42" s="3242" t="s">
        <v>2447</v>
      </c>
    </row>
    <row r="43" spans="1:7" ht="13.5" customHeight="1">
      <c r="A43" s="951" t="s">
        <v>792</v>
      </c>
      <c r="B43" s="259" t="s">
        <v>2401</v>
      </c>
      <c r="C43" s="282">
        <f ca="1">ROUND(IF('数据-取费表'!B22&lt;=1,C39*F22*'数据-取费表'!B20/2,C39*(POWER((1+F22),'数据-取费表'!B20/2)-1)),0)</f>
        <v>96974</v>
      </c>
      <c r="D43" s="282"/>
      <c r="E43" s="282"/>
      <c r="F43" s="283"/>
      <c r="G43" s="3243"/>
    </row>
    <row r="44" spans="1:7" ht="13.5" customHeight="1">
      <c r="A44" s="951" t="s">
        <v>793</v>
      </c>
      <c r="B44" s="259" t="s">
        <v>2402</v>
      </c>
      <c r="C44" s="282">
        <f ca="1">ROUND(IF('数据-取费表'!B22&lt;=1,C40*F22*'数据-取费表'!B20/2,C40*(POWER((1+F22),'数据-取费表'!B20/2)-1)),4)</f>
        <v>1.4E-3</v>
      </c>
      <c r="D44" s="282"/>
      <c r="E44" s="282"/>
      <c r="F44" s="283"/>
      <c r="G44" s="3244"/>
    </row>
    <row r="45" spans="1:7" s="258" customFormat="1" ht="13.5" customHeight="1">
      <c r="A45" s="299" t="s">
        <v>2403</v>
      </c>
      <c r="B45" s="288" t="s">
        <v>2369</v>
      </c>
      <c r="C45" s="289">
        <f ca="1">C46</f>
        <v>11662786</v>
      </c>
      <c r="D45" s="279">
        <f ca="1">C47</f>
        <v>3.3999999999999998E-3</v>
      </c>
      <c r="E45" s="280" t="s">
        <v>2395</v>
      </c>
      <c r="F45" s="290"/>
      <c r="G45" s="291" t="s">
        <v>2404</v>
      </c>
    </row>
    <row r="46" spans="1:7" s="258" customFormat="1" ht="13.5" customHeight="1">
      <c r="A46" s="951" t="s">
        <v>791</v>
      </c>
      <c r="B46" s="292" t="s">
        <v>2405</v>
      </c>
      <c r="C46" s="293">
        <f ca="1">ROUND((C33+C39)*F27,0)</f>
        <v>11662786</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92432022</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92432022</v>
      </c>
      <c r="D51" s="276"/>
      <c r="E51" s="276"/>
      <c r="F51" s="308"/>
      <c r="G51" s="278" t="s">
        <v>2416</v>
      </c>
    </row>
    <row r="52" spans="1:7" s="252" customFormat="1" ht="16.5" thickBot="1">
      <c r="A52" s="309" t="s">
        <v>2417</v>
      </c>
      <c r="B52" s="310"/>
      <c r="C52" s="311">
        <f ca="1">C31+C51</f>
        <v>102281539</v>
      </c>
      <c r="D52" s="310"/>
      <c r="E52" s="310"/>
      <c r="F52" s="310"/>
      <c r="G52" s="312"/>
    </row>
    <row r="55" spans="1:7" ht="15">
      <c r="B55" s="314" t="s">
        <v>2418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9804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4209</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46" t="s">
        <v>2635</v>
      </c>
      <c r="AC4" s="3245" t="s">
        <v>2636</v>
      </c>
    </row>
    <row r="5" spans="1:30" ht="26.25" customHeight="1">
      <c r="A5" s="404"/>
      <c r="B5" s="405"/>
      <c r="C5" s="3256" t="s">
        <v>3340</v>
      </c>
      <c r="D5" s="3257"/>
      <c r="E5" s="3254" t="str">
        <f>土地案例!A7</f>
        <v>北仑春晓乐海路南、明月路东</v>
      </c>
      <c r="F5" s="3255"/>
      <c r="G5" s="3256" t="str">
        <f>土地案例!A12</f>
        <v>春晓160号地块</v>
      </c>
      <c r="H5" s="3257"/>
      <c r="I5" s="3256" t="str">
        <f>土地案例!A13</f>
        <v>春晓161#地块</v>
      </c>
      <c r="J5" s="3257"/>
      <c r="K5" s="784"/>
      <c r="L5" s="1143"/>
      <c r="M5" s="1131"/>
      <c r="N5" s="1131"/>
      <c r="O5" s="1131"/>
      <c r="P5" s="3269"/>
      <c r="Q5" s="3270"/>
      <c r="R5" s="3252"/>
      <c r="S5" s="3253"/>
      <c r="T5" s="3252"/>
      <c r="U5" s="3253"/>
      <c r="V5" s="3275"/>
      <c r="W5" s="3275"/>
      <c r="X5" s="2948"/>
      <c r="Y5" s="3252"/>
      <c r="Z5" s="3253"/>
      <c r="AA5" s="3246"/>
      <c r="AB5" s="3246"/>
      <c r="AC5" s="3246"/>
    </row>
    <row r="6" spans="1:30" ht="15.75" thickBot="1">
      <c r="A6" s="406"/>
      <c r="B6" s="407"/>
      <c r="C6" s="3258" t="s">
        <v>2783</v>
      </c>
      <c r="D6" s="3259"/>
      <c r="E6" s="3260" t="s">
        <v>2783</v>
      </c>
      <c r="F6" s="3261"/>
      <c r="G6" s="3258" t="s">
        <v>2783</v>
      </c>
      <c r="H6" s="3259"/>
      <c r="I6" s="3258" t="s">
        <v>2783</v>
      </c>
      <c r="J6" s="3259"/>
      <c r="K6" s="784" t="s">
        <v>3341</v>
      </c>
      <c r="L6" s="1143"/>
      <c r="M6" s="1131"/>
      <c r="N6" s="1131"/>
      <c r="O6" s="1131"/>
      <c r="P6" s="3271"/>
      <c r="Q6" s="3272"/>
      <c r="R6" s="3252"/>
      <c r="S6" s="3253"/>
      <c r="T6" s="3273"/>
      <c r="U6" s="3274"/>
      <c r="V6" s="3275"/>
      <c r="W6" s="3275"/>
      <c r="X6" s="2948"/>
      <c r="Y6" s="3273"/>
      <c r="Z6" s="3274"/>
      <c r="AA6" s="3247"/>
      <c r="AB6" s="3247"/>
      <c r="AC6" s="3247"/>
    </row>
    <row r="7" spans="1:30" s="117" customFormat="1" ht="15.75" thickBot="1">
      <c r="A7" s="408" t="s">
        <v>2536</v>
      </c>
      <c r="B7" s="409"/>
      <c r="C7" s="410">
        <f>'数据-取费表'!B2</f>
        <v>43598</v>
      </c>
      <c r="D7" s="411">
        <v>100</v>
      </c>
      <c r="E7" s="412" t="str">
        <f>土地案例!I7</f>
        <v>2018-07-30</v>
      </c>
      <c r="F7" s="413">
        <f>SUMIF(70:70,YEAR(E7)&amp;"-"&amp;INT((MONTH(E7)+2)/3),71:71)</f>
        <v>98.5</v>
      </c>
      <c r="G7" s="2694" t="str">
        <f>土地案例!I12</f>
        <v>2017-06-14</v>
      </c>
      <c r="H7" s="411">
        <f>SUMIF(70:70,YEAR(G7)&amp;"-"&amp;INT((MONTH(G7)+2)/3),71:71)</f>
        <v>96</v>
      </c>
      <c r="I7" s="2694" t="str">
        <f>土地案例!I13</f>
        <v>2017-06-07</v>
      </c>
      <c r="J7" s="411">
        <f>SUMIF(70:70,YEAR(I7)&amp;"-"&amp;INT((MONTH(I7)+2)/3),71:71)</f>
        <v>96</v>
      </c>
      <c r="K7" s="611"/>
      <c r="L7" s="1132"/>
      <c r="M7" s="1133"/>
      <c r="N7" s="1133"/>
      <c r="O7" s="1133"/>
      <c r="P7" s="3248" t="s">
        <v>2537</v>
      </c>
      <c r="Q7" s="3276"/>
      <c r="R7" s="770" t="s">
        <v>17</v>
      </c>
      <c r="S7" s="771">
        <f t="shared" ref="S7:S15" si="0">F7</f>
        <v>98.5</v>
      </c>
      <c r="T7" s="770" t="s">
        <v>17</v>
      </c>
      <c r="U7" s="771">
        <f t="shared" ref="U7:U15" si="1">H7</f>
        <v>96</v>
      </c>
      <c r="V7" s="770" t="s">
        <v>17</v>
      </c>
      <c r="W7" s="771">
        <f t="shared" ref="W7:W15" si="2">J7</f>
        <v>96</v>
      </c>
      <c r="X7" s="772"/>
      <c r="Y7" s="3248" t="s">
        <v>2537</v>
      </c>
      <c r="Z7" s="3249"/>
      <c r="AA7" s="773">
        <f>D7/F7</f>
        <v>1.015228426395939</v>
      </c>
      <c r="AB7" s="773">
        <f>D7/H7</f>
        <v>1.0416666666666667</v>
      </c>
      <c r="AC7" s="773">
        <f>D7/J7</f>
        <v>1.0416666666666667</v>
      </c>
    </row>
    <row r="8" spans="1:30" s="117" customFormat="1" ht="15.75" thickBot="1">
      <c r="A8" s="408" t="s">
        <v>2538</v>
      </c>
      <c r="B8" s="409"/>
      <c r="C8" s="414" t="s">
        <v>3339</v>
      </c>
      <c r="D8" s="411">
        <v>100</v>
      </c>
      <c r="E8" s="414" t="s">
        <v>3299</v>
      </c>
      <c r="F8" s="413">
        <f>SUMIF(73:73,E8,74:74)-SUMIF(73:73,C8,74:74)+100</f>
        <v>105</v>
      </c>
      <c r="G8" s="414" t="s">
        <v>3297</v>
      </c>
      <c r="H8" s="411">
        <f>SUMIF(73:73,G8,74:74)-SUMIF(73:73,C8,74:74)+100</f>
        <v>110</v>
      </c>
      <c r="I8" s="414" t="s">
        <v>3297</v>
      </c>
      <c r="J8" s="411">
        <f>SUMIF(73:73,I8,74:74)-SUMIF(73:73,C8,74:74)+100</f>
        <v>110</v>
      </c>
      <c r="K8" s="611"/>
      <c r="L8" s="1132"/>
      <c r="M8" s="1133"/>
      <c r="N8" s="1133"/>
      <c r="O8" s="1133"/>
      <c r="P8" s="3248" t="s">
        <v>2540</v>
      </c>
      <c r="Q8" s="3249"/>
      <c r="R8" s="770" t="s">
        <v>17</v>
      </c>
      <c r="S8" s="771">
        <f t="shared" si="0"/>
        <v>105</v>
      </c>
      <c r="T8" s="770" t="s">
        <v>17</v>
      </c>
      <c r="U8" s="771">
        <f t="shared" si="1"/>
        <v>110</v>
      </c>
      <c r="V8" s="770" t="s">
        <v>17</v>
      </c>
      <c r="W8" s="771">
        <f t="shared" si="2"/>
        <v>110</v>
      </c>
      <c r="X8" s="772"/>
      <c r="Y8" s="3248" t="s">
        <v>2540</v>
      </c>
      <c r="Z8" s="3249"/>
      <c r="AA8" s="773">
        <f t="shared" ref="AA8:AA45" si="3">D8/F8</f>
        <v>0.95238095238095233</v>
      </c>
      <c r="AB8" s="773">
        <f t="shared" ref="AB8:AB45" si="4">D8/H8</f>
        <v>0.90909090909090906</v>
      </c>
      <c r="AC8" s="773">
        <f t="shared" ref="AC8:AC45" si="5">D8/J8</f>
        <v>0.90909090909090906</v>
      </c>
    </row>
    <row r="9" spans="1:30" s="117" customFormat="1">
      <c r="A9" s="415" t="s">
        <v>2541</v>
      </c>
      <c r="B9" s="71" t="s">
        <v>2542</v>
      </c>
      <c r="C9" s="2697" t="s">
        <v>3301</v>
      </c>
      <c r="D9" s="135">
        <v>100</v>
      </c>
      <c r="E9" s="2697" t="s">
        <v>3198</v>
      </c>
      <c r="F9" s="135">
        <f>SUMIF(75:75,E9,76:76)-SUMIF(75:75,C9,76:76)+100</f>
        <v>98</v>
      </c>
      <c r="G9" s="2697" t="s">
        <v>3301</v>
      </c>
      <c r="H9" s="135">
        <f>SUMIF(75:75,G9,76:76)-SUMIF(75:75,C9,76:76)+100</f>
        <v>100</v>
      </c>
      <c r="I9" s="2697" t="s">
        <v>3198</v>
      </c>
      <c r="J9" s="135">
        <f>SUMIF(75:75,I9,76:76)-SUMIF(75:75,C9,76:76)+100</f>
        <v>98</v>
      </c>
      <c r="K9" s="611"/>
      <c r="L9" s="1132"/>
      <c r="M9" s="1133"/>
      <c r="N9" s="1133"/>
      <c r="O9" s="1134"/>
      <c r="P9" s="3262" t="s">
        <v>2543</v>
      </c>
      <c r="Q9" s="1794" t="str">
        <f t="shared" ref="Q9:Q15" si="6">B9</f>
        <v>用途</v>
      </c>
      <c r="R9" s="770" t="s">
        <v>17</v>
      </c>
      <c r="S9" s="771">
        <f t="shared" si="0"/>
        <v>98</v>
      </c>
      <c r="T9" s="770" t="s">
        <v>17</v>
      </c>
      <c r="U9" s="771">
        <f t="shared" si="1"/>
        <v>100</v>
      </c>
      <c r="V9" s="770" t="s">
        <v>17</v>
      </c>
      <c r="W9" s="771">
        <f t="shared" si="2"/>
        <v>98</v>
      </c>
      <c r="X9" s="772"/>
      <c r="Y9" s="3117" t="s">
        <v>2544</v>
      </c>
      <c r="Z9" s="55" t="str">
        <f t="shared" ref="Z9:Z15" si="7">Q9</f>
        <v>用途</v>
      </c>
      <c r="AA9" s="773">
        <f t="shared" si="3"/>
        <v>1.0204081632653061</v>
      </c>
      <c r="AB9" s="773">
        <f t="shared" si="4"/>
        <v>1</v>
      </c>
      <c r="AC9" s="773">
        <f t="shared" si="5"/>
        <v>1.0204081632653061</v>
      </c>
    </row>
    <row r="10" spans="1:30" s="427" customFormat="1" ht="27">
      <c r="A10" s="421"/>
      <c r="B10" s="422" t="s">
        <v>2545</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62"/>
      <c r="Q10" s="1794" t="str">
        <f t="shared" si="6"/>
        <v>土地使用年限（年）</v>
      </c>
      <c r="R10" s="770" t="s">
        <v>17</v>
      </c>
      <c r="S10" s="771">
        <f t="shared" si="0"/>
        <v>101</v>
      </c>
      <c r="T10" s="770" t="s">
        <v>17</v>
      </c>
      <c r="U10" s="771">
        <f t="shared" si="1"/>
        <v>101</v>
      </c>
      <c r="V10" s="770" t="s">
        <v>17</v>
      </c>
      <c r="W10" s="771">
        <f t="shared" si="2"/>
        <v>101</v>
      </c>
      <c r="X10" s="772"/>
      <c r="Y10" s="3117"/>
      <c r="Z10" s="55" t="str">
        <f t="shared" si="7"/>
        <v>土地使用年限（年）</v>
      </c>
      <c r="AA10" s="773">
        <f t="shared" si="3"/>
        <v>0.99009900990099009</v>
      </c>
      <c r="AB10" s="773">
        <f t="shared" si="4"/>
        <v>0.99009900990099009</v>
      </c>
      <c r="AC10" s="773">
        <f t="shared" si="5"/>
        <v>0.99009900990099009</v>
      </c>
    </row>
    <row r="11" spans="1:30" ht="15">
      <c r="A11" s="428"/>
      <c r="B11" s="422" t="s">
        <v>2546</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62"/>
      <c r="Q11" s="1794" t="str">
        <f t="shared" si="6"/>
        <v>容积率</v>
      </c>
      <c r="R11" s="770" t="s">
        <v>17</v>
      </c>
      <c r="S11" s="771">
        <f t="shared" si="0"/>
        <v>98</v>
      </c>
      <c r="T11" s="770" t="s">
        <v>17</v>
      </c>
      <c r="U11" s="771">
        <f t="shared" si="1"/>
        <v>98</v>
      </c>
      <c r="V11" s="770" t="s">
        <v>17</v>
      </c>
      <c r="W11" s="771">
        <f t="shared" si="2"/>
        <v>98</v>
      </c>
      <c r="X11" s="772"/>
      <c r="Y11" s="3117"/>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2734</v>
      </c>
      <c r="C12" s="2986" t="s">
        <v>3342</v>
      </c>
      <c r="D12" s="433">
        <v>100</v>
      </c>
      <c r="E12" s="2987" t="s">
        <v>3342</v>
      </c>
      <c r="F12" s="136">
        <f>SUMIF(82:82,E12,83:83)-SUMIF(82:82,C12,83:83)+100</f>
        <v>100</v>
      </c>
      <c r="G12" s="2988" t="s">
        <v>3342</v>
      </c>
      <c r="H12" s="136">
        <f>SUMIF(82:82,G12,83:83)-SUMIF(82:82,C12,83:83)+100</f>
        <v>100</v>
      </c>
      <c r="I12" s="2987" t="s">
        <v>3343</v>
      </c>
      <c r="J12" s="136">
        <f>SUMIF(82:82,I12,83:83)-SUMIF(82:82,C12,83:83)+100</f>
        <v>95</v>
      </c>
      <c r="K12" s="672"/>
      <c r="L12" s="1132"/>
      <c r="M12" s="1133"/>
      <c r="N12" s="1133"/>
      <c r="O12" s="1134"/>
      <c r="P12" s="3262"/>
      <c r="Q12" s="1794" t="str">
        <f t="shared" si="6"/>
        <v>配建</v>
      </c>
      <c r="R12" s="770" t="s">
        <v>17</v>
      </c>
      <c r="S12" s="771">
        <f t="shared" si="0"/>
        <v>100</v>
      </c>
      <c r="T12" s="770" t="s">
        <v>17</v>
      </c>
      <c r="U12" s="771">
        <f t="shared" si="1"/>
        <v>100</v>
      </c>
      <c r="V12" s="770" t="s">
        <v>17</v>
      </c>
      <c r="W12" s="771">
        <f t="shared" si="2"/>
        <v>95</v>
      </c>
      <c r="X12" s="772"/>
      <c r="Y12" s="3117"/>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2"/>
      <c r="Q13" s="1794">
        <f t="shared" si="6"/>
        <v>111</v>
      </c>
      <c r="R13" s="770" t="s">
        <v>17</v>
      </c>
      <c r="S13" s="771">
        <f t="shared" si="0"/>
        <v>100</v>
      </c>
      <c r="T13" s="770" t="s">
        <v>17</v>
      </c>
      <c r="U13" s="771">
        <f t="shared" si="1"/>
        <v>100</v>
      </c>
      <c r="V13" s="770" t="s">
        <v>17</v>
      </c>
      <c r="W13" s="771">
        <f t="shared" si="2"/>
        <v>100</v>
      </c>
      <c r="X13" s="772"/>
      <c r="Y13" s="3117"/>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2"/>
      <c r="Q14" s="1794">
        <f t="shared" si="6"/>
        <v>111</v>
      </c>
      <c r="R14" s="770" t="s">
        <v>17</v>
      </c>
      <c r="S14" s="771">
        <f t="shared" si="0"/>
        <v>100</v>
      </c>
      <c r="T14" s="770" t="s">
        <v>17</v>
      </c>
      <c r="U14" s="771">
        <f t="shared" si="1"/>
        <v>100</v>
      </c>
      <c r="V14" s="770" t="s">
        <v>17</v>
      </c>
      <c r="W14" s="771">
        <f t="shared" si="2"/>
        <v>100</v>
      </c>
      <c r="X14" s="772"/>
      <c r="Y14" s="3117"/>
      <c r="Z14" s="55">
        <f t="shared" si="7"/>
        <v>111</v>
      </c>
      <c r="AA14" s="773">
        <f>D14/F14</f>
        <v>1</v>
      </c>
      <c r="AB14" s="773">
        <f>D14/H14</f>
        <v>1</v>
      </c>
      <c r="AC14" s="773">
        <f>D14/J14</f>
        <v>1</v>
      </c>
    </row>
    <row r="15" spans="1:30" ht="15">
      <c r="A15" s="440" t="s">
        <v>2547</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77" t="s">
        <v>2548</v>
      </c>
      <c r="Q15" s="1809" t="str">
        <f t="shared" si="6"/>
        <v>居住社区成熟度</v>
      </c>
      <c r="R15" s="774" t="s">
        <v>17</v>
      </c>
      <c r="S15" s="775">
        <f t="shared" si="0"/>
        <v>100</v>
      </c>
      <c r="T15" s="774" t="s">
        <v>17</v>
      </c>
      <c r="U15" s="775">
        <f t="shared" si="1"/>
        <v>100</v>
      </c>
      <c r="V15" s="774" t="s">
        <v>17</v>
      </c>
      <c r="W15" s="775">
        <f t="shared" si="2"/>
        <v>100</v>
      </c>
      <c r="X15" s="1812"/>
      <c r="Y15" s="3277" t="s">
        <v>2548</v>
      </c>
      <c r="Z15" s="1813" t="str">
        <f t="shared" si="7"/>
        <v>居住社区成熟度</v>
      </c>
      <c r="AA15" s="1810">
        <f t="shared" si="3"/>
        <v>1</v>
      </c>
      <c r="AB15" s="1810">
        <f t="shared" si="4"/>
        <v>1</v>
      </c>
      <c r="AC15" s="1810">
        <f t="shared" si="5"/>
        <v>1</v>
      </c>
    </row>
    <row r="16" spans="1:30" ht="15">
      <c r="A16" s="428"/>
      <c r="B16" s="446"/>
      <c r="C16" s="447" t="s">
        <v>3326</v>
      </c>
      <c r="D16" s="448"/>
      <c r="E16" s="2604" t="s">
        <v>3326</v>
      </c>
      <c r="F16" s="448"/>
      <c r="G16" s="2604" t="s">
        <v>3326</v>
      </c>
      <c r="H16" s="450"/>
      <c r="I16" s="2603" t="s">
        <v>3326</v>
      </c>
      <c r="J16" s="448"/>
      <c r="K16" s="672"/>
      <c r="L16" s="1140"/>
      <c r="M16" s="1131"/>
      <c r="N16" s="1131"/>
      <c r="O16" s="1139"/>
      <c r="P16" s="3278"/>
      <c r="Q16" s="1809"/>
      <c r="R16" s="774"/>
      <c r="S16" s="775"/>
      <c r="T16" s="774"/>
      <c r="U16" s="775"/>
      <c r="V16" s="774"/>
      <c r="W16" s="775"/>
      <c r="X16" s="1812"/>
      <c r="Y16" s="3278"/>
      <c r="Z16" s="1813"/>
      <c r="AA16" s="1810">
        <v>1</v>
      </c>
      <c r="AB16" s="1810">
        <v>1</v>
      </c>
      <c r="AC16" s="1810">
        <v>1</v>
      </c>
    </row>
    <row r="17" spans="1:29" ht="15">
      <c r="A17" s="428"/>
      <c r="B17" s="451" t="s">
        <v>2640</v>
      </c>
      <c r="C17" s="2662"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78"/>
      <c r="Q17" s="1809" t="str">
        <f>B17</f>
        <v>商业繁华度</v>
      </c>
      <c r="R17" s="774" t="s">
        <v>17</v>
      </c>
      <c r="S17" s="775">
        <f>F17</f>
        <v>100</v>
      </c>
      <c r="T17" s="774" t="s">
        <v>17</v>
      </c>
      <c r="U17" s="775">
        <f>H17</f>
        <v>100</v>
      </c>
      <c r="V17" s="774" t="s">
        <v>17</v>
      </c>
      <c r="W17" s="775">
        <f>J17</f>
        <v>100</v>
      </c>
      <c r="X17" s="1812"/>
      <c r="Y17" s="3278"/>
      <c r="Z17" s="1813" t="str">
        <f>Q17</f>
        <v>商业繁华度</v>
      </c>
      <c r="AA17" s="1810">
        <f t="shared" si="3"/>
        <v>1</v>
      </c>
      <c r="AB17" s="1810">
        <f t="shared" si="4"/>
        <v>1</v>
      </c>
      <c r="AC17" s="1810">
        <f t="shared" si="5"/>
        <v>1</v>
      </c>
    </row>
    <row r="18" spans="1:29" ht="15">
      <c r="A18" s="428"/>
      <c r="B18" s="456"/>
      <c r="C18" s="2607" t="s">
        <v>3329</v>
      </c>
      <c r="D18" s="450"/>
      <c r="E18" s="2609" t="s">
        <v>3329</v>
      </c>
      <c r="F18" s="450"/>
      <c r="G18" s="2609" t="s">
        <v>3329</v>
      </c>
      <c r="H18" s="448"/>
      <c r="I18" s="2608" t="s">
        <v>3329</v>
      </c>
      <c r="J18" s="448"/>
      <c r="K18" s="672"/>
      <c r="L18" s="1140"/>
      <c r="M18" s="1131"/>
      <c r="N18" s="1131"/>
      <c r="O18" s="1139"/>
      <c r="P18" s="3278"/>
      <c r="Q18" s="1809"/>
      <c r="R18" s="774"/>
      <c r="S18" s="775"/>
      <c r="T18" s="774"/>
      <c r="U18" s="775"/>
      <c r="V18" s="774"/>
      <c r="W18" s="775"/>
      <c r="X18" s="1812"/>
      <c r="Y18" s="3278"/>
      <c r="Z18" s="1813"/>
      <c r="AA18" s="1810">
        <v>1</v>
      </c>
      <c r="AB18" s="1810">
        <v>1</v>
      </c>
      <c r="AC18" s="1810">
        <v>1</v>
      </c>
    </row>
    <row r="19" spans="1:29" ht="15">
      <c r="A19" s="428"/>
      <c r="B19" s="451" t="s">
        <v>2674</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78"/>
      <c r="Q19" s="1809" t="str">
        <f>B19</f>
        <v>办公集聚程度</v>
      </c>
      <c r="R19" s="774" t="s">
        <v>17</v>
      </c>
      <c r="S19" s="775">
        <f>F19</f>
        <v>100</v>
      </c>
      <c r="T19" s="774" t="s">
        <v>17</v>
      </c>
      <c r="U19" s="775">
        <f>H19</f>
        <v>100</v>
      </c>
      <c r="V19" s="774" t="s">
        <v>17</v>
      </c>
      <c r="W19" s="775">
        <f>J19</f>
        <v>100</v>
      </c>
      <c r="X19" s="1812"/>
      <c r="Y19" s="3278"/>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78"/>
      <c r="Q20" s="1809"/>
      <c r="R20" s="774"/>
      <c r="S20" s="775"/>
      <c r="T20" s="774"/>
      <c r="U20" s="775"/>
      <c r="V20" s="774"/>
      <c r="W20" s="775"/>
      <c r="X20" s="1812"/>
      <c r="Y20" s="3278"/>
      <c r="Z20" s="1813"/>
      <c r="AA20" s="1810">
        <v>1</v>
      </c>
      <c r="AB20" s="1810">
        <v>1</v>
      </c>
      <c r="AC20" s="1810">
        <v>1</v>
      </c>
    </row>
    <row r="21" spans="1:29" ht="15">
      <c r="A21" s="428"/>
      <c r="B21" s="451" t="s">
        <v>2696</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78"/>
      <c r="Q21" s="1809" t="str">
        <f>B21</f>
        <v>交通便捷度</v>
      </c>
      <c r="R21" s="774" t="s">
        <v>17</v>
      </c>
      <c r="S21" s="775">
        <f>F21</f>
        <v>100</v>
      </c>
      <c r="T21" s="774" t="s">
        <v>17</v>
      </c>
      <c r="U21" s="775">
        <f>H21</f>
        <v>100</v>
      </c>
      <c r="V21" s="774" t="s">
        <v>17</v>
      </c>
      <c r="W21" s="775">
        <f>J21</f>
        <v>100</v>
      </c>
      <c r="X21" s="1812"/>
      <c r="Y21" s="3278"/>
      <c r="Z21" s="1813" t="str">
        <f>Q21</f>
        <v>交通便捷度</v>
      </c>
      <c r="AA21" s="1810">
        <f t="shared" si="3"/>
        <v>1</v>
      </c>
      <c r="AB21" s="1810">
        <f t="shared" si="4"/>
        <v>1</v>
      </c>
      <c r="AC21" s="1810">
        <f t="shared" si="5"/>
        <v>1</v>
      </c>
    </row>
    <row r="22" spans="1:29" ht="15">
      <c r="A22" s="428"/>
      <c r="B22" s="1384"/>
      <c r="C22" s="447" t="s">
        <v>3326</v>
      </c>
      <c r="D22" s="450"/>
      <c r="E22" s="2604" t="s">
        <v>3326</v>
      </c>
      <c r="F22" s="448"/>
      <c r="G22" s="2604" t="s">
        <v>3326</v>
      </c>
      <c r="H22" s="448"/>
      <c r="I22" s="2604" t="s">
        <v>3326</v>
      </c>
      <c r="J22" s="448"/>
      <c r="K22" s="672"/>
      <c r="L22" s="1140"/>
      <c r="M22" s="1131"/>
      <c r="N22" s="1131"/>
      <c r="O22" s="1139"/>
      <c r="P22" s="3278"/>
      <c r="Q22" s="1809"/>
      <c r="R22" s="774"/>
      <c r="S22" s="775"/>
      <c r="T22" s="774"/>
      <c r="U22" s="775"/>
      <c r="V22" s="774"/>
      <c r="W22" s="775"/>
      <c r="X22" s="1812"/>
      <c r="Y22" s="3278"/>
      <c r="Z22" s="1813"/>
      <c r="AA22" s="1810">
        <v>1</v>
      </c>
      <c r="AB22" s="1810">
        <v>1</v>
      </c>
      <c r="AC22" s="1810">
        <v>1</v>
      </c>
    </row>
    <row r="23" spans="1:29" ht="15">
      <c r="A23" s="404"/>
      <c r="B23" s="451" t="s">
        <v>2735</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78"/>
      <c r="Q23" s="1809" t="str">
        <f t="shared" ref="Q23:Q37" si="8">B23</f>
        <v>区域土地利用方向</v>
      </c>
      <c r="R23" s="774" t="s">
        <v>17</v>
      </c>
      <c r="S23" s="775">
        <f>F23</f>
        <v>100</v>
      </c>
      <c r="T23" s="774" t="s">
        <v>17</v>
      </c>
      <c r="U23" s="775">
        <f>H23</f>
        <v>100</v>
      </c>
      <c r="V23" s="774" t="s">
        <v>17</v>
      </c>
      <c r="W23" s="775">
        <f>J23</f>
        <v>100</v>
      </c>
      <c r="X23" s="1812"/>
      <c r="Y23" s="3278"/>
      <c r="Z23" s="1813" t="str">
        <f>Q23</f>
        <v>区域土地利用方向</v>
      </c>
      <c r="AA23" s="1810">
        <f t="shared" si="3"/>
        <v>1</v>
      </c>
      <c r="AB23" s="1810">
        <f t="shared" si="4"/>
        <v>1</v>
      </c>
      <c r="AC23" s="1810">
        <f t="shared" si="5"/>
        <v>1</v>
      </c>
    </row>
    <row r="24" spans="1:29" ht="15">
      <c r="A24" s="404"/>
      <c r="B24" s="456"/>
      <c r="C24" s="616" t="s">
        <v>3324</v>
      </c>
      <c r="D24" s="448"/>
      <c r="E24" s="2604" t="s">
        <v>3324</v>
      </c>
      <c r="F24" s="448"/>
      <c r="G24" s="2604" t="s">
        <v>3324</v>
      </c>
      <c r="H24" s="448"/>
      <c r="I24" s="2604" t="s">
        <v>3324</v>
      </c>
      <c r="J24" s="448"/>
      <c r="K24" s="812"/>
      <c r="L24" s="1140"/>
      <c r="M24" s="1131"/>
      <c r="N24" s="1131"/>
      <c r="O24" s="1139"/>
      <c r="P24" s="3278"/>
      <c r="Q24" s="1809"/>
      <c r="R24" s="774"/>
      <c r="S24" s="775"/>
      <c r="T24" s="774"/>
      <c r="U24" s="775"/>
      <c r="V24" s="774"/>
      <c r="W24" s="775"/>
      <c r="X24" s="1812"/>
      <c r="Y24" s="3278"/>
      <c r="Z24" s="1813"/>
      <c r="AA24" s="1810"/>
      <c r="AB24" s="1810"/>
      <c r="AC24" s="1810"/>
    </row>
    <row r="25" spans="1:29" ht="27">
      <c r="A25" s="404"/>
      <c r="B25" s="1384" t="s">
        <v>2736</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78"/>
      <c r="Q25" s="1809" t="str">
        <f t="shared" si="8"/>
        <v>自然及人文环境状况</v>
      </c>
      <c r="R25" s="774" t="s">
        <v>17</v>
      </c>
      <c r="S25" s="775">
        <f>F25</f>
        <v>100</v>
      </c>
      <c r="T25" s="774" t="s">
        <v>17</v>
      </c>
      <c r="U25" s="775">
        <f>H25</f>
        <v>100</v>
      </c>
      <c r="V25" s="774" t="s">
        <v>17</v>
      </c>
      <c r="W25" s="775">
        <f>J25</f>
        <v>100</v>
      </c>
      <c r="X25" s="1812"/>
      <c r="Y25" s="3278"/>
      <c r="Z25" s="1813" t="str">
        <f>Q25</f>
        <v>自然及人文环境状况</v>
      </c>
      <c r="AA25" s="1810">
        <f t="shared" si="3"/>
        <v>1</v>
      </c>
      <c r="AB25" s="1810">
        <f t="shared" si="4"/>
        <v>1</v>
      </c>
      <c r="AC25" s="1810">
        <f t="shared" si="5"/>
        <v>1</v>
      </c>
    </row>
    <row r="26" spans="1:29" ht="15">
      <c r="A26" s="404"/>
      <c r="B26" s="456"/>
      <c r="C26" s="447" t="s">
        <v>3324</v>
      </c>
      <c r="D26" s="448"/>
      <c r="E26" s="447" t="s">
        <v>3324</v>
      </c>
      <c r="F26" s="448"/>
      <c r="G26" s="447" t="s">
        <v>3324</v>
      </c>
      <c r="H26" s="448"/>
      <c r="I26" s="447" t="s">
        <v>3324</v>
      </c>
      <c r="J26" s="448"/>
      <c r="K26" s="672"/>
      <c r="L26" s="1140"/>
      <c r="M26" s="1131"/>
      <c r="N26" s="1131"/>
      <c r="O26" s="1139"/>
      <c r="P26" s="3278"/>
      <c r="Q26" s="1809"/>
      <c r="R26" s="774"/>
      <c r="S26" s="775"/>
      <c r="T26" s="774"/>
      <c r="U26" s="775"/>
      <c r="V26" s="774"/>
      <c r="W26" s="775"/>
      <c r="X26" s="1812"/>
      <c r="Y26" s="3278"/>
      <c r="Z26" s="1813"/>
      <c r="AA26" s="1810">
        <v>1</v>
      </c>
      <c r="AB26" s="1810">
        <v>1</v>
      </c>
      <c r="AC26" s="1810">
        <v>1</v>
      </c>
    </row>
    <row r="27" spans="1:29" s="117" customFormat="1" ht="15">
      <c r="A27" s="649"/>
      <c r="B27" s="1384" t="s">
        <v>2641</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78"/>
      <c r="Q27" s="1794" t="str">
        <f t="shared" si="8"/>
        <v>公共配套设施</v>
      </c>
      <c r="R27" s="770" t="s">
        <v>17</v>
      </c>
      <c r="S27" s="771">
        <f>F27</f>
        <v>100</v>
      </c>
      <c r="T27" s="770" t="s">
        <v>17</v>
      </c>
      <c r="U27" s="771">
        <f>H27</f>
        <v>100</v>
      </c>
      <c r="V27" s="770" t="s">
        <v>17</v>
      </c>
      <c r="W27" s="771">
        <f>J27</f>
        <v>100</v>
      </c>
      <c r="X27" s="772"/>
      <c r="Y27" s="3278"/>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278"/>
      <c r="Q28" s="1794"/>
      <c r="R28" s="770"/>
      <c r="S28" s="771"/>
      <c r="T28" s="770"/>
      <c r="U28" s="771"/>
      <c r="V28" s="770"/>
      <c r="W28" s="771"/>
      <c r="X28" s="772"/>
      <c r="Y28" s="3278"/>
      <c r="Z28" s="55"/>
      <c r="AA28" s="1810">
        <v>1</v>
      </c>
      <c r="AB28" s="1810">
        <v>1</v>
      </c>
      <c r="AC28" s="1810">
        <v>1</v>
      </c>
    </row>
    <row r="29" spans="1:29" s="117" customFormat="1" ht="15">
      <c r="A29" s="649"/>
      <c r="B29" s="1384" t="s">
        <v>2642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78"/>
      <c r="Q29" s="1794"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0">
        <f>D29/F29</f>
        <v>1</v>
      </c>
      <c r="AB29" s="1810">
        <f>D29/H29</f>
        <v>1</v>
      </c>
      <c r="AC29" s="1810">
        <f>D29/J29</f>
        <v>1</v>
      </c>
    </row>
    <row r="30" spans="1:29" s="117" customFormat="1" ht="15">
      <c r="A30" s="649"/>
      <c r="B30" s="456"/>
      <c r="C30" s="2698" t="s">
        <v>3318</v>
      </c>
      <c r="D30" s="448"/>
      <c r="E30" s="2698" t="s">
        <v>3318</v>
      </c>
      <c r="F30" s="448"/>
      <c r="G30" s="2698" t="s">
        <v>3318</v>
      </c>
      <c r="H30" s="448"/>
      <c r="I30" s="2698" t="s">
        <v>3318</v>
      </c>
      <c r="J30" s="448"/>
      <c r="K30" s="672"/>
      <c r="L30" s="1132"/>
      <c r="M30" s="1133"/>
      <c r="N30" s="1133"/>
      <c r="O30" s="1134"/>
      <c r="P30" s="3278"/>
      <c r="Q30" s="1794"/>
      <c r="R30" s="770"/>
      <c r="S30" s="771"/>
      <c r="T30" s="770"/>
      <c r="U30" s="771"/>
      <c r="V30" s="770"/>
      <c r="W30" s="771"/>
      <c r="X30" s="772"/>
      <c r="Y30" s="3278"/>
      <c r="Z30" s="55"/>
      <c r="AA30" s="1810">
        <v>1</v>
      </c>
      <c r="AB30" s="1810">
        <v>1</v>
      </c>
      <c r="AC30" s="1810">
        <v>1</v>
      </c>
    </row>
    <row r="31" spans="1:29" ht="15">
      <c r="A31" s="428"/>
      <c r="B31" s="456" t="s">
        <v>2643</v>
      </c>
      <c r="C31" s="616" t="s">
        <v>3336</v>
      </c>
      <c r="D31" s="435">
        <v>100</v>
      </c>
      <c r="E31" s="634" t="s">
        <v>3336</v>
      </c>
      <c r="F31" s="435">
        <f>SUMIF(104:104,E31,105:105)-SUMIF(104:104,C31,105:105)+100</f>
        <v>100</v>
      </c>
      <c r="G31" s="634" t="s">
        <v>3335</v>
      </c>
      <c r="H31" s="435">
        <f>SUMIF(104:104,G31,105:105)-SUMIF(104:104,C31,105:105)+100</f>
        <v>99</v>
      </c>
      <c r="I31" s="634" t="s">
        <v>3335</v>
      </c>
      <c r="J31" s="435">
        <f>SUMIF(104:104,I31,105:105)-SUMIF(104:104,C31,105:105)+100</f>
        <v>99</v>
      </c>
      <c r="K31" s="673">
        <v>1</v>
      </c>
      <c r="L31" s="1140"/>
      <c r="M31" s="1131"/>
      <c r="N31" s="1131"/>
      <c r="O31" s="1139"/>
      <c r="P31" s="3278"/>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78"/>
      <c r="Z31" s="1813" t="str">
        <f t="shared" ref="Z31:Z45" si="13">Q31</f>
        <v>临街状况</v>
      </c>
      <c r="AA31" s="1810">
        <f t="shared" si="3"/>
        <v>1</v>
      </c>
      <c r="AB31" s="1810">
        <f t="shared" si="4"/>
        <v>1.0101010101010102</v>
      </c>
      <c r="AC31" s="1810">
        <f t="shared" si="5"/>
        <v>1.0101010101010102</v>
      </c>
    </row>
    <row r="32" spans="1:29" ht="27">
      <c r="A32" s="428"/>
      <c r="B32" s="1384" t="s">
        <v>2678</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78"/>
      <c r="Q32" s="1809" t="str">
        <f t="shared" si="8"/>
        <v>毗邻道路的类型与等级</v>
      </c>
      <c r="R32" s="774" t="s">
        <v>17</v>
      </c>
      <c r="S32" s="775">
        <f t="shared" si="10"/>
        <v>99</v>
      </c>
      <c r="T32" s="774" t="s">
        <v>17</v>
      </c>
      <c r="U32" s="775">
        <f t="shared" si="11"/>
        <v>100</v>
      </c>
      <c r="V32" s="774" t="s">
        <v>17</v>
      </c>
      <c r="W32" s="775">
        <f t="shared" si="12"/>
        <v>99</v>
      </c>
      <c r="X32" s="1812"/>
      <c r="Y32" s="3278"/>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3307</v>
      </c>
      <c r="D33" s="448"/>
      <c r="E33" s="2610" t="s">
        <v>3309</v>
      </c>
      <c r="F33" s="448"/>
      <c r="G33" s="2610" t="s">
        <v>3307</v>
      </c>
      <c r="H33" s="448"/>
      <c r="I33" s="447" t="s">
        <v>3309</v>
      </c>
      <c r="J33" s="448"/>
      <c r="K33" s="613"/>
      <c r="L33" s="1140"/>
      <c r="M33" s="1131"/>
      <c r="N33" s="1131"/>
      <c r="O33" s="1139"/>
      <c r="P33" s="3278"/>
      <c r="Q33" s="1809"/>
      <c r="R33" s="774"/>
      <c r="S33" s="775"/>
      <c r="T33" s="774"/>
      <c r="U33" s="775"/>
      <c r="V33" s="774"/>
      <c r="W33" s="775"/>
      <c r="X33" s="1812"/>
      <c r="Y33" s="3278"/>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8"/>
      <c r="Q34" s="1809" t="str">
        <f t="shared" si="8"/>
        <v>土地级别</v>
      </c>
      <c r="R34" s="774" t="s">
        <v>17</v>
      </c>
      <c r="S34" s="775">
        <f t="shared" si="10"/>
        <v>100</v>
      </c>
      <c r="T34" s="774" t="s">
        <v>17</v>
      </c>
      <c r="U34" s="775">
        <f t="shared" si="11"/>
        <v>100</v>
      </c>
      <c r="V34" s="774" t="s">
        <v>17</v>
      </c>
      <c r="W34" s="775">
        <f t="shared" si="12"/>
        <v>100</v>
      </c>
      <c r="X34" s="1812"/>
      <c r="Y34" s="3278"/>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8"/>
      <c r="Q35" s="1809">
        <f t="shared" si="8"/>
        <v>111</v>
      </c>
      <c r="R35" s="774" t="s">
        <v>17</v>
      </c>
      <c r="S35" s="775">
        <f t="shared" si="10"/>
        <v>100</v>
      </c>
      <c r="T35" s="774" t="s">
        <v>17</v>
      </c>
      <c r="U35" s="775">
        <f t="shared" si="11"/>
        <v>100</v>
      </c>
      <c r="V35" s="774" t="s">
        <v>17</v>
      </c>
      <c r="W35" s="775">
        <f t="shared" si="12"/>
        <v>100</v>
      </c>
      <c r="X35" s="1812"/>
      <c r="Y35" s="3278"/>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9" t="s">
        <v>2553</v>
      </c>
      <c r="Q36" s="1809">
        <f t="shared" si="8"/>
        <v>111</v>
      </c>
      <c r="R36" s="774" t="s">
        <v>17</v>
      </c>
      <c r="S36" s="775">
        <f t="shared" si="10"/>
        <v>100</v>
      </c>
      <c r="T36" s="774" t="s">
        <v>17</v>
      </c>
      <c r="U36" s="775">
        <f t="shared" si="11"/>
        <v>100</v>
      </c>
      <c r="V36" s="774" t="s">
        <v>17</v>
      </c>
      <c r="W36" s="775">
        <f t="shared" si="12"/>
        <v>100</v>
      </c>
      <c r="X36" s="1812"/>
      <c r="Y36" s="3280" t="s">
        <v>2553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0"/>
      <c r="Q37" s="1809">
        <f t="shared" si="8"/>
        <v>111</v>
      </c>
      <c r="R37" s="777" t="s">
        <v>17</v>
      </c>
      <c r="S37" s="778">
        <f t="shared" si="10"/>
        <v>100</v>
      </c>
      <c r="T37" s="777" t="s">
        <v>17</v>
      </c>
      <c r="U37" s="778">
        <f t="shared" si="11"/>
        <v>100</v>
      </c>
      <c r="V37" s="777" t="s">
        <v>17</v>
      </c>
      <c r="W37" s="778">
        <f t="shared" si="12"/>
        <v>100</v>
      </c>
      <c r="X37" s="779"/>
      <c r="Y37" s="3280"/>
      <c r="Z37" s="780">
        <f t="shared" si="13"/>
        <v>111</v>
      </c>
      <c r="AA37" s="1810">
        <f t="shared" si="3"/>
        <v>1</v>
      </c>
      <c r="AB37" s="1810">
        <f t="shared" si="4"/>
        <v>1</v>
      </c>
      <c r="AC37" s="1810">
        <f t="shared" si="5"/>
        <v>1</v>
      </c>
    </row>
    <row r="38" spans="1:29" ht="15">
      <c r="A38" s="472" t="s">
        <v>2551</v>
      </c>
      <c r="B38" s="456" t="s">
        <v>2738</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80"/>
      <c r="Q38" s="1809" t="str">
        <f>B38</f>
        <v>宗地面积</v>
      </c>
      <c r="R38" s="774" t="s">
        <v>17</v>
      </c>
      <c r="S38" s="775">
        <f t="shared" si="10"/>
        <v>102</v>
      </c>
      <c r="T38" s="774" t="s">
        <v>17</v>
      </c>
      <c r="U38" s="775">
        <f t="shared" si="11"/>
        <v>102</v>
      </c>
      <c r="V38" s="774" t="s">
        <v>17</v>
      </c>
      <c r="W38" s="775">
        <f t="shared" si="12"/>
        <v>102</v>
      </c>
      <c r="X38" s="1812"/>
      <c r="Y38" s="3280"/>
      <c r="Z38" s="1813" t="str">
        <f t="shared" si="13"/>
        <v>宗地面积</v>
      </c>
      <c r="AA38" s="1810">
        <f t="shared" si="3"/>
        <v>0.98039215686274506</v>
      </c>
      <c r="AB38" s="1810">
        <f t="shared" si="4"/>
        <v>0.98039215686274506</v>
      </c>
      <c r="AC38" s="1810">
        <f t="shared" si="5"/>
        <v>0.98039215686274506</v>
      </c>
    </row>
    <row r="39" spans="1:29" ht="15">
      <c r="A39" s="472"/>
      <c r="B39" s="422" t="s">
        <v>2739</v>
      </c>
      <c r="C39" s="2612" t="s">
        <v>3316</v>
      </c>
      <c r="D39" s="435">
        <v>100</v>
      </c>
      <c r="E39" s="2612" t="s">
        <v>3311</v>
      </c>
      <c r="F39" s="435">
        <f>SUMIF(119:119,E39,120:120)-SUMIF(119:119,C39,120:120)+100</f>
        <v>106</v>
      </c>
      <c r="G39" s="2612" t="s">
        <v>3316</v>
      </c>
      <c r="H39" s="435">
        <f>SUMIF(119:119,G39,120:120)-SUMIF(119:119,C39,120:120)+100</f>
        <v>100</v>
      </c>
      <c r="I39" s="2612" t="s">
        <v>3313</v>
      </c>
      <c r="J39" s="435">
        <f>SUMIF(119:119,I39,120:120)-SUMIF(119:119,C39,120:120)+100</f>
        <v>104</v>
      </c>
      <c r="K39" s="612">
        <v>2</v>
      </c>
      <c r="L39" s="1140"/>
      <c r="M39" s="1131"/>
      <c r="N39" s="1131"/>
      <c r="O39" s="1139"/>
      <c r="P39" s="3280"/>
      <c r="Q39" s="1809" t="str">
        <f t="shared" ref="Q39:Q45" si="14">B39</f>
        <v>宗地形状</v>
      </c>
      <c r="R39" s="774" t="s">
        <v>17</v>
      </c>
      <c r="S39" s="775">
        <f t="shared" si="10"/>
        <v>106</v>
      </c>
      <c r="T39" s="774" t="s">
        <v>17</v>
      </c>
      <c r="U39" s="775">
        <f t="shared" si="11"/>
        <v>100</v>
      </c>
      <c r="V39" s="774" t="s">
        <v>17</v>
      </c>
      <c r="W39" s="775">
        <f t="shared" si="12"/>
        <v>104</v>
      </c>
      <c r="X39" s="1812"/>
      <c r="Y39" s="3280"/>
      <c r="Z39" s="1813" t="str">
        <f t="shared" si="13"/>
        <v>宗地形状</v>
      </c>
      <c r="AA39" s="1810">
        <f t="shared" si="3"/>
        <v>0.94339622641509435</v>
      </c>
      <c r="AB39" s="1810">
        <f t="shared" si="4"/>
        <v>1</v>
      </c>
      <c r="AC39" s="1810">
        <f t="shared" si="5"/>
        <v>0.96153846153846156</v>
      </c>
    </row>
    <row r="40" spans="1:29" ht="15">
      <c r="A40" s="472"/>
      <c r="B40" s="422" t="s">
        <v>2740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80"/>
      <c r="Q40" s="1809" t="str">
        <f t="shared" si="14"/>
        <v>临街宽度及深度</v>
      </c>
      <c r="R40" s="774" t="s">
        <v>17</v>
      </c>
      <c r="S40" s="775">
        <f t="shared" si="10"/>
        <v>100</v>
      </c>
      <c r="T40" s="774" t="s">
        <v>17</v>
      </c>
      <c r="U40" s="775">
        <f t="shared" si="11"/>
        <v>100</v>
      </c>
      <c r="V40" s="774" t="s">
        <v>17</v>
      </c>
      <c r="W40" s="775">
        <f t="shared" si="12"/>
        <v>100</v>
      </c>
      <c r="X40" s="1812"/>
      <c r="Y40" s="3280"/>
      <c r="Z40" s="1813" t="str">
        <f t="shared" si="13"/>
        <v>临街宽度及深度</v>
      </c>
      <c r="AA40" s="1810">
        <f t="shared" si="3"/>
        <v>1</v>
      </c>
      <c r="AB40" s="1810">
        <f t="shared" si="4"/>
        <v>1</v>
      </c>
      <c r="AC40" s="1810">
        <f t="shared" si="5"/>
        <v>1</v>
      </c>
    </row>
    <row r="41" spans="1:29" s="117" customFormat="1" ht="15">
      <c r="A41" s="473"/>
      <c r="B41" s="422" t="s">
        <v>2741</v>
      </c>
      <c r="C41" s="2700" t="s">
        <v>3318</v>
      </c>
      <c r="D41" s="136">
        <v>100</v>
      </c>
      <c r="E41" s="2700" t="s">
        <v>3322</v>
      </c>
      <c r="F41" s="435">
        <f>SUMIF(123:123,E41,124:124)-SUMIF(123:123,C41,124:124)+100</f>
        <v>98.5</v>
      </c>
      <c r="G41" s="2700" t="s">
        <v>3322</v>
      </c>
      <c r="H41" s="435">
        <f>SUMIF(123:123,G41,124:124)-SUMIF(123:123,C41,124:124)+100</f>
        <v>98.5</v>
      </c>
      <c r="I41" s="2700" t="s">
        <v>3322</v>
      </c>
      <c r="J41" s="435">
        <f>SUMIF(123:123,I41,124:124)-SUMIF(123:123,C41,124:124)+100</f>
        <v>98.5</v>
      </c>
      <c r="K41" s="612">
        <v>0.5</v>
      </c>
      <c r="L41" s="1132"/>
      <c r="M41" s="1133"/>
      <c r="N41" s="1133"/>
      <c r="O41" s="1134"/>
      <c r="P41" s="3280"/>
      <c r="Q41" s="1809" t="str">
        <f t="shared" si="14"/>
        <v>宗地开发程度</v>
      </c>
      <c r="R41" s="770" t="s">
        <v>17</v>
      </c>
      <c r="S41" s="771">
        <f t="shared" si="10"/>
        <v>98.5</v>
      </c>
      <c r="T41" s="770" t="s">
        <v>17</v>
      </c>
      <c r="U41" s="771">
        <f t="shared" si="11"/>
        <v>98.5</v>
      </c>
      <c r="V41" s="770" t="s">
        <v>17</v>
      </c>
      <c r="W41" s="771">
        <f t="shared" si="12"/>
        <v>98.5</v>
      </c>
      <c r="X41" s="772"/>
      <c r="Y41" s="3280"/>
      <c r="Z41" s="55" t="str">
        <f t="shared" si="13"/>
        <v>宗地开发程度</v>
      </c>
      <c r="AA41" s="773">
        <f t="shared" si="3"/>
        <v>1.015228426395939</v>
      </c>
      <c r="AB41" s="773">
        <f t="shared" si="4"/>
        <v>1.015228426395939</v>
      </c>
      <c r="AC41" s="773">
        <f t="shared" si="5"/>
        <v>1.015228426395939</v>
      </c>
    </row>
    <row r="42" spans="1:29" ht="15.75" thickBot="1">
      <c r="A42" s="472"/>
      <c r="B42" s="422" t="s">
        <v>2742</v>
      </c>
      <c r="C42" s="2612" t="s">
        <v>3324</v>
      </c>
      <c r="D42" s="435">
        <v>100</v>
      </c>
      <c r="E42" s="2612" t="s">
        <v>3324</v>
      </c>
      <c r="F42" s="435">
        <f>SUMIF(125:125,E42,126:126)-SUMIF(125:125,C42,126:126)+100</f>
        <v>100</v>
      </c>
      <c r="G42" s="2612" t="s">
        <v>3324</v>
      </c>
      <c r="H42" s="435">
        <f>SUMIF(125:125,G42,126:126)-SUMIF(125:125,C42,126:126)+100</f>
        <v>100</v>
      </c>
      <c r="I42" s="2612" t="s">
        <v>3324</v>
      </c>
      <c r="J42" s="435">
        <f>SUMIF(125:125,I42,126:126)-SUMIF(125:125,C42,126:126)+100</f>
        <v>100</v>
      </c>
      <c r="K42" s="612">
        <v>2</v>
      </c>
      <c r="L42" s="1140"/>
      <c r="M42" s="1131"/>
      <c r="N42" s="1131"/>
      <c r="O42" s="1139"/>
      <c r="P42" s="3280" t="s">
        <v>2553</v>
      </c>
      <c r="Q42" s="1809" t="str">
        <f t="shared" si="14"/>
        <v>工程地质条件</v>
      </c>
      <c r="R42" s="774" t="s">
        <v>17</v>
      </c>
      <c r="S42" s="775">
        <f t="shared" si="10"/>
        <v>100</v>
      </c>
      <c r="T42" s="774" t="s">
        <v>17</v>
      </c>
      <c r="U42" s="775">
        <f t="shared" si="11"/>
        <v>100</v>
      </c>
      <c r="V42" s="774" t="s">
        <v>17</v>
      </c>
      <c r="W42" s="775">
        <f t="shared" si="12"/>
        <v>100</v>
      </c>
      <c r="X42" s="1812"/>
      <c r="Y42" s="3280" t="s">
        <v>2553</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0"/>
      <c r="Q43" s="1809">
        <f t="shared" si="14"/>
        <v>111</v>
      </c>
      <c r="R43" s="774" t="s">
        <v>17</v>
      </c>
      <c r="S43" s="775">
        <f t="shared" si="10"/>
        <v>100</v>
      </c>
      <c r="T43" s="774" t="s">
        <v>17</v>
      </c>
      <c r="U43" s="775">
        <f t="shared" si="11"/>
        <v>100</v>
      </c>
      <c r="V43" s="774" t="s">
        <v>17</v>
      </c>
      <c r="W43" s="775">
        <f t="shared" si="12"/>
        <v>100</v>
      </c>
      <c r="X43" s="1812"/>
      <c r="Y43" s="3280"/>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0"/>
      <c r="Q44" s="1809">
        <f t="shared" si="14"/>
        <v>111</v>
      </c>
      <c r="R44" s="774" t="s">
        <v>17</v>
      </c>
      <c r="S44" s="775">
        <f t="shared" si="10"/>
        <v>100</v>
      </c>
      <c r="T44" s="774" t="s">
        <v>17</v>
      </c>
      <c r="U44" s="775">
        <f t="shared" si="11"/>
        <v>100</v>
      </c>
      <c r="V44" s="774" t="s">
        <v>17</v>
      </c>
      <c r="W44" s="775">
        <f t="shared" si="12"/>
        <v>100</v>
      </c>
      <c r="X44" s="1812"/>
      <c r="Y44" s="3280"/>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0"/>
      <c r="Q45" s="1809">
        <f t="shared" si="14"/>
        <v>111</v>
      </c>
      <c r="R45" s="777" t="s">
        <v>17</v>
      </c>
      <c r="S45" s="778">
        <f t="shared" si="10"/>
        <v>100</v>
      </c>
      <c r="T45" s="777" t="s">
        <v>17</v>
      </c>
      <c r="U45" s="778">
        <f t="shared" si="11"/>
        <v>100</v>
      </c>
      <c r="V45" s="777" t="s">
        <v>17</v>
      </c>
      <c r="W45" s="778">
        <f t="shared" si="12"/>
        <v>100</v>
      </c>
      <c r="X45" s="779"/>
      <c r="Y45" s="3280"/>
      <c r="Z45" s="780">
        <f t="shared" si="13"/>
        <v>111</v>
      </c>
      <c r="AA45" s="1810">
        <f t="shared" si="3"/>
        <v>1</v>
      </c>
      <c r="AB45" s="1810">
        <f t="shared" si="4"/>
        <v>1</v>
      </c>
      <c r="AC45" s="1810">
        <f t="shared" si="5"/>
        <v>1</v>
      </c>
    </row>
    <row r="46" spans="1:29" ht="15">
      <c r="A46" s="479" t="s">
        <v>2707</v>
      </c>
      <c r="B46" s="2702" t="s">
        <v>2743</v>
      </c>
      <c r="C46" s="682" t="s">
        <v>1</v>
      </c>
      <c r="D46" s="481"/>
      <c r="E46" s="482">
        <f>土地案例!L7</f>
        <v>4730</v>
      </c>
      <c r="F46" s="483"/>
      <c r="G46" s="484">
        <f>土地案例!L12</f>
        <v>3930</v>
      </c>
      <c r="H46" s="485"/>
      <c r="I46" s="482">
        <f>土地案例!L13</f>
        <v>4360</v>
      </c>
      <c r="J46" s="485"/>
      <c r="K46" s="783"/>
      <c r="L46" s="1143"/>
      <c r="M46" s="1144"/>
      <c r="N46" s="1131"/>
      <c r="O46" s="1144"/>
      <c r="P46" s="3262" t="str">
        <f>A46</f>
        <v>成交单价</v>
      </c>
      <c r="Q46" s="3262"/>
      <c r="R46" s="3275">
        <f>E46</f>
        <v>4730</v>
      </c>
      <c r="S46" s="3275"/>
      <c r="T46" s="3275">
        <f>G46</f>
        <v>3930</v>
      </c>
      <c r="U46" s="3275"/>
      <c r="V46" s="3275">
        <f>I46</f>
        <v>4360</v>
      </c>
      <c r="W46" s="3275"/>
      <c r="X46" s="759"/>
      <c r="Y46" s="781"/>
      <c r="Z46" s="759"/>
      <c r="AA46" s="759"/>
      <c r="AB46" s="759"/>
      <c r="AC46" s="759"/>
    </row>
    <row r="47" spans="1:29" ht="15.75" thickBot="1">
      <c r="A47" s="486" t="s">
        <v>2656</v>
      </c>
      <c r="B47" s="683"/>
      <c r="C47" s="490">
        <f>R48</f>
        <v>4209</v>
      </c>
      <c r="D47" s="489"/>
      <c r="E47" s="490">
        <f>R47</f>
        <v>4472</v>
      </c>
      <c r="F47" s="491"/>
      <c r="G47" s="488">
        <f>T47</f>
        <v>3780</v>
      </c>
      <c r="H47" s="489"/>
      <c r="I47" s="490">
        <f>V47</f>
        <v>4375</v>
      </c>
      <c r="J47" s="489"/>
      <c r="K47" s="784"/>
      <c r="L47" s="1143"/>
      <c r="M47" s="1144"/>
      <c r="N47" s="1144"/>
      <c r="O47" s="1144"/>
      <c r="P47" s="3262" t="str">
        <f>A47</f>
        <v>比较价值（元/平方米）</v>
      </c>
      <c r="Q47" s="3262"/>
      <c r="R47" s="3281">
        <f>ROUND(PRODUCT(R46,AA7:AA45),0)</f>
        <v>4472</v>
      </c>
      <c r="S47" s="3281"/>
      <c r="T47" s="3281">
        <f>ROUND(PRODUCT(T46,AB7:AB45),0)</f>
        <v>3780</v>
      </c>
      <c r="U47" s="3281"/>
      <c r="V47" s="3281">
        <f>ROUND(PRODUCT(V46,AC7:AC45),0)</f>
        <v>4375</v>
      </c>
      <c r="W47" s="3281"/>
      <c r="X47" s="759"/>
      <c r="Y47" s="759"/>
      <c r="Z47" s="759"/>
      <c r="AA47" s="759"/>
      <c r="AB47" s="759"/>
      <c r="AC47" s="759"/>
    </row>
    <row r="48" spans="1:29" ht="15.75" thickBot="1">
      <c r="A48" s="492" t="s">
        <v>3344</v>
      </c>
      <c r="B48" s="493"/>
      <c r="C48" s="494">
        <f>R48</f>
        <v>4209</v>
      </c>
      <c r="D48" s="494"/>
      <c r="E48" s="494"/>
      <c r="F48" s="494"/>
      <c r="G48" s="494"/>
      <c r="H48" s="494"/>
      <c r="I48" s="494"/>
      <c r="J48" s="494"/>
      <c r="K48" s="785"/>
      <c r="L48" s="1143"/>
      <c r="M48" s="1144"/>
      <c r="N48" s="1144"/>
      <c r="O48" s="1144"/>
      <c r="P48" s="3282" t="str">
        <f>A48</f>
        <v>估价对象的比较价值（楼面单价，元/平方米）</v>
      </c>
      <c r="Q48" s="3283"/>
      <c r="R48" s="3284">
        <f>ROUND(AVERAGE(R47:V47),0)</f>
        <v>4209</v>
      </c>
      <c r="S48" s="3284"/>
      <c r="T48" s="3284"/>
      <c r="U48" s="3284"/>
      <c r="V48" s="3284"/>
      <c r="W48" s="32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2659</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2660</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63" t="s">
        <v>2750</v>
      </c>
      <c r="H55" s="3285"/>
      <c r="I55" s="144" t="s">
        <v>2751</v>
      </c>
      <c r="J55" s="2705">
        <f>项目基本情况!F35</f>
        <v>0</v>
      </c>
      <c r="K55" s="2706" t="s">
        <v>2752</v>
      </c>
      <c r="L55" s="1106"/>
      <c r="M55" s="1144"/>
      <c r="N55" s="1144"/>
      <c r="O55" s="1144"/>
    </row>
    <row r="56" spans="1:15" s="692" customFormat="1">
      <c r="A56" s="688" t="s">
        <v>2753</v>
      </c>
      <c r="B56" s="689">
        <f>C48</f>
        <v>4209</v>
      </c>
      <c r="C56" s="690">
        <v>1</v>
      </c>
      <c r="D56" s="1163">
        <v>1</v>
      </c>
      <c r="E56" s="690">
        <f>'数据-汇总表'!E8+'数据-汇总表'!E9</f>
        <v>23293.309999999998</v>
      </c>
      <c r="F56" s="1103">
        <f t="shared" ref="F56:F65" si="15">ROUND(B56*E56/10000,0)</f>
        <v>9804</v>
      </c>
      <c r="G56" s="3286"/>
      <c r="H56" s="3262"/>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87"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87"/>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87"/>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87"/>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7"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23293.309999999998</v>
      </c>
      <c r="F66" s="697">
        <f>IF(B46="楼面地价",SUM(F56:F65),ROUND(C48*E66/10000,0))</f>
        <v>9804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2661</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2769</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2572</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2639</v>
      </c>
      <c r="D73" s="2981" t="s">
        <v>3298</v>
      </c>
      <c r="E73" s="2981" t="s">
        <v>3300</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2575</v>
      </c>
      <c r="B75" s="528" t="s">
        <v>2542</v>
      </c>
      <c r="C75" s="2982" t="s">
        <v>3302</v>
      </c>
      <c r="D75" s="2982" t="s">
        <v>3303</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3" t="s">
        <v>3304</v>
      </c>
      <c r="D82" s="2983" t="s">
        <v>3305</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2547</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2678</v>
      </c>
      <c r="C106" s="2983" t="s">
        <v>3306</v>
      </c>
      <c r="D106" s="2983" t="s">
        <v>3308</v>
      </c>
      <c r="E106" s="2983" t="s">
        <v>3310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2737</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2551</v>
      </c>
      <c r="B116" s="528" t="s">
        <v>2777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2778</v>
      </c>
      <c r="C119" s="2984" t="s">
        <v>3312</v>
      </c>
      <c r="D119" s="2984" t="s">
        <v>3314</v>
      </c>
      <c r="E119" s="2984" t="s">
        <v>3315</v>
      </c>
      <c r="F119" s="2984" t="s">
        <v>3317</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2780</v>
      </c>
      <c r="C123" s="2983" t="s">
        <v>3319</v>
      </c>
      <c r="D123" s="2983" t="s">
        <v>3320</v>
      </c>
      <c r="E123" s="2983" t="s">
        <v>3321</v>
      </c>
      <c r="F123" s="2983" t="s">
        <v>3323</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2781</v>
      </c>
      <c r="C125" s="2983" t="s">
        <v>3325</v>
      </c>
      <c r="D125" s="2983" t="s">
        <v>3327</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workbookViewId="0">
      <selection activeCell="B22" sqref="B22"/>
    </sheetView>
  </sheetViews>
  <sheetFormatPr defaultRowHeight="12"/>
  <cols>
    <col min="1" max="1" width="29.375" style="2973" customWidth="1"/>
    <col min="2" max="14" width="9" style="2973"/>
    <col min="15" max="15" width="31.625" style="2973" customWidth="1"/>
    <col min="16" max="16384" width="9" style="2973"/>
  </cols>
  <sheetData>
    <row r="1" spans="1:17" s="2976" customFormat="1" ht="42.75">
      <c r="A1" s="2975" t="s">
        <v>3209</v>
      </c>
      <c r="B1" s="2975" t="s">
        <v>3210</v>
      </c>
      <c r="C1" s="2975" t="s">
        <v>3211</v>
      </c>
      <c r="D1" s="2975" t="s">
        <v>3212</v>
      </c>
      <c r="E1" s="2975" t="s">
        <v>3213</v>
      </c>
      <c r="F1" s="2975" t="s">
        <v>3214</v>
      </c>
      <c r="G1" s="2975" t="s">
        <v>3292</v>
      </c>
      <c r="H1" s="2975" t="s">
        <v>3215</v>
      </c>
      <c r="I1" s="2975" t="s">
        <v>3216</v>
      </c>
      <c r="J1" s="2975" t="s">
        <v>3217</v>
      </c>
      <c r="K1" s="2975" t="s">
        <v>3218</v>
      </c>
      <c r="L1" s="2975" t="s">
        <v>3295</v>
      </c>
      <c r="M1" s="2975" t="s">
        <v>3296</v>
      </c>
      <c r="N1" s="2975" t="s">
        <v>3219</v>
      </c>
      <c r="O1" s="2975" t="s">
        <v>3220</v>
      </c>
      <c r="P1" s="2975" t="s">
        <v>3221</v>
      </c>
      <c r="Q1" s="2976" t="s">
        <v>3293</v>
      </c>
    </row>
    <row r="2" spans="1:17">
      <c r="A2" s="2974" t="s">
        <v>3222</v>
      </c>
      <c r="B2" s="2974" t="s">
        <v>3223</v>
      </c>
      <c r="C2" s="2974" t="s">
        <v>3224</v>
      </c>
      <c r="D2" s="2974">
        <v>49433</v>
      </c>
      <c r="E2" s="2974">
        <v>108752.6</v>
      </c>
      <c r="F2" s="2974" t="s">
        <v>3225</v>
      </c>
      <c r="G2" s="2974">
        <f>ROUND(E2/D2,2)</f>
        <v>2.2000000000000002</v>
      </c>
      <c r="H2" s="2974" t="s">
        <v>3226</v>
      </c>
      <c r="I2" s="2974" t="s">
        <v>3227</v>
      </c>
      <c r="J2" s="2974">
        <v>11527.78</v>
      </c>
      <c r="K2" s="2974">
        <v>11527.78</v>
      </c>
      <c r="L2" s="2974">
        <v>1060</v>
      </c>
      <c r="M2" s="2974">
        <f>ROUND(J2/E2*10000,0)</f>
        <v>1060</v>
      </c>
      <c r="N2" s="2974">
        <v>0</v>
      </c>
      <c r="O2" s="2974" t="s">
        <v>3228</v>
      </c>
      <c r="P2" s="2974" t="s">
        <v>3229</v>
      </c>
    </row>
    <row r="3" spans="1:17">
      <c r="A3" s="2974" t="s">
        <v>3230</v>
      </c>
      <c r="B3" s="2974" t="s">
        <v>3223</v>
      </c>
      <c r="C3" s="2974" t="s">
        <v>3224</v>
      </c>
      <c r="D3" s="2974">
        <v>36340</v>
      </c>
      <c r="E3" s="2974">
        <v>79948</v>
      </c>
      <c r="F3" s="2974" t="s">
        <v>3225</v>
      </c>
      <c r="G3" s="2974">
        <f t="shared" ref="G3:G19" si="0">ROUND(E3/D3,2)</f>
        <v>2.2000000000000002</v>
      </c>
      <c r="H3" s="2974" t="s">
        <v>3226</v>
      </c>
      <c r="I3" s="2974" t="s">
        <v>3231</v>
      </c>
      <c r="J3" s="2974">
        <v>80587.58</v>
      </c>
      <c r="K3" s="2974">
        <v>105211.6</v>
      </c>
      <c r="L3" s="2974">
        <v>13160</v>
      </c>
      <c r="M3" s="2974">
        <f t="shared" ref="M3:M19" si="1">ROUND(J3/E3*10000,0)</f>
        <v>10080</v>
      </c>
      <c r="N3" s="2974">
        <v>30.56</v>
      </c>
      <c r="O3" s="2974" t="s">
        <v>3232</v>
      </c>
      <c r="P3" s="2974" t="s">
        <v>3233</v>
      </c>
    </row>
    <row r="4" spans="1:17">
      <c r="A4" s="2974" t="s">
        <v>3234</v>
      </c>
      <c r="B4" s="2974" t="s">
        <v>3223</v>
      </c>
      <c r="C4" s="2974" t="s">
        <v>3224</v>
      </c>
      <c r="D4" s="2974">
        <v>43850</v>
      </c>
      <c r="E4" s="2974">
        <v>107432.5</v>
      </c>
      <c r="F4" s="2974" t="s">
        <v>3235</v>
      </c>
      <c r="G4" s="2974">
        <f t="shared" si="0"/>
        <v>2.4500000000000002</v>
      </c>
      <c r="H4" s="2974" t="s">
        <v>3226</v>
      </c>
      <c r="I4" s="2974" t="s">
        <v>3236</v>
      </c>
      <c r="J4" s="2974">
        <v>118820.39</v>
      </c>
      <c r="K4" s="2974">
        <v>137513.60000000001</v>
      </c>
      <c r="L4" s="2974">
        <v>12800</v>
      </c>
      <c r="M4" s="2974">
        <f t="shared" si="1"/>
        <v>11060</v>
      </c>
      <c r="N4" s="2974">
        <v>15.73</v>
      </c>
      <c r="O4" s="2974" t="s">
        <v>3237</v>
      </c>
      <c r="P4" s="2974" t="s">
        <v>3233</v>
      </c>
    </row>
    <row r="5" spans="1:17">
      <c r="A5" s="2974" t="s">
        <v>3238</v>
      </c>
      <c r="B5" s="2974" t="s">
        <v>3223</v>
      </c>
      <c r="C5" s="2974" t="s">
        <v>3224</v>
      </c>
      <c r="D5" s="2974">
        <v>37998</v>
      </c>
      <c r="E5" s="2974">
        <v>68396.399999999994</v>
      </c>
      <c r="F5" s="2974" t="s">
        <v>3239</v>
      </c>
      <c r="G5" s="2974">
        <f t="shared" si="0"/>
        <v>1.8</v>
      </c>
      <c r="H5" s="2974" t="s">
        <v>3226</v>
      </c>
      <c r="I5" s="2974" t="s">
        <v>3236</v>
      </c>
      <c r="J5" s="2974">
        <v>25572.65</v>
      </c>
      <c r="K5" s="2974">
        <v>25572.65</v>
      </c>
      <c r="L5" s="2974">
        <v>3738.88</v>
      </c>
      <c r="M5" s="2974">
        <f t="shared" si="1"/>
        <v>3739</v>
      </c>
      <c r="N5" s="2974">
        <v>0</v>
      </c>
      <c r="O5" s="2974" t="s">
        <v>3240</v>
      </c>
      <c r="P5" s="2974" t="s">
        <v>3233</v>
      </c>
    </row>
    <row r="6" spans="1:17">
      <c r="A6" s="2974" t="s">
        <v>3241</v>
      </c>
      <c r="B6" s="2974" t="s">
        <v>3223</v>
      </c>
      <c r="C6" s="2974" t="s">
        <v>3224</v>
      </c>
      <c r="D6" s="2974">
        <v>41424</v>
      </c>
      <c r="E6" s="2974">
        <v>66278.399999999994</v>
      </c>
      <c r="F6" s="2974" t="s">
        <v>3242</v>
      </c>
      <c r="G6" s="2974">
        <f t="shared" si="0"/>
        <v>1.6</v>
      </c>
      <c r="H6" s="2974" t="s">
        <v>3226</v>
      </c>
      <c r="I6" s="2974" t="s">
        <v>3243</v>
      </c>
      <c r="J6" s="2974">
        <v>44075.13</v>
      </c>
      <c r="K6" s="2974">
        <v>56402.91</v>
      </c>
      <c r="L6" s="2974">
        <v>8510</v>
      </c>
      <c r="M6" s="2974">
        <f t="shared" si="1"/>
        <v>6650</v>
      </c>
      <c r="N6" s="2974">
        <v>27.97</v>
      </c>
      <c r="O6" s="2974" t="s">
        <v>3244</v>
      </c>
      <c r="P6" s="2974" t="s">
        <v>3229</v>
      </c>
    </row>
    <row r="7" spans="1:17" s="2980" customFormat="1">
      <c r="A7" s="2979" t="s">
        <v>3245</v>
      </c>
      <c r="B7" s="2979" t="s">
        <v>3223</v>
      </c>
      <c r="C7" s="2979" t="s">
        <v>3224</v>
      </c>
      <c r="D7" s="2979">
        <v>105666</v>
      </c>
      <c r="E7" s="2979">
        <v>211332</v>
      </c>
      <c r="F7" s="2979" t="s">
        <v>3246</v>
      </c>
      <c r="G7" s="2979">
        <f t="shared" si="0"/>
        <v>2</v>
      </c>
      <c r="H7" s="2979" t="s">
        <v>3226</v>
      </c>
      <c r="I7" s="2979" t="s">
        <v>3243</v>
      </c>
      <c r="J7" s="2979">
        <v>98269.38</v>
      </c>
      <c r="K7" s="2979">
        <v>99960.03</v>
      </c>
      <c r="L7" s="2979">
        <v>4730</v>
      </c>
      <c r="M7" s="2974">
        <f t="shared" si="1"/>
        <v>4650</v>
      </c>
      <c r="N7" s="2979">
        <v>1.72</v>
      </c>
      <c r="O7" s="2979" t="s">
        <v>3247</v>
      </c>
      <c r="P7" s="2979" t="s">
        <v>3248</v>
      </c>
    </row>
    <row r="8" spans="1:17">
      <c r="A8" s="2974" t="s">
        <v>3249</v>
      </c>
      <c r="B8" s="2974" t="s">
        <v>3223</v>
      </c>
      <c r="C8" s="2974" t="s">
        <v>3224</v>
      </c>
      <c r="D8" s="2974">
        <v>21427</v>
      </c>
      <c r="E8" s="2974">
        <v>53567.5</v>
      </c>
      <c r="F8" s="2974" t="s">
        <v>3250</v>
      </c>
      <c r="G8" s="2974">
        <f t="shared" si="0"/>
        <v>2.5</v>
      </c>
      <c r="H8" s="2974" t="s">
        <v>3226</v>
      </c>
      <c r="I8" s="2974" t="s">
        <v>3251</v>
      </c>
      <c r="J8" s="2974">
        <v>37068.699999999997</v>
      </c>
      <c r="K8" s="2974">
        <v>66959.38</v>
      </c>
      <c r="L8" s="2974">
        <v>12500</v>
      </c>
      <c r="M8" s="2974">
        <f t="shared" si="1"/>
        <v>6920</v>
      </c>
      <c r="N8" s="2974">
        <v>80.64</v>
      </c>
      <c r="O8" s="2974" t="s">
        <v>3252</v>
      </c>
      <c r="P8" s="2974" t="s">
        <v>3233</v>
      </c>
    </row>
    <row r="9" spans="1:17">
      <c r="A9" s="2974" t="s">
        <v>3253</v>
      </c>
      <c r="B9" s="2974" t="s">
        <v>3223</v>
      </c>
      <c r="C9" s="2974" t="s">
        <v>3254</v>
      </c>
      <c r="D9" s="2974">
        <v>79956</v>
      </c>
      <c r="E9" s="2974">
        <v>175903.2</v>
      </c>
      <c r="F9" s="2974" t="s">
        <v>3255</v>
      </c>
      <c r="G9" s="2974">
        <f t="shared" si="0"/>
        <v>2.2000000000000002</v>
      </c>
      <c r="H9" s="2974" t="s">
        <v>3226</v>
      </c>
      <c r="I9" s="2974" t="s">
        <v>3256</v>
      </c>
      <c r="J9" s="2974">
        <v>68602.25</v>
      </c>
      <c r="K9" s="2974">
        <v>99209.41</v>
      </c>
      <c r="L9" s="2974">
        <v>5640</v>
      </c>
      <c r="M9" s="2974">
        <f t="shared" si="1"/>
        <v>3900</v>
      </c>
      <c r="N9" s="2974">
        <v>44.62</v>
      </c>
      <c r="O9" s="2974" t="s">
        <v>3257</v>
      </c>
      <c r="P9" s="2974" t="s">
        <v>3229</v>
      </c>
    </row>
    <row r="10" spans="1:17">
      <c r="A10" s="2974" t="s">
        <v>3258</v>
      </c>
      <c r="B10" s="2974" t="s">
        <v>3223</v>
      </c>
      <c r="C10" s="2974" t="s">
        <v>3224</v>
      </c>
      <c r="D10" s="2974">
        <v>45108</v>
      </c>
      <c r="E10" s="2974">
        <v>81194.399999999994</v>
      </c>
      <c r="F10" s="2974" t="s">
        <v>3259</v>
      </c>
      <c r="G10" s="2974">
        <f t="shared" si="0"/>
        <v>1.8</v>
      </c>
      <c r="H10" s="2974" t="s">
        <v>3226</v>
      </c>
      <c r="I10" s="2974" t="s">
        <v>3260</v>
      </c>
      <c r="J10" s="2974">
        <v>77134.67</v>
      </c>
      <c r="K10" s="2974">
        <v>125039.39</v>
      </c>
      <c r="L10" s="2974">
        <v>15400</v>
      </c>
      <c r="M10" s="2974">
        <f t="shared" si="1"/>
        <v>9500</v>
      </c>
      <c r="N10" s="2974">
        <v>62.11</v>
      </c>
      <c r="O10" s="2974" t="s">
        <v>3261</v>
      </c>
      <c r="P10" s="2974" t="s">
        <v>3233</v>
      </c>
    </row>
    <row r="11" spans="1:17">
      <c r="A11" s="2974" t="s">
        <v>3262</v>
      </c>
      <c r="B11" s="2974" t="s">
        <v>3223</v>
      </c>
      <c r="C11" s="2974" t="s">
        <v>3224</v>
      </c>
      <c r="D11" s="2974">
        <v>87392</v>
      </c>
      <c r="E11" s="2974">
        <v>174784</v>
      </c>
      <c r="F11" s="2974" t="s">
        <v>3263</v>
      </c>
      <c r="G11" s="2974">
        <f t="shared" si="0"/>
        <v>2</v>
      </c>
      <c r="H11" s="2974" t="s">
        <v>3226</v>
      </c>
      <c r="I11" s="2974" t="s">
        <v>3264</v>
      </c>
      <c r="J11" s="2974">
        <v>60999.62</v>
      </c>
      <c r="K11" s="2974">
        <v>121999.19</v>
      </c>
      <c r="L11" s="2974">
        <v>6980</v>
      </c>
      <c r="M11" s="2974">
        <f t="shared" si="1"/>
        <v>3490</v>
      </c>
      <c r="N11" s="2974">
        <v>100</v>
      </c>
      <c r="O11" s="2974" t="s">
        <v>3265</v>
      </c>
      <c r="P11" s="2974" t="s">
        <v>3229</v>
      </c>
    </row>
    <row r="12" spans="1:17" s="2980" customFormat="1">
      <c r="A12" s="2979" t="s">
        <v>3266</v>
      </c>
      <c r="B12" s="2979" t="s">
        <v>3223</v>
      </c>
      <c r="C12" s="2979" t="s">
        <v>3254</v>
      </c>
      <c r="D12" s="2979">
        <v>106266</v>
      </c>
      <c r="E12" s="2979">
        <v>223158.6</v>
      </c>
      <c r="F12" s="2979" t="s">
        <v>3267</v>
      </c>
      <c r="G12" s="2979">
        <f t="shared" si="0"/>
        <v>2.1</v>
      </c>
      <c r="H12" s="2979" t="s">
        <v>3226</v>
      </c>
      <c r="I12" s="2979" t="s">
        <v>3268</v>
      </c>
      <c r="J12" s="2979">
        <v>47644.36</v>
      </c>
      <c r="K12" s="2979">
        <v>87701.33</v>
      </c>
      <c r="L12" s="2979">
        <v>3930</v>
      </c>
      <c r="M12" s="2974">
        <f t="shared" si="1"/>
        <v>2135</v>
      </c>
      <c r="N12" s="2979">
        <v>84.07</v>
      </c>
      <c r="O12" s="2979" t="s">
        <v>3269</v>
      </c>
      <c r="P12" s="2979" t="s">
        <v>3248</v>
      </c>
    </row>
    <row r="13" spans="1:17" s="2980" customFormat="1">
      <c r="A13" s="2979" t="s">
        <v>3294</v>
      </c>
      <c r="B13" s="2979" t="s">
        <v>3223</v>
      </c>
      <c r="C13" s="2979" t="s">
        <v>3224</v>
      </c>
      <c r="D13" s="2979">
        <v>133854</v>
      </c>
      <c r="E13" s="2979">
        <v>281093.40000000002</v>
      </c>
      <c r="F13" s="2979" t="s">
        <v>3270</v>
      </c>
      <c r="G13" s="2979">
        <f t="shared" si="0"/>
        <v>2.1</v>
      </c>
      <c r="H13" s="2979" t="s">
        <v>3226</v>
      </c>
      <c r="I13" s="2979" t="s">
        <v>3271</v>
      </c>
      <c r="J13" s="2979">
        <v>61278.36</v>
      </c>
      <c r="K13" s="2979">
        <v>122556.69</v>
      </c>
      <c r="L13" s="2979">
        <v>4360</v>
      </c>
      <c r="M13" s="2974">
        <f t="shared" si="1"/>
        <v>2180</v>
      </c>
      <c r="N13" s="2979">
        <v>100</v>
      </c>
      <c r="O13" s="2979" t="s">
        <v>3272</v>
      </c>
      <c r="P13" s="2979" t="s">
        <v>3248</v>
      </c>
      <c r="Q13" s="2980">
        <v>5900</v>
      </c>
    </row>
    <row r="14" spans="1:17" s="2978" customFormat="1">
      <c r="A14" s="2977" t="s">
        <v>3273</v>
      </c>
      <c r="B14" s="2977" t="s">
        <v>3223</v>
      </c>
      <c r="C14" s="2977" t="s">
        <v>3224</v>
      </c>
      <c r="D14" s="2977">
        <v>97645</v>
      </c>
      <c r="E14" s="2977">
        <v>205054.5</v>
      </c>
      <c r="F14" s="2977" t="s">
        <v>3274</v>
      </c>
      <c r="G14" s="2977">
        <f t="shared" si="0"/>
        <v>2.1</v>
      </c>
      <c r="H14" s="2977" t="s">
        <v>3226</v>
      </c>
      <c r="I14" s="2977" t="s">
        <v>3271</v>
      </c>
      <c r="J14" s="2977">
        <v>40600.79</v>
      </c>
      <c r="K14" s="2977">
        <v>71933.11</v>
      </c>
      <c r="L14" s="2977">
        <v>3508</v>
      </c>
      <c r="M14" s="2974">
        <f t="shared" si="1"/>
        <v>1980</v>
      </c>
      <c r="N14" s="2977">
        <v>77.17</v>
      </c>
      <c r="O14" s="2977" t="s">
        <v>3275</v>
      </c>
      <c r="P14" s="2977" t="s">
        <v>3248</v>
      </c>
    </row>
    <row r="15" spans="1:17">
      <c r="A15" s="2974" t="s">
        <v>3276</v>
      </c>
      <c r="B15" s="2974" t="s">
        <v>3223</v>
      </c>
      <c r="C15" s="2974" t="s">
        <v>3224</v>
      </c>
      <c r="D15" s="2974">
        <v>25338</v>
      </c>
      <c r="E15" s="2974">
        <v>55996.98</v>
      </c>
      <c r="F15" s="2974" t="s">
        <v>3277</v>
      </c>
      <c r="G15" s="2974">
        <f t="shared" si="0"/>
        <v>2.21</v>
      </c>
      <c r="H15" s="2974" t="s">
        <v>3226</v>
      </c>
      <c r="I15" s="2974" t="s">
        <v>3271</v>
      </c>
      <c r="J15" s="2974">
        <v>10695.42</v>
      </c>
      <c r="K15" s="2974">
        <v>15959.13</v>
      </c>
      <c r="L15" s="2974">
        <v>2850</v>
      </c>
      <c r="M15" s="2974">
        <f t="shared" si="1"/>
        <v>1910</v>
      </c>
      <c r="N15" s="2974">
        <v>49.21</v>
      </c>
      <c r="O15" s="2974" t="s">
        <v>3278</v>
      </c>
      <c r="P15" s="2974" t="s">
        <v>3233</v>
      </c>
    </row>
    <row r="16" spans="1:17" s="2978" customFormat="1">
      <c r="A16" s="2977" t="s">
        <v>3279</v>
      </c>
      <c r="B16" s="2977" t="s">
        <v>3223</v>
      </c>
      <c r="C16" s="2977" t="s">
        <v>3224</v>
      </c>
      <c r="D16" s="2977">
        <v>133702</v>
      </c>
      <c r="E16" s="2977">
        <v>240663.6</v>
      </c>
      <c r="F16" s="2977" t="s">
        <v>3280</v>
      </c>
      <c r="G16" s="2977">
        <f t="shared" si="0"/>
        <v>1.8</v>
      </c>
      <c r="H16" s="2977" t="s">
        <v>3226</v>
      </c>
      <c r="I16" s="2977" t="s">
        <v>3271</v>
      </c>
      <c r="J16" s="2977">
        <v>52224</v>
      </c>
      <c r="K16" s="2977">
        <v>104448</v>
      </c>
      <c r="L16" s="2977">
        <v>4340</v>
      </c>
      <c r="M16" s="2974">
        <f t="shared" si="1"/>
        <v>2170</v>
      </c>
      <c r="N16" s="2977">
        <v>100</v>
      </c>
      <c r="O16" s="2977" t="s">
        <v>3275</v>
      </c>
      <c r="P16" s="2977" t="s">
        <v>3248</v>
      </c>
    </row>
    <row r="17" spans="1:16">
      <c r="A17" s="2974" t="s">
        <v>3281</v>
      </c>
      <c r="B17" s="2974" t="s">
        <v>3223</v>
      </c>
      <c r="C17" s="2974" t="s">
        <v>3224</v>
      </c>
      <c r="D17" s="2974">
        <v>99174</v>
      </c>
      <c r="E17" s="2974">
        <v>100165.7</v>
      </c>
      <c r="F17" s="2974" t="s">
        <v>3282</v>
      </c>
      <c r="G17" s="2974">
        <f t="shared" si="0"/>
        <v>1.01</v>
      </c>
      <c r="H17" s="2974" t="s">
        <v>3226</v>
      </c>
      <c r="I17" s="2974" t="s">
        <v>3283</v>
      </c>
      <c r="J17" s="2974">
        <v>56693.8</v>
      </c>
      <c r="K17" s="2974">
        <v>113387.6</v>
      </c>
      <c r="L17" s="2974">
        <v>11320</v>
      </c>
      <c r="M17" s="2974">
        <f t="shared" si="1"/>
        <v>5660</v>
      </c>
      <c r="N17" s="2974">
        <v>100</v>
      </c>
      <c r="O17" s="2974" t="s">
        <v>3272</v>
      </c>
      <c r="P17" s="2974" t="s">
        <v>3248</v>
      </c>
    </row>
    <row r="18" spans="1:16">
      <c r="A18" s="2974" t="s">
        <v>3284</v>
      </c>
      <c r="B18" s="2974" t="s">
        <v>3223</v>
      </c>
      <c r="C18" s="2974" t="s">
        <v>3224</v>
      </c>
      <c r="D18" s="2974">
        <v>47663</v>
      </c>
      <c r="E18" s="2974">
        <v>50046.15</v>
      </c>
      <c r="F18" s="2974" t="s">
        <v>3285</v>
      </c>
      <c r="G18" s="2974">
        <f t="shared" si="0"/>
        <v>1.05</v>
      </c>
      <c r="H18" s="2974" t="s">
        <v>3226</v>
      </c>
      <c r="I18" s="2974" t="s">
        <v>3286</v>
      </c>
      <c r="J18" s="2974">
        <v>22520.77</v>
      </c>
      <c r="K18" s="2974">
        <v>41688.44</v>
      </c>
      <c r="L18" s="2974">
        <v>8330</v>
      </c>
      <c r="M18" s="2974">
        <f t="shared" si="1"/>
        <v>4500</v>
      </c>
      <c r="N18" s="2974">
        <v>85.11</v>
      </c>
      <c r="O18" s="2974" t="s">
        <v>3287</v>
      </c>
      <c r="P18" s="2974" t="s">
        <v>3229</v>
      </c>
    </row>
    <row r="19" spans="1:16">
      <c r="A19" s="2974" t="s">
        <v>3288</v>
      </c>
      <c r="B19" s="2974" t="s">
        <v>3223</v>
      </c>
      <c r="C19" s="2974" t="s">
        <v>3224</v>
      </c>
      <c r="D19" s="2974">
        <v>17950</v>
      </c>
      <c r="E19" s="2974">
        <v>21540</v>
      </c>
      <c r="F19" s="2974" t="s">
        <v>3289</v>
      </c>
      <c r="G19" s="2974">
        <f t="shared" si="0"/>
        <v>1.2</v>
      </c>
      <c r="H19" s="2974" t="s">
        <v>3226</v>
      </c>
      <c r="I19" s="2974" t="s">
        <v>3290</v>
      </c>
      <c r="J19" s="2974">
        <v>2670.96</v>
      </c>
      <c r="K19" s="2974">
        <v>2670.96</v>
      </c>
      <c r="L19" s="2974">
        <v>1240</v>
      </c>
      <c r="M19" s="2974">
        <f t="shared" si="1"/>
        <v>1240</v>
      </c>
      <c r="N19" s="2974">
        <v>0</v>
      </c>
      <c r="O19" s="2974" t="s">
        <v>3291</v>
      </c>
      <c r="P19" s="2974" t="s">
        <v>3248</v>
      </c>
    </row>
    <row r="24" spans="1:16">
      <c r="I24" s="2973">
        <v>33826</v>
      </c>
    </row>
    <row r="25" spans="1:16">
      <c r="I25" s="2973">
        <f>I24-60000</f>
        <v>-26174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D30" sqref="D30"/>
    </sheetView>
  </sheetViews>
  <sheetFormatPr defaultRowHeight="13.5"/>
  <cols>
    <col min="1" max="3" width="12.625" customWidth="1"/>
    <col min="4" max="5" width="15.625" customWidth="1"/>
  </cols>
  <sheetData>
    <row r="1" spans="1:6" ht="15.75">
      <c r="A1" s="3288" t="s">
        <v>3678</v>
      </c>
      <c r="B1" s="3288"/>
      <c r="C1" s="3288"/>
    </row>
    <row r="2" spans="1:6" ht="14.25">
      <c r="A2" s="3046"/>
      <c r="B2" s="3046" t="s">
        <v>3670</v>
      </c>
      <c r="C2" s="3046" t="s">
        <v>3671</v>
      </c>
      <c r="D2" s="2949" t="s">
        <v>3697</v>
      </c>
      <c r="E2" s="2949" t="s">
        <v>3696</v>
      </c>
      <c r="F2" s="3050" t="s">
        <v>3698</v>
      </c>
    </row>
    <row r="3" spans="1:6" ht="14.25">
      <c r="A3" s="3046" t="s">
        <v>3672</v>
      </c>
      <c r="B3" s="3046">
        <v>197</v>
      </c>
      <c r="C3" s="3046">
        <v>11441</v>
      </c>
      <c r="E3">
        <f>假设开发法!C6</f>
        <v>10943</v>
      </c>
      <c r="F3" s="3049">
        <f>ROUND(E3/C3,2)</f>
        <v>0.96</v>
      </c>
    </row>
    <row r="4" spans="1:6" ht="14.25">
      <c r="A4" s="3046" t="s">
        <v>3673</v>
      </c>
      <c r="B4" s="3046">
        <v>27</v>
      </c>
      <c r="C4" s="3046">
        <v>19344</v>
      </c>
      <c r="D4" s="3049">
        <f>ROUND(C4/$C$3-1,2)</f>
        <v>0.69</v>
      </c>
      <c r="E4">
        <f>[1]假设开发法!$D$6</f>
        <v>17509</v>
      </c>
      <c r="F4" s="3049">
        <f t="shared" ref="F4:F6" si="0">ROUND(E4/C4,2)</f>
        <v>0.91</v>
      </c>
    </row>
    <row r="5" spans="1:6" ht="14.25">
      <c r="A5" s="3046" t="s">
        <v>3674</v>
      </c>
      <c r="B5" s="3046">
        <v>62</v>
      </c>
      <c r="C5" s="3046">
        <v>17684</v>
      </c>
      <c r="D5" s="3049">
        <f t="shared" ref="D5:D7" si="1">ROUND(C5/$C$3-1,2)</f>
        <v>0.55000000000000004</v>
      </c>
      <c r="E5">
        <f>[1]假设开发法!$E$6</f>
        <v>15320</v>
      </c>
      <c r="F5" s="3049">
        <f t="shared" si="0"/>
        <v>0.87</v>
      </c>
    </row>
    <row r="6" spans="1:6" ht="14.25">
      <c r="A6" s="3046" t="s">
        <v>3675</v>
      </c>
      <c r="B6" s="3046">
        <v>22</v>
      </c>
      <c r="C6" s="3046">
        <v>14568</v>
      </c>
      <c r="D6" s="3049">
        <f t="shared" si="1"/>
        <v>0.27</v>
      </c>
      <c r="E6">
        <f>[1]假设开发法!$F$6</f>
        <v>13132</v>
      </c>
      <c r="F6" s="3049">
        <f t="shared" si="0"/>
        <v>0.9</v>
      </c>
    </row>
    <row r="7" spans="1:6" ht="14.25">
      <c r="A7" s="3046" t="s">
        <v>3676</v>
      </c>
      <c r="B7" s="3046">
        <v>74</v>
      </c>
      <c r="C7" s="3046">
        <v>13798</v>
      </c>
      <c r="D7" s="3049">
        <f t="shared" si="1"/>
        <v>0.21</v>
      </c>
      <c r="E7">
        <f>假设开发法!G6</f>
        <v>12960</v>
      </c>
      <c r="F7" s="3049">
        <f>ROUND(E7/C7,2)</f>
        <v>0.94</v>
      </c>
    </row>
    <row r="8" spans="1:6" ht="14.25">
      <c r="A8" s="3046" t="s">
        <v>3677</v>
      </c>
      <c r="B8" s="3046">
        <v>382</v>
      </c>
      <c r="C8" s="3046">
        <v>14213</v>
      </c>
    </row>
    <row r="11" spans="1:6">
      <c r="A11" s="3289" t="s">
        <v>3693</v>
      </c>
      <c r="B11" s="3290"/>
      <c r="C11" s="3290"/>
      <c r="D11" s="3290"/>
      <c r="E11" s="3290"/>
    </row>
    <row r="12" spans="1:6">
      <c r="A12" s="3047"/>
      <c r="B12" s="3047" t="s">
        <v>3679</v>
      </c>
      <c r="C12" s="3047" t="s">
        <v>3680</v>
      </c>
      <c r="D12" s="3047" t="s">
        <v>3681</v>
      </c>
      <c r="E12" s="3047" t="s">
        <v>3682</v>
      </c>
    </row>
    <row r="13" spans="1:6" ht="54">
      <c r="A13" s="3048" t="s">
        <v>3683</v>
      </c>
      <c r="B13" s="3048" t="s">
        <v>3684</v>
      </c>
      <c r="C13" s="3048"/>
      <c r="D13" s="3048" t="s">
        <v>3685</v>
      </c>
      <c r="E13" s="3048" t="s">
        <v>3686</v>
      </c>
    </row>
    <row r="14" spans="1:6" ht="27">
      <c r="A14" s="3048" t="s">
        <v>3687</v>
      </c>
      <c r="B14" s="3048" t="s">
        <v>3688</v>
      </c>
      <c r="C14" s="3048"/>
      <c r="D14" s="3048" t="s">
        <v>3686</v>
      </c>
      <c r="E14" s="3048" t="s">
        <v>3689</v>
      </c>
    </row>
    <row r="15" spans="1:6">
      <c r="A15" s="3048" t="s">
        <v>3690</v>
      </c>
      <c r="B15" s="3048"/>
      <c r="C15" s="3048"/>
      <c r="D15" s="3048" t="s">
        <v>3691</v>
      </c>
      <c r="E15" s="3048" t="s">
        <v>3692</v>
      </c>
    </row>
    <row r="17" spans="1:5">
      <c r="A17" s="3289" t="s">
        <v>3694</v>
      </c>
      <c r="B17" s="3290"/>
      <c r="C17" s="3290"/>
      <c r="D17" s="3290"/>
      <c r="E17" s="3290"/>
    </row>
    <row r="18" spans="1:5">
      <c r="A18" s="3047"/>
      <c r="B18" s="3047" t="s">
        <v>3679</v>
      </c>
      <c r="C18" s="3047" t="s">
        <v>3680</v>
      </c>
      <c r="D18" s="3047" t="s">
        <v>3681</v>
      </c>
      <c r="E18" s="3047" t="s">
        <v>3682</v>
      </c>
    </row>
    <row r="19" spans="1:5">
      <c r="A19" s="3048" t="s">
        <v>3683</v>
      </c>
      <c r="B19" s="3048">
        <v>22000</v>
      </c>
      <c r="C19" s="3048"/>
      <c r="D19" s="3048">
        <v>13500</v>
      </c>
      <c r="E19" s="3048">
        <v>12000</v>
      </c>
    </row>
    <row r="20" spans="1:5">
      <c r="A20" s="3048" t="s">
        <v>3687</v>
      </c>
      <c r="B20" s="3048">
        <v>16000</v>
      </c>
      <c r="C20" s="3048"/>
      <c r="D20" s="3048">
        <v>12000</v>
      </c>
      <c r="E20" s="3048">
        <v>10500</v>
      </c>
    </row>
    <row r="21" spans="1:5">
      <c r="A21" s="3048" t="s">
        <v>3690</v>
      </c>
      <c r="B21" s="3048"/>
      <c r="C21" s="3048"/>
      <c r="D21" s="3048">
        <v>13000</v>
      </c>
      <c r="E21" s="3048">
        <v>10000</v>
      </c>
    </row>
  </sheetData>
  <mergeCells count="3">
    <mergeCell ref="A1:C1"/>
    <mergeCell ref="A11:E11"/>
    <mergeCell ref="A17:E1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6" hidden="1" customWidth="1"/>
    <col min="6" max="6" width="11.125" hidden="1" customWidth="1"/>
    <col min="7" max="7" width="11.625" style="2967" hidden="1" customWidth="1"/>
    <col min="8" max="8" width="16.75" style="2967" hidden="1" customWidth="1"/>
    <col min="9" max="9" width="14.25" style="2967" hidden="1" customWidth="1"/>
    <col min="10" max="10" width="6.5" customWidth="1"/>
    <col min="11" max="11" width="13.25" style="2968" customWidth="1"/>
    <col min="12" max="12" width="10.5" bestFit="1" customWidth="1"/>
    <col min="14" max="14" width="11.625" bestFit="1" customWidth="1"/>
    <col min="17" max="17" width="11.625" bestFit="1" customWidth="1"/>
  </cols>
  <sheetData>
    <row r="1" spans="1:17" ht="17.25" customHeight="1">
      <c r="A1" s="2994" t="s">
        <v>3355</v>
      </c>
      <c r="B1" s="2955" t="s">
        <v>3085</v>
      </c>
      <c r="C1" s="2955" t="s">
        <v>3086</v>
      </c>
      <c r="D1" s="2955" t="s">
        <v>3087</v>
      </c>
      <c r="E1" s="2956" t="s">
        <v>3088</v>
      </c>
      <c r="F1" s="2955" t="s">
        <v>3089</v>
      </c>
      <c r="G1" s="2957" t="s">
        <v>3090</v>
      </c>
      <c r="H1" s="2957" t="s">
        <v>3091</v>
      </c>
      <c r="I1" s="2957" t="s">
        <v>3092</v>
      </c>
      <c r="J1" s="2955" t="s">
        <v>3093</v>
      </c>
      <c r="K1" s="2995" t="s">
        <v>3094</v>
      </c>
    </row>
    <row r="2" spans="1:17" ht="17.25" customHeight="1">
      <c r="A2" s="2955">
        <v>1</v>
      </c>
      <c r="B2" s="2955" t="s">
        <v>3095</v>
      </c>
      <c r="C2" s="2955" t="s">
        <v>3096</v>
      </c>
      <c r="D2" s="2955">
        <v>100</v>
      </c>
      <c r="E2" s="2956">
        <v>11466.69</v>
      </c>
      <c r="F2" s="2955">
        <v>65</v>
      </c>
      <c r="G2" s="2957">
        <v>7246.78</v>
      </c>
      <c r="H2" s="2957">
        <v>85424582</v>
      </c>
      <c r="I2" s="2957">
        <f>H2/G2</f>
        <v>11787.936435216745</v>
      </c>
      <c r="J2" s="2955">
        <v>35</v>
      </c>
      <c r="K2" s="2995">
        <v>4219.91</v>
      </c>
    </row>
    <row r="3" spans="1:17" ht="17.25" customHeight="1">
      <c r="A3" s="2955">
        <v>2</v>
      </c>
      <c r="B3" s="2955" t="s">
        <v>3095</v>
      </c>
      <c r="C3" s="2955" t="s">
        <v>3097</v>
      </c>
      <c r="D3" s="2955">
        <v>132</v>
      </c>
      <c r="E3" s="2956">
        <v>15450.07</v>
      </c>
      <c r="F3" s="2955"/>
      <c r="G3" s="2957"/>
      <c r="H3" s="2957"/>
      <c r="I3" s="2957"/>
      <c r="J3" s="2955">
        <v>132</v>
      </c>
      <c r="K3" s="2995">
        <v>15450.07</v>
      </c>
    </row>
    <row r="4" spans="1:17" ht="17.25" customHeight="1">
      <c r="A4" s="2955">
        <v>3</v>
      </c>
      <c r="B4" s="2955" t="s">
        <v>3098</v>
      </c>
      <c r="C4" s="2955" t="s">
        <v>3099</v>
      </c>
      <c r="D4" s="2955">
        <v>132</v>
      </c>
      <c r="E4" s="2956">
        <v>15450.07</v>
      </c>
      <c r="F4" s="2955">
        <v>86</v>
      </c>
      <c r="G4" s="2957">
        <v>9771.73</v>
      </c>
      <c r="H4" s="2957">
        <v>111577327</v>
      </c>
      <c r="I4" s="2957">
        <f t="shared" ref="I4:I65" si="0">H4/G4</f>
        <v>11418.380061667689</v>
      </c>
      <c r="J4" s="2955">
        <v>46</v>
      </c>
      <c r="K4" s="2995">
        <v>5678.34</v>
      </c>
    </row>
    <row r="5" spans="1:17" ht="17.25" customHeight="1">
      <c r="A5" s="2955">
        <v>4</v>
      </c>
      <c r="B5" s="2955" t="s">
        <v>3098</v>
      </c>
      <c r="C5" s="2955" t="s">
        <v>3100</v>
      </c>
      <c r="D5" s="2955">
        <v>132</v>
      </c>
      <c r="E5" s="2956">
        <v>15450.97</v>
      </c>
      <c r="F5" s="2955"/>
      <c r="G5" s="2957"/>
      <c r="H5" s="2957"/>
      <c r="I5" s="2957"/>
      <c r="J5" s="2955">
        <v>132</v>
      </c>
      <c r="K5" s="2995">
        <v>15450.97</v>
      </c>
      <c r="M5" s="2949" t="s">
        <v>3049</v>
      </c>
      <c r="N5" s="2968">
        <f>K2+K3+K4+K5+K6</f>
        <v>48462.82</v>
      </c>
      <c r="O5">
        <v>11000</v>
      </c>
      <c r="P5" s="2949" t="s">
        <v>3193</v>
      </c>
    </row>
    <row r="6" spans="1:17" ht="17.25" customHeight="1">
      <c r="A6" s="2955">
        <v>5</v>
      </c>
      <c r="B6" s="2955" t="s">
        <v>3095</v>
      </c>
      <c r="C6" s="2955" t="s">
        <v>3101</v>
      </c>
      <c r="D6" s="2955">
        <v>108</v>
      </c>
      <c r="E6" s="2956">
        <v>12671.64</v>
      </c>
      <c r="F6" s="2955">
        <v>46</v>
      </c>
      <c r="G6" s="2957">
        <v>5008.1099999999997</v>
      </c>
      <c r="H6" s="2957">
        <v>55010442</v>
      </c>
      <c r="I6" s="2957">
        <f t="shared" si="0"/>
        <v>10984.271910960422</v>
      </c>
      <c r="J6" s="2955">
        <v>62</v>
      </c>
      <c r="K6" s="2995">
        <v>7663.53</v>
      </c>
      <c r="M6" s="2949" t="s">
        <v>3182</v>
      </c>
      <c r="N6" s="2966">
        <f>K7+K9+K39+K40+K41+K50+K51</f>
        <v>2441.4699999999993</v>
      </c>
      <c r="O6">
        <f>O7*1.2</f>
        <v>1.7999999999999998</v>
      </c>
      <c r="P6" s="2949" t="s">
        <v>3192</v>
      </c>
    </row>
    <row r="7" spans="1:17" ht="17.25" customHeight="1">
      <c r="A7" s="2955">
        <v>6</v>
      </c>
      <c r="B7" s="2955" t="s">
        <v>3102</v>
      </c>
      <c r="C7" s="2955" t="s">
        <v>3103</v>
      </c>
      <c r="D7" s="2955">
        <v>2</v>
      </c>
      <c r="E7" s="2956">
        <v>342.48</v>
      </c>
      <c r="F7" s="2955"/>
      <c r="G7" s="2957"/>
      <c r="H7" s="2957"/>
      <c r="I7" s="2957"/>
      <c r="J7" s="2955">
        <v>2</v>
      </c>
      <c r="K7" s="2995">
        <v>342.48</v>
      </c>
      <c r="M7" s="2949" t="s">
        <v>3184</v>
      </c>
      <c r="N7" s="2966">
        <f>K8+K10+K11+K12+K14+K16+K17+K18+K19+K20+K22+K24+K25+K26+K43+K47+K53+K54+K55</f>
        <v>10765.649999999998</v>
      </c>
      <c r="O7">
        <v>1.5</v>
      </c>
      <c r="P7" s="2949" t="s">
        <v>3190</v>
      </c>
    </row>
    <row r="8" spans="1:17" ht="17.25" customHeight="1">
      <c r="A8" s="2955">
        <v>7</v>
      </c>
      <c r="B8" s="2955" t="s">
        <v>3104</v>
      </c>
      <c r="C8" s="2955" t="s">
        <v>3105</v>
      </c>
      <c r="D8" s="2955">
        <v>5</v>
      </c>
      <c r="E8" s="2956">
        <v>855.58</v>
      </c>
      <c r="F8" s="2955"/>
      <c r="G8" s="2957"/>
      <c r="H8" s="2957"/>
      <c r="I8" s="2957"/>
      <c r="J8" s="2955">
        <v>5</v>
      </c>
      <c r="K8" s="2995">
        <v>855.58</v>
      </c>
      <c r="M8" s="2949" t="s">
        <v>3185</v>
      </c>
      <c r="N8" s="2966">
        <f>K56+K57+K58+K59+K60+K61+K62+K63+K64+K65</f>
        <v>11437.429999999998</v>
      </c>
      <c r="O8">
        <f>O5*1.25</f>
        <v>13750</v>
      </c>
      <c r="P8" s="2949" t="s">
        <v>3191</v>
      </c>
    </row>
    <row r="9" spans="1:17" ht="17.25" customHeight="1">
      <c r="A9" s="2955">
        <v>8</v>
      </c>
      <c r="B9" s="2955" t="s">
        <v>3106</v>
      </c>
      <c r="C9" s="2955" t="s">
        <v>3107</v>
      </c>
      <c r="D9" s="2955">
        <v>2</v>
      </c>
      <c r="E9" s="2956">
        <v>392.28</v>
      </c>
      <c r="F9" s="2955"/>
      <c r="G9" s="2957"/>
      <c r="H9" s="2957"/>
      <c r="I9" s="2957"/>
      <c r="J9" s="2955">
        <v>2</v>
      </c>
      <c r="K9" s="2995">
        <v>392.28</v>
      </c>
      <c r="M9" s="2949" t="s">
        <v>3187</v>
      </c>
      <c r="N9" s="2966">
        <f>K66+K67+K68</f>
        <v>9292.4000000000015</v>
      </c>
      <c r="O9">
        <f>O5*1.15</f>
        <v>12649.999999999998</v>
      </c>
      <c r="P9">
        <v>1.3</v>
      </c>
    </row>
    <row r="10" spans="1:17" ht="17.25" customHeight="1">
      <c r="A10" s="2955">
        <v>9</v>
      </c>
      <c r="B10" s="2955" t="s">
        <v>3108</v>
      </c>
      <c r="C10" s="2955" t="s">
        <v>3109</v>
      </c>
      <c r="D10" s="2955">
        <v>5</v>
      </c>
      <c r="E10" s="2956">
        <v>829.58</v>
      </c>
      <c r="F10" s="2955"/>
      <c r="G10" s="2957"/>
      <c r="H10" s="2957"/>
      <c r="I10" s="2957"/>
      <c r="J10" s="2955">
        <v>5</v>
      </c>
      <c r="K10" s="2995">
        <v>829.58</v>
      </c>
      <c r="M10" s="2949" t="s">
        <v>3188</v>
      </c>
      <c r="N10">
        <f>SUM(N5:N9)</f>
        <v>82399.76999999999</v>
      </c>
      <c r="Q10" s="2966">
        <f>N10</f>
        <v>82399.76999999999</v>
      </c>
    </row>
    <row r="11" spans="1:17" ht="17.25" customHeight="1">
      <c r="A11" s="2955">
        <v>10</v>
      </c>
      <c r="B11" s="2955" t="s">
        <v>3104</v>
      </c>
      <c r="C11" s="2955" t="s">
        <v>3110</v>
      </c>
      <c r="D11" s="2955">
        <v>4</v>
      </c>
      <c r="E11" s="2956">
        <v>667.61</v>
      </c>
      <c r="F11" s="2955"/>
      <c r="G11" s="2957"/>
      <c r="H11" s="2957"/>
      <c r="I11" s="2957"/>
      <c r="J11" s="2955">
        <v>4</v>
      </c>
      <c r="K11" s="2995">
        <v>667.61</v>
      </c>
      <c r="M11" s="2949" t="s">
        <v>3052</v>
      </c>
      <c r="N11" s="2966">
        <f>K70</f>
        <v>1246.24</v>
      </c>
      <c r="P11" s="2949" t="s">
        <v>3354</v>
      </c>
      <c r="Q11">
        <f>ROUND(Q10/1.5,2)</f>
        <v>54933.18</v>
      </c>
    </row>
    <row r="12" spans="1:17" ht="17.25" customHeight="1">
      <c r="A12" s="2955">
        <v>11</v>
      </c>
      <c r="B12" s="2955" t="s">
        <v>3104</v>
      </c>
      <c r="C12" s="2955" t="s">
        <v>3111</v>
      </c>
      <c r="D12" s="2955">
        <v>5</v>
      </c>
      <c r="E12" s="2956">
        <v>829.58</v>
      </c>
      <c r="F12" s="2955"/>
      <c r="G12" s="2957"/>
      <c r="H12" s="2957"/>
      <c r="I12" s="2957"/>
      <c r="J12" s="2955">
        <v>5</v>
      </c>
      <c r="K12" s="2995">
        <v>829.58</v>
      </c>
      <c r="M12" s="2949" t="s">
        <v>3189</v>
      </c>
      <c r="N12" s="2966">
        <f>K72+K73</f>
        <v>8514</v>
      </c>
    </row>
    <row r="13" spans="1:17" ht="17.25" hidden="1" customHeight="1">
      <c r="A13" s="2955">
        <v>12</v>
      </c>
      <c r="B13" s="2955" t="s">
        <v>3104</v>
      </c>
      <c r="C13" s="2955" t="s">
        <v>3112</v>
      </c>
      <c r="D13" s="2955">
        <v>4</v>
      </c>
      <c r="E13" s="2956">
        <v>666.86</v>
      </c>
      <c r="F13" s="2955">
        <v>4</v>
      </c>
      <c r="G13" s="2957">
        <v>666.86</v>
      </c>
      <c r="H13" s="2957">
        <v>12046793</v>
      </c>
      <c r="I13" s="2957">
        <f t="shared" si="0"/>
        <v>18064.950664307351</v>
      </c>
      <c r="J13" s="2955">
        <v>0</v>
      </c>
      <c r="K13" s="2995">
        <v>0</v>
      </c>
    </row>
    <row r="14" spans="1:17" ht="17.25" customHeight="1">
      <c r="A14" s="2955">
        <v>13</v>
      </c>
      <c r="B14" s="2955" t="s">
        <v>3104</v>
      </c>
      <c r="C14" s="2955" t="s">
        <v>3113</v>
      </c>
      <c r="D14" s="2955">
        <v>5</v>
      </c>
      <c r="E14" s="2956">
        <v>829.58</v>
      </c>
      <c r="F14" s="2955"/>
      <c r="G14" s="2957"/>
      <c r="H14" s="2957"/>
      <c r="I14" s="2957"/>
      <c r="J14" s="2955">
        <v>5</v>
      </c>
      <c r="K14" s="2995">
        <v>829.58</v>
      </c>
      <c r="O14">
        <v>30000</v>
      </c>
    </row>
    <row r="15" spans="1:17" ht="17.25" hidden="1" customHeight="1">
      <c r="A15" s="2955">
        <v>14</v>
      </c>
      <c r="B15" s="2955" t="s">
        <v>3104</v>
      </c>
      <c r="C15" s="2955" t="s">
        <v>3114</v>
      </c>
      <c r="D15" s="2955">
        <v>4</v>
      </c>
      <c r="E15" s="2956">
        <v>667.61</v>
      </c>
      <c r="F15" s="2955">
        <v>4</v>
      </c>
      <c r="G15" s="2957">
        <v>667.61</v>
      </c>
      <c r="H15" s="2957">
        <v>11999955</v>
      </c>
      <c r="I15" s="2957">
        <f t="shared" si="0"/>
        <v>17974.49858450293</v>
      </c>
      <c r="J15" s="2955">
        <v>0</v>
      </c>
      <c r="K15" s="2995">
        <v>0</v>
      </c>
      <c r="O15">
        <v>60000</v>
      </c>
    </row>
    <row r="16" spans="1:17" ht="17.25" customHeight="1">
      <c r="A16" s="2955">
        <v>15</v>
      </c>
      <c r="B16" s="2955" t="s">
        <v>3104</v>
      </c>
      <c r="C16" s="2955" t="s">
        <v>3115</v>
      </c>
      <c r="D16" s="2955">
        <v>5</v>
      </c>
      <c r="E16" s="2956">
        <v>829.58</v>
      </c>
      <c r="F16" s="2955"/>
      <c r="G16" s="2957"/>
      <c r="H16" s="2957"/>
      <c r="I16" s="2957"/>
      <c r="J16" s="2955">
        <v>5</v>
      </c>
      <c r="K16" s="2995">
        <v>829.58</v>
      </c>
    </row>
    <row r="17" spans="1:16" ht="17.25" customHeight="1">
      <c r="A17" s="2955">
        <v>16</v>
      </c>
      <c r="B17" s="2955" t="s">
        <v>3104</v>
      </c>
      <c r="C17" s="2955" t="s">
        <v>3116</v>
      </c>
      <c r="D17" s="2955">
        <v>4</v>
      </c>
      <c r="E17" s="2956">
        <v>666.86</v>
      </c>
      <c r="F17" s="2955">
        <v>3</v>
      </c>
      <c r="G17" s="2957">
        <v>503.54</v>
      </c>
      <c r="H17" s="2957">
        <v>9161526</v>
      </c>
      <c r="I17" s="2957">
        <f t="shared" si="0"/>
        <v>18194.236803431704</v>
      </c>
      <c r="J17" s="2955">
        <v>1</v>
      </c>
      <c r="K17" s="2995">
        <v>163.32</v>
      </c>
      <c r="P17">
        <v>1</v>
      </c>
    </row>
    <row r="18" spans="1:16" ht="17.25" customHeight="1">
      <c r="A18" s="2955">
        <v>17</v>
      </c>
      <c r="B18" s="2955" t="s">
        <v>3104</v>
      </c>
      <c r="C18" s="2955" t="s">
        <v>3117</v>
      </c>
      <c r="D18" s="2955">
        <v>4</v>
      </c>
      <c r="E18" s="2956">
        <v>666.86</v>
      </c>
      <c r="F18" s="2955"/>
      <c r="G18" s="2957"/>
      <c r="H18" s="2957"/>
      <c r="I18" s="2957"/>
      <c r="J18" s="2955">
        <v>4</v>
      </c>
      <c r="K18" s="2995">
        <v>666.86</v>
      </c>
    </row>
    <row r="19" spans="1:16" ht="17.25" customHeight="1">
      <c r="A19" s="2955">
        <v>18</v>
      </c>
      <c r="B19" s="2955" t="s">
        <v>3104</v>
      </c>
      <c r="C19" s="2955" t="s">
        <v>3118</v>
      </c>
      <c r="D19" s="2955">
        <v>4</v>
      </c>
      <c r="E19" s="2956">
        <v>667.61</v>
      </c>
      <c r="F19" s="2955">
        <v>1</v>
      </c>
      <c r="G19" s="2957">
        <v>163.54</v>
      </c>
      <c r="H19" s="2957">
        <v>2610123</v>
      </c>
      <c r="I19" s="2957">
        <f t="shared" si="0"/>
        <v>15960.150421915128</v>
      </c>
      <c r="J19" s="2955">
        <v>3</v>
      </c>
      <c r="K19" s="2995">
        <v>504.07000000000005</v>
      </c>
    </row>
    <row r="20" spans="1:16" ht="17.25" customHeight="1">
      <c r="A20" s="2955">
        <v>19</v>
      </c>
      <c r="B20" s="2955" t="s">
        <v>3104</v>
      </c>
      <c r="C20" s="2955" t="s">
        <v>3119</v>
      </c>
      <c r="D20" s="2955">
        <v>4</v>
      </c>
      <c r="E20" s="2956">
        <v>666.86</v>
      </c>
      <c r="F20" s="2955"/>
      <c r="G20" s="2957"/>
      <c r="H20" s="2957"/>
      <c r="I20" s="2957"/>
      <c r="J20" s="2955">
        <v>4</v>
      </c>
      <c r="K20" s="2995">
        <v>666.86</v>
      </c>
      <c r="N20">
        <v>24000</v>
      </c>
    </row>
    <row r="21" spans="1:16" ht="17.25" hidden="1" customHeight="1">
      <c r="A21" s="2955">
        <v>20</v>
      </c>
      <c r="B21" s="2955" t="s">
        <v>3104</v>
      </c>
      <c r="C21" s="2955" t="s">
        <v>3120</v>
      </c>
      <c r="D21" s="2955">
        <v>4</v>
      </c>
      <c r="E21" s="2956">
        <v>666.86</v>
      </c>
      <c r="F21" s="2955">
        <v>4</v>
      </c>
      <c r="G21" s="2957">
        <v>666.86</v>
      </c>
      <c r="H21" s="2957">
        <v>12312616</v>
      </c>
      <c r="I21" s="2957">
        <f t="shared" si="0"/>
        <v>18463.569564826201</v>
      </c>
      <c r="J21" s="2955">
        <v>0</v>
      </c>
      <c r="K21" s="2995">
        <v>0</v>
      </c>
      <c r="N21" s="2971">
        <f>N20</f>
        <v>24000</v>
      </c>
    </row>
    <row r="22" spans="1:16" ht="17.25" customHeight="1">
      <c r="A22" s="2955">
        <v>21</v>
      </c>
      <c r="B22" s="2955" t="s">
        <v>3104</v>
      </c>
      <c r="C22" s="2955" t="s">
        <v>3121</v>
      </c>
      <c r="D22" s="2955">
        <v>4</v>
      </c>
      <c r="E22" s="2956">
        <v>666.86</v>
      </c>
      <c r="F22" s="2955">
        <v>1</v>
      </c>
      <c r="G22" s="2957">
        <v>163.32</v>
      </c>
      <c r="H22" s="2957">
        <v>2524400</v>
      </c>
      <c r="I22" s="2957">
        <f t="shared" si="0"/>
        <v>15456.771981386237</v>
      </c>
      <c r="J22" s="2955">
        <v>3</v>
      </c>
      <c r="K22" s="2995">
        <v>503.54</v>
      </c>
    </row>
    <row r="23" spans="1:16" ht="17.25" hidden="1" customHeight="1">
      <c r="A23" s="2955">
        <v>22</v>
      </c>
      <c r="B23" s="2955" t="s">
        <v>3104</v>
      </c>
      <c r="C23" s="2955" t="s">
        <v>3122</v>
      </c>
      <c r="D23" s="2955">
        <v>4</v>
      </c>
      <c r="E23" s="2956">
        <v>667.61</v>
      </c>
      <c r="F23" s="2955">
        <v>4</v>
      </c>
      <c r="G23" s="2957">
        <v>667.61</v>
      </c>
      <c r="H23" s="2957">
        <v>12278253</v>
      </c>
      <c r="I23" s="2957">
        <f t="shared" si="0"/>
        <v>18391.355731639731</v>
      </c>
      <c r="J23" s="2955">
        <v>0</v>
      </c>
      <c r="K23" s="2995">
        <v>0</v>
      </c>
    </row>
    <row r="24" spans="1:16" ht="17.25" customHeight="1">
      <c r="A24" s="2955">
        <v>23</v>
      </c>
      <c r="B24" s="2955" t="s">
        <v>3104</v>
      </c>
      <c r="C24" s="2955" t="s">
        <v>3123</v>
      </c>
      <c r="D24" s="2955">
        <v>4</v>
      </c>
      <c r="E24" s="2956">
        <v>666.86</v>
      </c>
      <c r="F24" s="2955"/>
      <c r="G24" s="2957"/>
      <c r="H24" s="2957"/>
      <c r="I24" s="2957"/>
      <c r="J24" s="2955">
        <v>4</v>
      </c>
      <c r="K24" s="2995">
        <v>666.86</v>
      </c>
    </row>
    <row r="25" spans="1:16" ht="17.25" customHeight="1">
      <c r="A25" s="2955">
        <v>24</v>
      </c>
      <c r="B25" s="2955" t="s">
        <v>3104</v>
      </c>
      <c r="C25" s="2955" t="s">
        <v>3124</v>
      </c>
      <c r="D25" s="2955">
        <v>4</v>
      </c>
      <c r="E25" s="2956">
        <v>667.61</v>
      </c>
      <c r="F25" s="2955">
        <v>2</v>
      </c>
      <c r="G25" s="2957">
        <v>333.85</v>
      </c>
      <c r="H25" s="2957">
        <v>5713122</v>
      </c>
      <c r="I25" s="2957">
        <f t="shared" si="0"/>
        <v>17112.841096300734</v>
      </c>
      <c r="J25" s="2955">
        <v>2</v>
      </c>
      <c r="K25" s="2995">
        <v>333.76</v>
      </c>
    </row>
    <row r="26" spans="1:16" ht="17.25" customHeight="1">
      <c r="A26" s="2955">
        <v>25</v>
      </c>
      <c r="B26" s="2955" t="s">
        <v>3104</v>
      </c>
      <c r="C26" s="2955" t="s">
        <v>3125</v>
      </c>
      <c r="D26" s="2955">
        <v>3</v>
      </c>
      <c r="E26" s="2956">
        <v>505.22</v>
      </c>
      <c r="F26" s="2955">
        <v>1</v>
      </c>
      <c r="G26" s="2957">
        <v>170.64</v>
      </c>
      <c r="H26" s="2957">
        <v>3027886</v>
      </c>
      <c r="I26" s="2957">
        <f t="shared" si="0"/>
        <v>17744.292076887014</v>
      </c>
      <c r="J26" s="2955">
        <v>2</v>
      </c>
      <c r="K26" s="2995">
        <v>334.58000000000004</v>
      </c>
    </row>
    <row r="27" spans="1:16" ht="17.25" hidden="1" customHeight="1">
      <c r="A27" s="2955">
        <v>26</v>
      </c>
      <c r="B27" s="2955" t="s">
        <v>3104</v>
      </c>
      <c r="C27" s="2955" t="s">
        <v>3126</v>
      </c>
      <c r="D27" s="2955">
        <v>3</v>
      </c>
      <c r="E27" s="2956">
        <v>524.63</v>
      </c>
      <c r="F27" s="2955">
        <v>3</v>
      </c>
      <c r="G27" s="2957">
        <v>524.63</v>
      </c>
      <c r="H27" s="2957">
        <v>9937852</v>
      </c>
      <c r="I27" s="2957">
        <f t="shared" si="0"/>
        <v>18942.59192192593</v>
      </c>
      <c r="J27" s="2955">
        <v>0</v>
      </c>
      <c r="K27" s="2995">
        <v>0</v>
      </c>
    </row>
    <row r="28" spans="1:16" ht="17.25" hidden="1" customHeight="1">
      <c r="A28" s="2955">
        <v>27</v>
      </c>
      <c r="B28" s="2955" t="s">
        <v>3127</v>
      </c>
      <c r="C28" s="2955" t="s">
        <v>3128</v>
      </c>
      <c r="D28" s="2955">
        <v>2</v>
      </c>
      <c r="E28" s="2956">
        <v>392.28</v>
      </c>
      <c r="F28" s="2955">
        <v>2</v>
      </c>
      <c r="G28" s="2957">
        <v>392.28</v>
      </c>
      <c r="H28" s="2957">
        <v>7206905</v>
      </c>
      <c r="I28" s="2957">
        <f t="shared" si="0"/>
        <v>18371.838992556339</v>
      </c>
      <c r="J28" s="2955">
        <v>0</v>
      </c>
      <c r="K28" s="2995">
        <v>0</v>
      </c>
    </row>
    <row r="29" spans="1:16" ht="17.25" hidden="1" customHeight="1">
      <c r="A29" s="2955">
        <v>28</v>
      </c>
      <c r="B29" s="2955" t="s">
        <v>3127</v>
      </c>
      <c r="C29" s="2955" t="s">
        <v>3129</v>
      </c>
      <c r="D29" s="2955">
        <v>2</v>
      </c>
      <c r="E29" s="2956">
        <v>389.78</v>
      </c>
      <c r="F29" s="2955">
        <v>2</v>
      </c>
      <c r="G29" s="2957">
        <v>389.78</v>
      </c>
      <c r="H29" s="2957">
        <v>7729527</v>
      </c>
      <c r="I29" s="2957">
        <f t="shared" si="0"/>
        <v>19830.486428241573</v>
      </c>
      <c r="J29" s="2955">
        <v>0</v>
      </c>
      <c r="K29" s="2995">
        <v>0</v>
      </c>
    </row>
    <row r="30" spans="1:16" ht="17.25" hidden="1" customHeight="1">
      <c r="A30" s="2955">
        <v>29</v>
      </c>
      <c r="B30" s="2955" t="s">
        <v>3127</v>
      </c>
      <c r="C30" s="2955" t="s">
        <v>3130</v>
      </c>
      <c r="D30" s="2955">
        <v>2</v>
      </c>
      <c r="E30" s="2956">
        <v>368.06</v>
      </c>
      <c r="F30" s="2955">
        <v>2</v>
      </c>
      <c r="G30" s="2957">
        <v>368.06</v>
      </c>
      <c r="H30" s="2957">
        <v>6930287</v>
      </c>
      <c r="I30" s="2957">
        <f t="shared" si="0"/>
        <v>18829.231647014072</v>
      </c>
      <c r="J30" s="2955">
        <v>0</v>
      </c>
      <c r="K30" s="2995">
        <v>0</v>
      </c>
    </row>
    <row r="31" spans="1:16" ht="17.25" hidden="1" customHeight="1">
      <c r="A31" s="2955">
        <v>30</v>
      </c>
      <c r="B31" s="2955" t="s">
        <v>3127</v>
      </c>
      <c r="C31" s="2955" t="s">
        <v>3131</v>
      </c>
      <c r="D31" s="2955">
        <v>2</v>
      </c>
      <c r="E31" s="2956">
        <v>367.26</v>
      </c>
      <c r="F31" s="2955">
        <v>2</v>
      </c>
      <c r="G31" s="2957">
        <v>367.26</v>
      </c>
      <c r="H31" s="2957">
        <v>7252298</v>
      </c>
      <c r="I31" s="2957">
        <f t="shared" si="0"/>
        <v>19747.040243968851</v>
      </c>
      <c r="J31" s="2955">
        <v>0</v>
      </c>
      <c r="K31" s="2995">
        <v>0</v>
      </c>
    </row>
    <row r="32" spans="1:16" ht="17.25" hidden="1" customHeight="1">
      <c r="A32" s="2955">
        <v>31</v>
      </c>
      <c r="B32" s="2955" t="s">
        <v>3127</v>
      </c>
      <c r="C32" s="2955" t="s">
        <v>3132</v>
      </c>
      <c r="D32" s="2955">
        <v>2</v>
      </c>
      <c r="E32" s="2956">
        <v>389.78</v>
      </c>
      <c r="F32" s="2955">
        <v>2</v>
      </c>
      <c r="G32" s="2957">
        <v>389.78</v>
      </c>
      <c r="H32" s="2957">
        <v>7477269</v>
      </c>
      <c r="I32" s="2957">
        <f t="shared" si="0"/>
        <v>19183.30596746883</v>
      </c>
      <c r="J32" s="2955">
        <v>0</v>
      </c>
      <c r="K32" s="2995">
        <v>0</v>
      </c>
    </row>
    <row r="33" spans="1:11" ht="17.25" hidden="1" customHeight="1">
      <c r="A33" s="2955">
        <v>32</v>
      </c>
      <c r="B33" s="2955" t="s">
        <v>3127</v>
      </c>
      <c r="C33" s="2955" t="s">
        <v>3133</v>
      </c>
      <c r="D33" s="2955">
        <v>2</v>
      </c>
      <c r="E33" s="2956">
        <v>389.78</v>
      </c>
      <c r="F33" s="2955">
        <v>2</v>
      </c>
      <c r="G33" s="2957">
        <v>389.78</v>
      </c>
      <c r="H33" s="2957">
        <v>7785900</v>
      </c>
      <c r="I33" s="2957">
        <f t="shared" si="0"/>
        <v>19975.114166965981</v>
      </c>
      <c r="J33" s="2955">
        <v>0</v>
      </c>
      <c r="K33" s="2995">
        <v>0</v>
      </c>
    </row>
    <row r="34" spans="1:11" ht="17.25" hidden="1" customHeight="1">
      <c r="A34" s="2955">
        <v>33</v>
      </c>
      <c r="B34" s="2955" t="s">
        <v>3127</v>
      </c>
      <c r="C34" s="2955" t="s">
        <v>3134</v>
      </c>
      <c r="D34" s="2955">
        <v>2</v>
      </c>
      <c r="E34" s="2956">
        <v>389.78</v>
      </c>
      <c r="F34" s="2955">
        <v>2</v>
      </c>
      <c r="G34" s="2957">
        <v>389.78</v>
      </c>
      <c r="H34" s="2957">
        <v>7409715</v>
      </c>
      <c r="I34" s="2957">
        <f t="shared" si="0"/>
        <v>19009.99281646057</v>
      </c>
      <c r="J34" s="2955">
        <v>0</v>
      </c>
      <c r="K34" s="2995">
        <v>0</v>
      </c>
    </row>
    <row r="35" spans="1:11" ht="17.25" hidden="1" customHeight="1">
      <c r="A35" s="2955">
        <v>34</v>
      </c>
      <c r="B35" s="2955" t="s">
        <v>3127</v>
      </c>
      <c r="C35" s="2955" t="s">
        <v>3135</v>
      </c>
      <c r="D35" s="2955">
        <v>2</v>
      </c>
      <c r="E35" s="2956">
        <v>389.78</v>
      </c>
      <c r="F35" s="2955">
        <v>2</v>
      </c>
      <c r="G35" s="2957">
        <v>389.78</v>
      </c>
      <c r="H35" s="2957">
        <v>7889441</v>
      </c>
      <c r="I35" s="2957">
        <f t="shared" si="0"/>
        <v>20240.753758530456</v>
      </c>
      <c r="J35" s="2955">
        <v>0</v>
      </c>
      <c r="K35" s="2995">
        <v>0</v>
      </c>
    </row>
    <row r="36" spans="1:11" ht="17.25" hidden="1" customHeight="1">
      <c r="A36" s="2955">
        <v>35</v>
      </c>
      <c r="B36" s="2955" t="s">
        <v>3127</v>
      </c>
      <c r="C36" s="2955" t="s">
        <v>3136</v>
      </c>
      <c r="D36" s="2955">
        <v>2</v>
      </c>
      <c r="E36" s="2956">
        <v>389.78</v>
      </c>
      <c r="F36" s="2955">
        <v>2</v>
      </c>
      <c r="G36" s="2957">
        <v>389.78</v>
      </c>
      <c r="H36" s="2957">
        <v>7409715</v>
      </c>
      <c r="I36" s="2957">
        <f t="shared" si="0"/>
        <v>19009.99281646057</v>
      </c>
      <c r="J36" s="2955">
        <v>0</v>
      </c>
      <c r="K36" s="2995">
        <v>0</v>
      </c>
    </row>
    <row r="37" spans="1:11" ht="17.25" hidden="1" customHeight="1">
      <c r="A37" s="2955">
        <v>36</v>
      </c>
      <c r="B37" s="2955" t="s">
        <v>3127</v>
      </c>
      <c r="C37" s="2955" t="s">
        <v>3137</v>
      </c>
      <c r="D37" s="2955">
        <v>2</v>
      </c>
      <c r="E37" s="2956">
        <v>389.78</v>
      </c>
      <c r="F37" s="2955">
        <v>2</v>
      </c>
      <c r="G37" s="2957">
        <v>389.78</v>
      </c>
      <c r="H37" s="2957">
        <v>7903000</v>
      </c>
      <c r="I37" s="2957">
        <f t="shared" si="0"/>
        <v>20275.540048232338</v>
      </c>
      <c r="J37" s="2955">
        <v>0</v>
      </c>
      <c r="K37" s="2995">
        <v>0</v>
      </c>
    </row>
    <row r="38" spans="1:11" ht="17.25" hidden="1" customHeight="1">
      <c r="A38" s="2955">
        <v>37</v>
      </c>
      <c r="B38" s="2955" t="s">
        <v>3127</v>
      </c>
      <c r="C38" s="2955" t="s">
        <v>3138</v>
      </c>
      <c r="D38" s="2955">
        <v>2</v>
      </c>
      <c r="E38" s="2956">
        <v>389.78</v>
      </c>
      <c r="F38" s="2955">
        <v>2</v>
      </c>
      <c r="G38" s="2957">
        <v>389.78</v>
      </c>
      <c r="H38" s="2957">
        <v>7409715</v>
      </c>
      <c r="I38" s="2957">
        <f t="shared" si="0"/>
        <v>19009.99281646057</v>
      </c>
      <c r="J38" s="2955">
        <v>0</v>
      </c>
      <c r="K38" s="2995">
        <v>0</v>
      </c>
    </row>
    <row r="39" spans="1:11" ht="17.25" customHeight="1">
      <c r="A39" s="2955">
        <v>38</v>
      </c>
      <c r="B39" s="2955" t="s">
        <v>3127</v>
      </c>
      <c r="C39" s="2955" t="s">
        <v>3139</v>
      </c>
      <c r="D39" s="2955">
        <v>2</v>
      </c>
      <c r="E39" s="2956">
        <v>389.78</v>
      </c>
      <c r="F39" s="2955">
        <v>1</v>
      </c>
      <c r="G39" s="2957">
        <v>194.89</v>
      </c>
      <c r="H39" s="2957">
        <v>3784394</v>
      </c>
      <c r="I39" s="2957">
        <f t="shared" si="0"/>
        <v>19418.102519369902</v>
      </c>
      <c r="J39" s="2955">
        <v>1</v>
      </c>
      <c r="K39" s="2995">
        <v>194.89</v>
      </c>
    </row>
    <row r="40" spans="1:11" ht="17.25" customHeight="1">
      <c r="A40" s="2955">
        <v>39</v>
      </c>
      <c r="B40" s="2955" t="s">
        <v>3127</v>
      </c>
      <c r="C40" s="2955" t="s">
        <v>3140</v>
      </c>
      <c r="D40" s="2955">
        <v>2</v>
      </c>
      <c r="E40" s="2956">
        <v>389.78</v>
      </c>
      <c r="F40" s="2955"/>
      <c r="G40" s="2957"/>
      <c r="H40" s="2957"/>
      <c r="I40" s="2957"/>
      <c r="J40" s="2955">
        <v>2</v>
      </c>
      <c r="K40" s="2995">
        <v>389.78</v>
      </c>
    </row>
    <row r="41" spans="1:11" ht="17.25" customHeight="1">
      <c r="A41" s="2955">
        <v>40</v>
      </c>
      <c r="B41" s="2955" t="s">
        <v>3127</v>
      </c>
      <c r="C41" s="2955" t="s">
        <v>3141</v>
      </c>
      <c r="D41" s="2955">
        <v>2</v>
      </c>
      <c r="E41" s="2956">
        <v>389.78</v>
      </c>
      <c r="F41" s="2955"/>
      <c r="G41" s="2957"/>
      <c r="H41" s="2957"/>
      <c r="I41" s="2957"/>
      <c r="J41" s="2955">
        <v>2</v>
      </c>
      <c r="K41" s="2995">
        <v>389.78</v>
      </c>
    </row>
    <row r="42" spans="1:11" ht="17.25" hidden="1" customHeight="1">
      <c r="A42" s="2955">
        <v>41</v>
      </c>
      <c r="B42" s="2955" t="s">
        <v>3127</v>
      </c>
      <c r="C42" s="2955" t="s">
        <v>3142</v>
      </c>
      <c r="D42" s="2955">
        <v>2</v>
      </c>
      <c r="E42" s="2956">
        <v>392.28</v>
      </c>
      <c r="F42" s="2955">
        <v>2</v>
      </c>
      <c r="G42" s="2957">
        <v>392.28</v>
      </c>
      <c r="H42" s="2957">
        <v>7303010</v>
      </c>
      <c r="I42" s="2957">
        <f t="shared" si="0"/>
        <v>18616.829815437955</v>
      </c>
      <c r="J42" s="2955">
        <v>0</v>
      </c>
      <c r="K42" s="2995">
        <v>0</v>
      </c>
    </row>
    <row r="43" spans="1:11" ht="17.25" customHeight="1">
      <c r="A43" s="2955">
        <v>42</v>
      </c>
      <c r="B43" s="2955" t="s">
        <v>3104</v>
      </c>
      <c r="C43" s="2955" t="s">
        <v>3143</v>
      </c>
      <c r="D43" s="2955">
        <v>6</v>
      </c>
      <c r="E43" s="2956">
        <v>1025.0899999999999</v>
      </c>
      <c r="F43" s="2955">
        <v>5</v>
      </c>
      <c r="G43" s="2957">
        <v>854.5</v>
      </c>
      <c r="H43" s="2957">
        <v>14656252</v>
      </c>
      <c r="I43" s="2957">
        <f t="shared" si="0"/>
        <v>17151.84552369807</v>
      </c>
      <c r="J43" s="2955">
        <v>1</v>
      </c>
      <c r="K43" s="2995">
        <v>170.58999999999992</v>
      </c>
    </row>
    <row r="44" spans="1:11" ht="17.25" hidden="1" customHeight="1">
      <c r="A44" s="2955">
        <v>43</v>
      </c>
      <c r="B44" s="2955" t="s">
        <v>3127</v>
      </c>
      <c r="C44" s="2955" t="s">
        <v>3144</v>
      </c>
      <c r="D44" s="2955">
        <v>2</v>
      </c>
      <c r="E44" s="2956">
        <v>329.22</v>
      </c>
      <c r="F44" s="2955">
        <v>2</v>
      </c>
      <c r="G44" s="2957">
        <v>329.22</v>
      </c>
      <c r="H44" s="2957">
        <v>6198949</v>
      </c>
      <c r="I44" s="2957">
        <f t="shared" si="0"/>
        <v>18829.199319603911</v>
      </c>
      <c r="J44" s="2955">
        <v>0</v>
      </c>
      <c r="K44" s="2995">
        <v>0</v>
      </c>
    </row>
    <row r="45" spans="1:11" ht="17.25" hidden="1" customHeight="1">
      <c r="A45" s="2955">
        <v>44</v>
      </c>
      <c r="B45" s="2955" t="s">
        <v>3104</v>
      </c>
      <c r="C45" s="2955" t="s">
        <v>3145</v>
      </c>
      <c r="D45" s="2955">
        <v>6</v>
      </c>
      <c r="E45" s="2956">
        <v>991.22</v>
      </c>
      <c r="F45" s="2955">
        <v>6</v>
      </c>
      <c r="G45" s="2957">
        <v>991.22</v>
      </c>
      <c r="H45" s="2957">
        <v>17246145</v>
      </c>
      <c r="I45" s="2957">
        <f t="shared" si="0"/>
        <v>17398.907407033756</v>
      </c>
      <c r="J45" s="2955">
        <v>0</v>
      </c>
      <c r="K45" s="2995">
        <v>0</v>
      </c>
    </row>
    <row r="46" spans="1:11" ht="17.25" hidden="1" customHeight="1">
      <c r="A46" s="2955">
        <v>45</v>
      </c>
      <c r="B46" s="2955" t="s">
        <v>3104</v>
      </c>
      <c r="C46" s="2955" t="s">
        <v>3146</v>
      </c>
      <c r="D46" s="2955">
        <v>5</v>
      </c>
      <c r="E46" s="2956">
        <v>829.58</v>
      </c>
      <c r="F46" s="2955">
        <v>5</v>
      </c>
      <c r="G46" s="2957">
        <v>829.58</v>
      </c>
      <c r="H46" s="2957">
        <v>14313729</v>
      </c>
      <c r="I46" s="2957">
        <f t="shared" si="0"/>
        <v>17254.187661226162</v>
      </c>
      <c r="J46" s="2955">
        <v>0</v>
      </c>
      <c r="K46" s="2995">
        <v>0</v>
      </c>
    </row>
    <row r="47" spans="1:11" ht="17.25" customHeight="1">
      <c r="A47" s="2955">
        <v>46</v>
      </c>
      <c r="B47" s="2955" t="s">
        <v>3104</v>
      </c>
      <c r="C47" s="2955" t="s">
        <v>3147</v>
      </c>
      <c r="D47" s="2955">
        <v>6</v>
      </c>
      <c r="E47" s="2956">
        <v>991.95</v>
      </c>
      <c r="F47" s="2955">
        <v>5</v>
      </c>
      <c r="G47" s="2957">
        <v>828.87</v>
      </c>
      <c r="H47" s="2957">
        <v>14121969</v>
      </c>
      <c r="I47" s="2957">
        <f t="shared" si="0"/>
        <v>17037.616272756884</v>
      </c>
      <c r="J47" s="2955">
        <v>1</v>
      </c>
      <c r="K47" s="2995">
        <v>163.08000000000004</v>
      </c>
    </row>
    <row r="48" spans="1:11" ht="17.25" hidden="1" customHeight="1">
      <c r="A48" s="2955">
        <v>47</v>
      </c>
      <c r="B48" s="2955" t="s">
        <v>3104</v>
      </c>
      <c r="C48" s="2955" t="s">
        <v>3148</v>
      </c>
      <c r="D48" s="2955">
        <v>4</v>
      </c>
      <c r="E48" s="2956">
        <v>666.86</v>
      </c>
      <c r="F48" s="2955">
        <v>4</v>
      </c>
      <c r="G48" s="2957">
        <v>666.86</v>
      </c>
      <c r="H48" s="2957">
        <v>11321621</v>
      </c>
      <c r="I48" s="2957">
        <f t="shared" si="0"/>
        <v>16977.508022673424</v>
      </c>
      <c r="J48" s="2955">
        <v>0</v>
      </c>
      <c r="K48" s="2995">
        <v>0</v>
      </c>
    </row>
    <row r="49" spans="1:11" ht="17.25" hidden="1" customHeight="1">
      <c r="A49" s="2955">
        <v>48</v>
      </c>
      <c r="B49" s="2955" t="s">
        <v>3104</v>
      </c>
      <c r="C49" s="2955" t="s">
        <v>3149</v>
      </c>
      <c r="D49" s="2955">
        <v>6</v>
      </c>
      <c r="E49" s="2956">
        <v>991.95</v>
      </c>
      <c r="F49" s="2955">
        <v>6</v>
      </c>
      <c r="G49" s="2957">
        <v>991.95</v>
      </c>
      <c r="H49" s="2957">
        <v>16853376</v>
      </c>
      <c r="I49" s="2957">
        <f t="shared" si="0"/>
        <v>16990.146680780279</v>
      </c>
      <c r="J49" s="2955">
        <v>0</v>
      </c>
      <c r="K49" s="2995">
        <v>0</v>
      </c>
    </row>
    <row r="50" spans="1:11" ht="17.25" customHeight="1">
      <c r="A50" s="2955">
        <v>49</v>
      </c>
      <c r="B50" s="2955" t="s">
        <v>3127</v>
      </c>
      <c r="C50" s="2955" t="s">
        <v>3150</v>
      </c>
      <c r="D50" s="2955">
        <v>2</v>
      </c>
      <c r="E50" s="2956">
        <v>342.48</v>
      </c>
      <c r="F50" s="2955"/>
      <c r="G50" s="2957"/>
      <c r="H50" s="2957"/>
      <c r="I50" s="2957"/>
      <c r="J50" s="2955">
        <v>2</v>
      </c>
      <c r="K50" s="2995">
        <v>342.48</v>
      </c>
    </row>
    <row r="51" spans="1:11" ht="17.25" customHeight="1">
      <c r="A51" s="2955">
        <v>50</v>
      </c>
      <c r="B51" s="2955" t="s">
        <v>3127</v>
      </c>
      <c r="C51" s="2955" t="s">
        <v>3151</v>
      </c>
      <c r="D51" s="2955">
        <v>2</v>
      </c>
      <c r="E51" s="2956">
        <v>389.78</v>
      </c>
      <c r="F51" s="2955"/>
      <c r="G51" s="2957"/>
      <c r="H51" s="2957"/>
      <c r="I51" s="2957"/>
      <c r="J51" s="2955">
        <v>2</v>
      </c>
      <c r="K51" s="2995">
        <v>389.78</v>
      </c>
    </row>
    <row r="52" spans="1:11" ht="17.25" hidden="1" customHeight="1">
      <c r="A52" s="2955">
        <v>51</v>
      </c>
      <c r="B52" s="2955" t="s">
        <v>3104</v>
      </c>
      <c r="C52" s="2955" t="s">
        <v>3152</v>
      </c>
      <c r="D52" s="2955">
        <v>3</v>
      </c>
      <c r="E52" s="2956">
        <v>584.30999999999995</v>
      </c>
      <c r="F52" s="2955">
        <v>3</v>
      </c>
      <c r="G52" s="2957">
        <v>584.30999999999995</v>
      </c>
      <c r="H52" s="2957">
        <v>10532662</v>
      </c>
      <c r="I52" s="2957">
        <f t="shared" si="0"/>
        <v>18025.811641080934</v>
      </c>
      <c r="J52" s="2955">
        <v>0</v>
      </c>
      <c r="K52" s="2995">
        <v>0</v>
      </c>
    </row>
    <row r="53" spans="1:11" ht="17.25" customHeight="1">
      <c r="A53" s="2955">
        <v>52</v>
      </c>
      <c r="B53" s="2955" t="s">
        <v>3104</v>
      </c>
      <c r="C53" s="2955" t="s">
        <v>3153</v>
      </c>
      <c r="D53" s="2955">
        <v>3</v>
      </c>
      <c r="E53" s="2956">
        <v>584.46</v>
      </c>
      <c r="F53" s="2955">
        <v>1</v>
      </c>
      <c r="G53" s="2957">
        <v>194.97</v>
      </c>
      <c r="H53" s="2957">
        <v>3820820</v>
      </c>
      <c r="I53" s="2957">
        <f t="shared" si="0"/>
        <v>19596.963635431093</v>
      </c>
      <c r="J53" s="2955">
        <v>2</v>
      </c>
      <c r="K53" s="2995">
        <v>389.49</v>
      </c>
    </row>
    <row r="54" spans="1:11" ht="17.25" customHeight="1">
      <c r="A54" s="2955">
        <v>53</v>
      </c>
      <c r="B54" s="2955" t="s">
        <v>3104</v>
      </c>
      <c r="C54" s="2955" t="s">
        <v>3154</v>
      </c>
      <c r="D54" s="2955">
        <v>3</v>
      </c>
      <c r="E54" s="2956">
        <v>584.30999999999995</v>
      </c>
      <c r="F54" s="2955"/>
      <c r="G54" s="2957"/>
      <c r="H54" s="2957"/>
      <c r="I54" s="2957"/>
      <c r="J54" s="2955">
        <v>3</v>
      </c>
      <c r="K54" s="2995">
        <v>584.30999999999995</v>
      </c>
    </row>
    <row r="55" spans="1:11" ht="17.25" customHeight="1">
      <c r="A55" s="2955">
        <v>54</v>
      </c>
      <c r="B55" s="2955" t="s">
        <v>3104</v>
      </c>
      <c r="C55" s="2955" t="s">
        <v>3155</v>
      </c>
      <c r="D55" s="2955">
        <v>4</v>
      </c>
      <c r="E55" s="2956">
        <v>776.82</v>
      </c>
      <c r="F55" s="2955"/>
      <c r="G55" s="2957"/>
      <c r="H55" s="2957"/>
      <c r="I55" s="2957"/>
      <c r="J55" s="2955">
        <v>4</v>
      </c>
      <c r="K55" s="2995">
        <v>776.82</v>
      </c>
    </row>
    <row r="56" spans="1:11" ht="17.25" customHeight="1">
      <c r="A56" s="2955">
        <v>55</v>
      </c>
      <c r="B56" s="2955" t="s">
        <v>3156</v>
      </c>
      <c r="C56" s="2955" t="s">
        <v>3157</v>
      </c>
      <c r="D56" s="2955">
        <v>12</v>
      </c>
      <c r="E56" s="2956">
        <v>1850.12</v>
      </c>
      <c r="F56" s="2955">
        <v>10</v>
      </c>
      <c r="G56" s="2957">
        <v>1547.26</v>
      </c>
      <c r="H56" s="2957">
        <v>22750764</v>
      </c>
      <c r="I56" s="2957">
        <f t="shared" si="0"/>
        <v>14703.90496749092</v>
      </c>
      <c r="J56" s="2955">
        <v>2</v>
      </c>
      <c r="K56" s="2995">
        <v>302.8599999999999</v>
      </c>
    </row>
    <row r="57" spans="1:11" ht="17.25" customHeight="1">
      <c r="A57" s="2955">
        <v>56</v>
      </c>
      <c r="B57" s="2955" t="s">
        <v>3156</v>
      </c>
      <c r="C57" s="2955" t="s">
        <v>3158</v>
      </c>
      <c r="D57" s="2955">
        <v>8</v>
      </c>
      <c r="E57" s="2956">
        <v>1235.44</v>
      </c>
      <c r="F57" s="2955"/>
      <c r="G57" s="2957"/>
      <c r="H57" s="2957"/>
      <c r="I57" s="2957"/>
      <c r="J57" s="2955">
        <v>8</v>
      </c>
      <c r="K57" s="2995">
        <v>1235.44</v>
      </c>
    </row>
    <row r="58" spans="1:11" ht="17.25" customHeight="1">
      <c r="A58" s="2955">
        <v>57</v>
      </c>
      <c r="B58" s="2955" t="s">
        <v>3156</v>
      </c>
      <c r="C58" s="2955" t="s">
        <v>3159</v>
      </c>
      <c r="D58" s="2955">
        <v>8</v>
      </c>
      <c r="E58" s="2956">
        <v>1235.44</v>
      </c>
      <c r="F58" s="2955"/>
      <c r="G58" s="2957"/>
      <c r="H58" s="2957"/>
      <c r="I58" s="2957"/>
      <c r="J58" s="2955">
        <v>8</v>
      </c>
      <c r="K58" s="2995">
        <v>1235.44</v>
      </c>
    </row>
    <row r="59" spans="1:11" ht="17.25" customHeight="1">
      <c r="A59" s="2955">
        <v>58</v>
      </c>
      <c r="B59" s="2955" t="s">
        <v>3156</v>
      </c>
      <c r="C59" s="2955" t="s">
        <v>3160</v>
      </c>
      <c r="D59" s="2955">
        <v>8</v>
      </c>
      <c r="E59" s="2956">
        <v>1237.44</v>
      </c>
      <c r="F59" s="2955"/>
      <c r="G59" s="2957"/>
      <c r="H59" s="2957"/>
      <c r="I59" s="2957"/>
      <c r="J59" s="2955">
        <v>8</v>
      </c>
      <c r="K59" s="2995">
        <v>1237.44</v>
      </c>
    </row>
    <row r="60" spans="1:11" ht="17.25" customHeight="1">
      <c r="A60" s="2955">
        <v>59</v>
      </c>
      <c r="B60" s="2955" t="s">
        <v>3156</v>
      </c>
      <c r="C60" s="2955" t="s">
        <v>3161</v>
      </c>
      <c r="D60" s="2955">
        <v>12</v>
      </c>
      <c r="E60" s="2956">
        <v>1853.14</v>
      </c>
      <c r="F60" s="2955">
        <v>4</v>
      </c>
      <c r="G60" s="2957">
        <v>617.75</v>
      </c>
      <c r="H60" s="2957">
        <v>10115157</v>
      </c>
      <c r="I60" s="2957">
        <f t="shared" si="0"/>
        <v>16374.191825171994</v>
      </c>
      <c r="J60" s="2955">
        <v>8</v>
      </c>
      <c r="K60" s="2995">
        <v>1235.3900000000001</v>
      </c>
    </row>
    <row r="61" spans="1:11" ht="17.25" customHeight="1">
      <c r="A61" s="2955">
        <v>60</v>
      </c>
      <c r="B61" s="2955" t="s">
        <v>3156</v>
      </c>
      <c r="C61" s="2955" t="s">
        <v>3162</v>
      </c>
      <c r="D61" s="2955">
        <v>12</v>
      </c>
      <c r="E61" s="2956">
        <v>1850.12</v>
      </c>
      <c r="F61" s="2955"/>
      <c r="G61" s="2957"/>
      <c r="H61" s="2957"/>
      <c r="I61" s="2957"/>
      <c r="J61" s="2955">
        <v>12</v>
      </c>
      <c r="K61" s="2995">
        <v>1850.12</v>
      </c>
    </row>
    <row r="62" spans="1:11" ht="17.25" customHeight="1">
      <c r="A62" s="2955">
        <v>61</v>
      </c>
      <c r="B62" s="2955" t="s">
        <v>3156</v>
      </c>
      <c r="C62" s="2955" t="s">
        <v>3163</v>
      </c>
      <c r="D62" s="2955">
        <v>8</v>
      </c>
      <c r="E62" s="2956">
        <v>1237.44</v>
      </c>
      <c r="F62" s="2955"/>
      <c r="G62" s="2957"/>
      <c r="H62" s="2957"/>
      <c r="I62" s="2957"/>
      <c r="J62" s="2955">
        <v>8</v>
      </c>
      <c r="K62" s="2995">
        <v>1237.44</v>
      </c>
    </row>
    <row r="63" spans="1:11" ht="17.25" customHeight="1">
      <c r="A63" s="2955">
        <v>62</v>
      </c>
      <c r="B63" s="2955" t="s">
        <v>3156</v>
      </c>
      <c r="C63" s="2955" t="s">
        <v>3164</v>
      </c>
      <c r="D63" s="2955">
        <v>8</v>
      </c>
      <c r="E63" s="2956">
        <v>1237.44</v>
      </c>
      <c r="F63" s="2955"/>
      <c r="G63" s="2957"/>
      <c r="H63" s="2957"/>
      <c r="I63" s="2957"/>
      <c r="J63" s="2955">
        <v>8</v>
      </c>
      <c r="K63" s="2995">
        <v>1237.44</v>
      </c>
    </row>
    <row r="64" spans="1:11" ht="17.25" customHeight="1">
      <c r="A64" s="2955">
        <v>63</v>
      </c>
      <c r="B64" s="2955" t="s">
        <v>3156</v>
      </c>
      <c r="C64" s="2955" t="s">
        <v>3165</v>
      </c>
      <c r="D64" s="2955">
        <v>8</v>
      </c>
      <c r="E64" s="2956">
        <v>1237.44</v>
      </c>
      <c r="F64" s="2955">
        <v>1</v>
      </c>
      <c r="G64" s="2957">
        <v>151.97</v>
      </c>
      <c r="H64" s="2957">
        <v>2353867</v>
      </c>
      <c r="I64" s="2957">
        <f t="shared" si="0"/>
        <v>15489.024149503191</v>
      </c>
      <c r="J64" s="2955">
        <v>7</v>
      </c>
      <c r="K64" s="2995">
        <v>1085.47</v>
      </c>
    </row>
    <row r="65" spans="1:12" ht="17.25" customHeight="1">
      <c r="A65" s="2955">
        <v>64</v>
      </c>
      <c r="B65" s="2955" t="s">
        <v>3156</v>
      </c>
      <c r="C65" s="2955" t="s">
        <v>3166</v>
      </c>
      <c r="D65" s="2955">
        <v>12</v>
      </c>
      <c r="E65" s="2956">
        <v>1853.14</v>
      </c>
      <c r="F65" s="2955">
        <v>7</v>
      </c>
      <c r="G65" s="2957">
        <v>1072.75</v>
      </c>
      <c r="H65" s="2957">
        <v>16376486</v>
      </c>
      <c r="I65" s="2957">
        <f t="shared" si="0"/>
        <v>15265.892332789559</v>
      </c>
      <c r="J65" s="2955">
        <v>5</v>
      </c>
      <c r="K65" s="2995">
        <v>780.3900000000001</v>
      </c>
    </row>
    <row r="66" spans="1:12" ht="17.25" customHeight="1">
      <c r="A66" s="2955">
        <v>65</v>
      </c>
      <c r="B66" s="2955" t="s">
        <v>3167</v>
      </c>
      <c r="C66" s="2955" t="s">
        <v>3168</v>
      </c>
      <c r="D66" s="2955">
        <v>40</v>
      </c>
      <c r="E66" s="2956">
        <v>5461.78</v>
      </c>
      <c r="F66" s="2955"/>
      <c r="G66" s="2957"/>
      <c r="H66" s="2957"/>
      <c r="I66" s="2957"/>
      <c r="J66" s="2955">
        <v>40</v>
      </c>
      <c r="K66" s="2995">
        <v>5461.78</v>
      </c>
    </row>
    <row r="67" spans="1:12" ht="17.25" customHeight="1">
      <c r="A67" s="2955">
        <v>66</v>
      </c>
      <c r="B67" s="2955" t="s">
        <v>3167</v>
      </c>
      <c r="C67" s="2955" t="s">
        <v>3169</v>
      </c>
      <c r="D67" s="2955">
        <v>40</v>
      </c>
      <c r="E67" s="2956">
        <v>5855.6</v>
      </c>
      <c r="F67" s="2955">
        <v>28</v>
      </c>
      <c r="G67" s="2957">
        <v>4051.52</v>
      </c>
      <c r="H67" s="2957">
        <v>56222732</v>
      </c>
      <c r="I67" s="2957">
        <f t="shared" ref="I67:I68" si="1">H67/G67</f>
        <v>13876.947910907511</v>
      </c>
      <c r="J67" s="2955">
        <v>12</v>
      </c>
      <c r="K67" s="2995">
        <v>1804.0800000000004</v>
      </c>
    </row>
    <row r="68" spans="1:12" ht="17.25" customHeight="1">
      <c r="A68" s="2955">
        <v>67</v>
      </c>
      <c r="B68" s="2955" t="s">
        <v>3167</v>
      </c>
      <c r="C68" s="2955" t="s">
        <v>3170</v>
      </c>
      <c r="D68" s="2955">
        <v>60</v>
      </c>
      <c r="E68" s="2956">
        <v>8397.99</v>
      </c>
      <c r="F68" s="2955">
        <v>46</v>
      </c>
      <c r="G68" s="2957">
        <v>6371.45</v>
      </c>
      <c r="H68" s="2957">
        <v>87597851</v>
      </c>
      <c r="I68" s="2957">
        <f t="shared" si="1"/>
        <v>13748.495397437004</v>
      </c>
      <c r="J68" s="2955">
        <v>14</v>
      </c>
      <c r="K68" s="2995">
        <v>2026.54</v>
      </c>
    </row>
    <row r="69" spans="1:12" s="2961" customFormat="1" ht="17.25" customHeight="1">
      <c r="A69"/>
      <c r="B69" s="3291" t="s">
        <v>3171</v>
      </c>
      <c r="C69" s="3292"/>
      <c r="D69" s="2991">
        <f>SUM(D2:D68)</f>
        <v>1005</v>
      </c>
      <c r="E69" s="2992">
        <f>SUM(E2:E68)</f>
        <v>133872.04</v>
      </c>
      <c r="F69" s="2991">
        <f t="shared" ref="F69:H69" si="2">SUM(F2:F68)</f>
        <v>382</v>
      </c>
      <c r="G69" s="2993">
        <f t="shared" si="2"/>
        <v>51472.26999999999</v>
      </c>
      <c r="H69" s="2993">
        <f t="shared" si="2"/>
        <v>731598433</v>
      </c>
      <c r="I69" s="2993"/>
      <c r="J69" s="2991">
        <f>SUM(J2:J68)</f>
        <v>623</v>
      </c>
      <c r="K69" s="2996">
        <f>SUM(K2:K68)</f>
        <v>82399.77</v>
      </c>
    </row>
    <row r="70" spans="1:12" ht="17.25" customHeight="1">
      <c r="B70" s="2955" t="s">
        <v>3172</v>
      </c>
      <c r="C70" s="2955" t="s">
        <v>3173</v>
      </c>
      <c r="D70" s="2955">
        <v>9</v>
      </c>
      <c r="E70" s="2956">
        <v>1246.24</v>
      </c>
      <c r="F70" s="2955"/>
      <c r="G70" s="2957"/>
      <c r="H70" s="2957"/>
      <c r="I70" s="2957"/>
      <c r="J70" s="2955">
        <v>9</v>
      </c>
      <c r="K70" s="2995">
        <v>1246.24</v>
      </c>
    </row>
    <row r="71" spans="1:12" s="2961" customFormat="1" ht="17.25" customHeight="1">
      <c r="B71" s="3293" t="s">
        <v>3174</v>
      </c>
      <c r="C71" s="3294"/>
      <c r="D71" s="2958">
        <f>SUM(D70)</f>
        <v>9</v>
      </c>
      <c r="E71" s="2959">
        <f t="shared" ref="E71" si="3">SUM(E70)</f>
        <v>1246.24</v>
      </c>
      <c r="F71" s="2958"/>
      <c r="G71" s="2960"/>
      <c r="H71" s="2960"/>
      <c r="I71" s="2960"/>
      <c r="J71" s="2958">
        <f>SUM(J70)</f>
        <v>9</v>
      </c>
      <c r="K71" s="2997">
        <f t="shared" ref="K71" si="4">SUM(K70)</f>
        <v>1246.24</v>
      </c>
    </row>
    <row r="72" spans="1:12" ht="17.25" customHeight="1">
      <c r="B72" s="2955" t="s">
        <v>3175</v>
      </c>
      <c r="C72" s="2955" t="s">
        <v>3176</v>
      </c>
      <c r="D72" s="2955">
        <v>414</v>
      </c>
      <c r="E72" s="2956">
        <v>5464.8</v>
      </c>
      <c r="F72" s="2955">
        <v>174</v>
      </c>
      <c r="G72" s="2957">
        <v>2296.8000000000002</v>
      </c>
      <c r="H72" s="2957">
        <v>13095000</v>
      </c>
      <c r="I72" s="2957">
        <f>H72/F72</f>
        <v>75258.620689655174</v>
      </c>
      <c r="J72" s="2955">
        <v>240</v>
      </c>
      <c r="K72" s="2995">
        <v>3168</v>
      </c>
      <c r="L72" s="2966">
        <f>K72+K73</f>
        <v>8514</v>
      </c>
    </row>
    <row r="73" spans="1:12" ht="17.25" customHeight="1">
      <c r="B73" s="2955" t="s">
        <v>3177</v>
      </c>
      <c r="C73" s="2955" t="s">
        <v>3178</v>
      </c>
      <c r="D73" s="2955">
        <v>414</v>
      </c>
      <c r="E73" s="2956">
        <v>5464.8</v>
      </c>
      <c r="F73" s="2955">
        <v>9</v>
      </c>
      <c r="G73" s="2957">
        <v>118.8</v>
      </c>
      <c r="H73" s="2957">
        <v>955800</v>
      </c>
      <c r="I73" s="2957">
        <f>H73/F73</f>
        <v>106200</v>
      </c>
      <c r="J73" s="2955">
        <v>405</v>
      </c>
      <c r="K73" s="2995">
        <v>5346</v>
      </c>
    </row>
    <row r="74" spans="1:12" s="2961" customFormat="1" ht="17.25" customHeight="1">
      <c r="B74" s="3293" t="s">
        <v>3179</v>
      </c>
      <c r="C74" s="3294"/>
      <c r="D74" s="2958">
        <f>SUM(D72:D73)</f>
        <v>828</v>
      </c>
      <c r="E74" s="2959">
        <f t="shared" ref="E74:H74" si="5">SUM(E72:E73)</f>
        <v>10929.6</v>
      </c>
      <c r="F74" s="2958">
        <f t="shared" si="5"/>
        <v>183</v>
      </c>
      <c r="G74" s="2960">
        <f t="shared" si="5"/>
        <v>2415.6000000000004</v>
      </c>
      <c r="H74" s="2960">
        <f t="shared" si="5"/>
        <v>14050800</v>
      </c>
      <c r="I74" s="2960"/>
      <c r="J74" s="2958">
        <f>SUM(J72:J73)</f>
        <v>645</v>
      </c>
      <c r="K74" s="2997">
        <f t="shared" ref="K74" si="6">SUM(K72:K73)</f>
        <v>8514</v>
      </c>
    </row>
    <row r="75" spans="1:12" s="2965" customFormat="1" ht="17.25" customHeight="1">
      <c r="B75" s="3295" t="s">
        <v>3180</v>
      </c>
      <c r="C75" s="3296"/>
      <c r="D75" s="2962">
        <f>D69+D71+D74</f>
        <v>1842</v>
      </c>
      <c r="E75" s="2963">
        <f t="shared" ref="E75:H75" si="7">E69+E71+E74</f>
        <v>146047.88</v>
      </c>
      <c r="F75" s="2962">
        <f t="shared" si="7"/>
        <v>565</v>
      </c>
      <c r="G75" s="2964">
        <f t="shared" si="7"/>
        <v>53887.869999999988</v>
      </c>
      <c r="H75" s="2964">
        <f t="shared" si="7"/>
        <v>745649233</v>
      </c>
      <c r="I75" s="2964"/>
      <c r="J75" s="2962">
        <f>J69+J71+J74</f>
        <v>1277</v>
      </c>
      <c r="K75" s="2998">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0" sqref="D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11</v>
      </c>
    </row>
    <row r="2" spans="1:33" ht="18" customHeight="1">
      <c r="A2" s="245" t="s">
        <v>2318</v>
      </c>
      <c r="B2" s="248">
        <f ca="1">C32</f>
        <v>17561</v>
      </c>
      <c r="C2" s="320" t="s">
        <v>2451</v>
      </c>
      <c r="D2" s="320"/>
      <c r="E2" s="320"/>
      <c r="F2" s="320"/>
      <c r="G2" s="320"/>
      <c r="H2" s="320"/>
      <c r="I2" s="320"/>
      <c r="J2" s="320"/>
      <c r="K2" s="320"/>
    </row>
    <row r="3" spans="1:33" ht="18" customHeight="1" thickBot="1">
      <c r="A3" s="247" t="s">
        <v>2320</v>
      </c>
      <c r="B3" s="248">
        <f ca="1">ROUND(B2*10000/IF(C1="",'数据-汇总表'!E3,INDIRECT("'数据-取费表'!K"&amp;$K$1)),0)</f>
        <v>7539</v>
      </c>
      <c r="C3" s="320" t="s">
        <v>2452</v>
      </c>
      <c r="D3" s="320"/>
      <c r="E3" s="320"/>
      <c r="F3" s="320"/>
      <c r="G3" s="320"/>
      <c r="H3" s="320"/>
      <c r="I3" s="320"/>
      <c r="J3" s="320"/>
      <c r="K3" s="320"/>
    </row>
    <row r="4" spans="1:33" s="956" customFormat="1" ht="16.5" customHeight="1">
      <c r="A4" s="953" t="s">
        <v>2453</v>
      </c>
      <c r="B4" s="954"/>
      <c r="C4" s="996">
        <f>SUM(C8:K8)</f>
        <v>27072</v>
      </c>
      <c r="D4" s="954"/>
      <c r="E4" s="954"/>
      <c r="F4" s="954"/>
      <c r="G4" s="954"/>
      <c r="H4" s="954"/>
      <c r="I4" s="954"/>
      <c r="J4" s="954"/>
      <c r="K4" s="955"/>
      <c r="L4" s="2982"/>
      <c r="M4" s="2982"/>
      <c r="N4" s="2982"/>
      <c r="O4" s="2982"/>
      <c r="P4" s="2982"/>
    </row>
    <row r="5" spans="1:33" s="960" customFormat="1" ht="15">
      <c r="A5" s="957" t="s">
        <v>2454</v>
      </c>
      <c r="B5" s="958" t="s">
        <v>2455</v>
      </c>
      <c r="C5" s="2553" t="s">
        <v>3347</v>
      </c>
      <c r="D5" s="2553" t="s">
        <v>3181</v>
      </c>
      <c r="E5" s="2553" t="s">
        <v>3183</v>
      </c>
      <c r="F5" s="2553" t="s">
        <v>3348</v>
      </c>
      <c r="G5" s="2553" t="s">
        <v>3186</v>
      </c>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10943</v>
      </c>
      <c r="D6" s="962"/>
      <c r="E6" s="962"/>
      <c r="F6" s="962"/>
      <c r="G6" s="962">
        <f>'比较法-住宅 (洋房)'!B3</f>
        <v>12960</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15450.07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7843.24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f>'比较法-住宅'!B2</f>
        <v>16907</v>
      </c>
      <c r="D8" s="997"/>
      <c r="E8" s="997"/>
      <c r="F8" s="997"/>
      <c r="G8" s="997">
        <f>'比较法-住宅 (洋房)'!B2</f>
        <v>10165</v>
      </c>
      <c r="H8" s="997"/>
      <c r="I8" s="997"/>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2911</v>
      </c>
      <c r="D11" s="973"/>
      <c r="E11" s="375"/>
      <c r="F11" s="974">
        <f ca="1">1-IF('数据-取费表'!B24=0,1,IF(C1="",'数据-取费表'!N16,INDIRECT("'数据-取费表'!n"&amp;$K$1)))</f>
        <v>0.5</v>
      </c>
      <c r="G11" s="8"/>
      <c r="H11" s="968"/>
      <c r="I11" s="968"/>
      <c r="J11" s="968"/>
      <c r="K11" s="969"/>
    </row>
    <row r="12" spans="1:33" s="975" customFormat="1" ht="13.5" customHeight="1">
      <c r="A12" s="971" t="s">
        <v>1331</v>
      </c>
      <c r="B12" s="972" t="s">
        <v>2469</v>
      </c>
      <c r="C12" s="24">
        <f ca="1">ROUND(C11*F12,0)</f>
        <v>87</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87</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233</v>
      </c>
      <c r="D14" s="1033">
        <f ca="1">IF(C1="",'数据-汇总表'!E3,INDIRECT("'数据-取费表'!K"&amp;$K$1)+INDIRECT("'数据-取费表'!S"&amp;$K$1))</f>
        <v>23293.309999999998</v>
      </c>
      <c r="E14" s="24">
        <f>'数据-取费表'!B35</f>
        <v>200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44</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3362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23293.309999999998</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210</v>
      </c>
      <c r="D18" s="1033"/>
      <c r="E18" s="24"/>
      <c r="F18" s="976"/>
      <c r="G18" s="2555"/>
      <c r="H18" s="1576"/>
      <c r="I18" s="2556" t="s">
        <v>2481</v>
      </c>
      <c r="J18" s="979"/>
      <c r="K18" s="980"/>
    </row>
    <row r="19" spans="1:33" s="975" customFormat="1" ht="13.5" customHeight="1">
      <c r="A19" s="971" t="s">
        <v>805</v>
      </c>
      <c r="B19" s="972" t="s">
        <v>2482</v>
      </c>
      <c r="C19" s="24">
        <f ca="1">ROUND(D19*E19/10000,0)</f>
        <v>210</v>
      </c>
      <c r="D19" s="1033">
        <f ca="1">IF(C1="",'数据-汇总表'!E5,IF(INDIRECT("'数据-取费表'!c"&amp;$K$1)="住宅",INDIRECT("'数据-取费表'!k"&amp;$K$1),0))</f>
        <v>23293.309999999998</v>
      </c>
      <c r="E19" s="24">
        <f>'数据-取费表'!B27</f>
        <v>90</v>
      </c>
      <c r="F19" s="976"/>
      <c r="G19" s="15"/>
      <c r="H19" s="1578"/>
      <c r="I19" s="981"/>
      <c r="J19" s="981"/>
      <c r="K19" s="982"/>
    </row>
    <row r="20" spans="1:33" s="975" customFormat="1" ht="13.5" customHeight="1">
      <c r="A20" s="971" t="s">
        <v>806</v>
      </c>
      <c r="B20" s="972" t="s">
        <v>2483</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2484</v>
      </c>
      <c r="C21" s="986">
        <f ca="1">C16+C17+C18</f>
        <v>3572</v>
      </c>
      <c r="D21" s="987"/>
      <c r="E21" s="325"/>
      <c r="F21" s="325"/>
      <c r="G21" s="140" t="s">
        <v>2485</v>
      </c>
      <c r="H21" s="979"/>
      <c r="I21" s="979"/>
      <c r="J21" s="979"/>
      <c r="K21" s="980"/>
    </row>
    <row r="22" spans="1:33" s="975" customFormat="1" ht="13.5" customHeight="1">
      <c r="A22" s="961" t="s">
        <v>2457</v>
      </c>
      <c r="B22" s="985" t="s">
        <v>2486</v>
      </c>
      <c r="C22" s="986">
        <f ca="1">ROUND(C21*F22,0)</f>
        <v>71</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271</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139</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7.4200000000000002E-2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139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665</v>
      </c>
      <c r="D28" s="324">
        <f ca="1">C29</f>
        <v>8.7499999999999994E-2</v>
      </c>
      <c r="E28" s="326" t="s">
        <v>15</v>
      </c>
      <c r="F28" s="332">
        <f ca="1">IF(C1="",'数据-取费表'!Q16,INDIRECT("'数据-取费表'!q"&amp;$K$1))</f>
        <v>0.17</v>
      </c>
      <c r="G28" s="989"/>
      <c r="H28" s="990"/>
      <c r="I28" s="990"/>
      <c r="J28" s="990"/>
      <c r="K28" s="991"/>
    </row>
    <row r="29" spans="1:33" s="335" customFormat="1" ht="13.5" customHeight="1">
      <c r="A29" s="971" t="s">
        <v>803</v>
      </c>
      <c r="B29" s="994" t="s">
        <v>2499</v>
      </c>
      <c r="C29" s="328">
        <f ca="1">ROUND((1+C24)*F28*'数据-取费表'!B24/'数据-取费表'!B20,4)</f>
        <v>8.7499999999999994E-2</v>
      </c>
      <c r="D29" s="328"/>
      <c r="E29" s="329"/>
      <c r="F29" s="334"/>
      <c r="G29" s="140" t="s">
        <v>2500</v>
      </c>
      <c r="H29" s="979"/>
      <c r="I29" s="979"/>
      <c r="J29" s="979"/>
      <c r="K29" s="980"/>
    </row>
    <row r="30" spans="1:33" s="335" customFormat="1" ht="13.5" customHeight="1">
      <c r="A30" s="971" t="s">
        <v>804</v>
      </c>
      <c r="B30" s="994" t="s">
        <v>2501</v>
      </c>
      <c r="C30" s="336">
        <f ca="1">ROUND((C21+C22+C23)*F28,0)</f>
        <v>665</v>
      </c>
      <c r="D30" s="328"/>
      <c r="E30" s="329"/>
      <c r="F30" s="334"/>
      <c r="G30" s="140"/>
      <c r="H30" s="979"/>
      <c r="I30" s="979"/>
      <c r="J30" s="979"/>
      <c r="K30" s="980"/>
    </row>
    <row r="31" spans="1:33" s="975" customFormat="1" ht="13.5" customHeight="1" thickBot="1">
      <c r="A31" s="2559" t="s">
        <v>2502</v>
      </c>
      <c r="B31" s="1005" t="s">
        <v>2503</v>
      </c>
      <c r="C31" s="1006">
        <f>ROUND(C4*F31/(1+'数据-取费表'!C42),0)</f>
        <v>1444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17561</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299" t="s">
        <v>1399</v>
      </c>
      <c r="C6" s="1296" t="e">
        <f ca="1">ROUND(F6*F8*F7*(1-F9)/10000,0)</f>
        <v>#N/A</v>
      </c>
      <c r="D6" s="164" t="s">
        <v>3019</v>
      </c>
      <c r="E6" s="347" t="s">
        <v>1401</v>
      </c>
      <c r="F6" s="348" t="e">
        <f ca="1">INDIRECT("'数据-取费表'!u"&amp;$G$1)</f>
        <v>#N/A</v>
      </c>
      <c r="G6" s="1850"/>
      <c r="H6" s="1291" t="s">
        <v>1032</v>
      </c>
      <c r="I6" s="3299" t="s">
        <v>1399</v>
      </c>
      <c r="J6" s="346" t="e">
        <f ca="1">ROUND(M6*M8*M7*(1-M9)/10000,0)</f>
        <v>#N/A</v>
      </c>
      <c r="K6" s="164" t="s">
        <v>3018</v>
      </c>
      <c r="L6" s="347" t="s">
        <v>1401</v>
      </c>
      <c r="M6" s="348" t="e">
        <f ca="1">INDIRECT("'数据-取费表'!z"&amp;$G$1)</f>
        <v>#N/A</v>
      </c>
    </row>
    <row r="7" spans="1:37" ht="18" customHeight="1">
      <c r="A7" s="1295"/>
      <c r="B7" s="3300"/>
      <c r="C7" s="1297"/>
      <c r="D7" s="352"/>
      <c r="E7" s="1298" t="s">
        <v>1402</v>
      </c>
      <c r="F7" s="348" t="e">
        <f ca="1">IF(INDIRECT("'数据-取费表'!ah"&amp;$G$1)="",INDIRECT("'数据-取费表'!k"&amp;$G$1),INDIRECT("'数据-取费表'!ah"&amp;$G$1))</f>
        <v>#N/A</v>
      </c>
      <c r="G7" s="1850"/>
      <c r="H7" s="349"/>
      <c r="I7" s="3300"/>
      <c r="J7" s="351"/>
      <c r="K7" s="352"/>
      <c r="L7" s="347" t="s">
        <v>1402</v>
      </c>
      <c r="M7" s="348" t="e">
        <f ca="1">F7</f>
        <v>#N/A</v>
      </c>
    </row>
    <row r="8" spans="1:37" ht="18" customHeight="1">
      <c r="A8" s="349"/>
      <c r="B8" s="3300"/>
      <c r="C8" s="351"/>
      <c r="D8" s="352"/>
      <c r="E8" s="347" t="s">
        <v>1403</v>
      </c>
      <c r="F8" s="348" t="e">
        <f ca="1">INDIRECT("'数据-取费表'!ai"&amp;$G$1)</f>
        <v>#N/A</v>
      </c>
      <c r="G8" s="1850"/>
      <c r="H8" s="349"/>
      <c r="I8" s="3300"/>
      <c r="J8" s="351"/>
      <c r="K8" s="352"/>
      <c r="L8" s="347" t="s">
        <v>1403</v>
      </c>
      <c r="M8" s="348" t="e">
        <f ca="1">INDIRECT("'数据-取费表'!ai"&amp;$G$1)</f>
        <v>#N/A</v>
      </c>
    </row>
    <row r="9" spans="1:37" ht="18" customHeight="1">
      <c r="A9" s="349"/>
      <c r="B9" s="3301"/>
      <c r="C9" s="351"/>
      <c r="D9" s="352"/>
      <c r="E9" s="347" t="s">
        <v>1404</v>
      </c>
      <c r="F9" s="357" t="e">
        <f ca="1">INDIRECT("'数据-取费表'!w"&amp;$G$1)</f>
        <v>#N/A</v>
      </c>
      <c r="G9" s="1850"/>
      <c r="H9" s="349"/>
      <c r="I9" s="3301"/>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3028</v>
      </c>
      <c r="E10" s="358" t="s">
        <v>1406</v>
      </c>
      <c r="F10" s="1366" t="s">
        <v>3350</v>
      </c>
      <c r="G10" s="1850"/>
      <c r="H10" s="1291" t="s">
        <v>1036</v>
      </c>
      <c r="I10" s="1822" t="s">
        <v>1405</v>
      </c>
      <c r="J10" s="346" t="e">
        <f ca="1">ROUND(IF(M10="押一",J6/12*M11,IF(M10="押二",J6/12*2*M11,IF(M10="押三",J6/12*3*M11,J11*M11))),0)</f>
        <v>#N/A</v>
      </c>
      <c r="K10" s="1823" t="s">
        <v>3027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3027</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7" t="s">
        <v>1544</v>
      </c>
      <c r="L53" s="3298"/>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估价对象为宁波万年卡玛利亚184出让国有建设用地使用权及在建建筑物房地产，为所有。根据，估价对象（分摊）出让国有建设用地使用权面积为15532.95平方米，建筑面积为23293.31平方米。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299" t="s">
        <v>1399</v>
      </c>
      <c r="C6" s="1296" t="e">
        <f ca="1">ROUND(F6*F8*F7*(1-F9),0)</f>
        <v>#N/A</v>
      </c>
      <c r="D6" s="164" t="s">
        <v>3016</v>
      </c>
      <c r="E6" s="347" t="s">
        <v>1401</v>
      </c>
      <c r="F6" s="348" t="e">
        <f ca="1">INDIRECT("'数据-取费表'!u"&amp;$G$1)</f>
        <v>#N/A</v>
      </c>
      <c r="G6" s="1850"/>
      <c r="H6" s="1291" t="s">
        <v>1032</v>
      </c>
      <c r="I6" s="3299" t="s">
        <v>1399</v>
      </c>
      <c r="J6" s="346" t="e">
        <f ca="1">ROUND(M6*M8*M7*(1-M9),0)</f>
        <v>#N/A</v>
      </c>
      <c r="K6" s="1833" t="s">
        <v>3017</v>
      </c>
      <c r="L6" s="347" t="s">
        <v>1401</v>
      </c>
      <c r="M6" s="348" t="e">
        <f ca="1">INDIRECT("'数据-取费表'!z"&amp;$G$1)</f>
        <v>#N/A</v>
      </c>
    </row>
    <row r="7" spans="1:37" ht="18" customHeight="1">
      <c r="A7" s="1295"/>
      <c r="B7" s="3300"/>
      <c r="C7" s="1297"/>
      <c r="D7" s="352"/>
      <c r="E7" s="1298" t="s">
        <v>1402</v>
      </c>
      <c r="F7" s="348" t="e">
        <f ca="1">IF(INDIRECT("'数据-取费表'!ah"&amp;$G$1)="",INDIRECT("'数据-取费表'!k"&amp;$G$1),INDIRECT("'数据-取费表'!ah"&amp;$G$1))</f>
        <v>#N/A</v>
      </c>
      <c r="G7" s="1850"/>
      <c r="H7" s="349"/>
      <c r="I7" s="3300"/>
      <c r="J7" s="351"/>
      <c r="K7" s="352"/>
      <c r="L7" s="347" t="s">
        <v>1402</v>
      </c>
      <c r="M7" s="348" t="e">
        <f ca="1">F7</f>
        <v>#N/A</v>
      </c>
    </row>
    <row r="8" spans="1:37" ht="18" customHeight="1">
      <c r="A8" s="349"/>
      <c r="B8" s="3300"/>
      <c r="C8" s="351"/>
      <c r="D8" s="352"/>
      <c r="E8" s="347" t="s">
        <v>1403</v>
      </c>
      <c r="F8" s="348" t="e">
        <f ca="1">INDIRECT("'数据-取费表'!ai"&amp;$G$1)</f>
        <v>#N/A</v>
      </c>
      <c r="G8" s="1850"/>
      <c r="H8" s="349"/>
      <c r="I8" s="3300"/>
      <c r="J8" s="351"/>
      <c r="K8" s="352"/>
      <c r="L8" s="347" t="s">
        <v>1403</v>
      </c>
      <c r="M8" s="348" t="e">
        <f ca="1">INDIRECT("'数据-取费表'!ai"&amp;$G$1)</f>
        <v>#N/A</v>
      </c>
    </row>
    <row r="9" spans="1:37" ht="18" customHeight="1">
      <c r="A9" s="349"/>
      <c r="B9" s="3301"/>
      <c r="C9" s="351"/>
      <c r="D9" s="352"/>
      <c r="E9" s="347" t="s">
        <v>1404</v>
      </c>
      <c r="F9" s="357" t="e">
        <f ca="1">INDIRECT("'数据-取费表'!w"&amp;$G$1)</f>
        <v>#N/A</v>
      </c>
      <c r="G9" s="1850"/>
      <c r="H9" s="349"/>
      <c r="I9" s="3301"/>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3027</v>
      </c>
      <c r="E10" s="358" t="s">
        <v>1406</v>
      </c>
      <c r="F10" s="1366" t="s">
        <v>3350</v>
      </c>
      <c r="G10" s="1850"/>
      <c r="H10" s="1291" t="s">
        <v>1036</v>
      </c>
      <c r="I10" s="1822" t="s">
        <v>1405</v>
      </c>
      <c r="J10" s="346">
        <f ca="1">ROUND(IF(M10="押一",J6/12*M11,IF(M10="押二",J6/12*2*M11,IF(M10="押三",J6/12*3*M11,J11*M11))),0)</f>
        <v>0</v>
      </c>
      <c r="K10" s="1834" t="s">
        <v>3029</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3352</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3030</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7" t="s">
        <v>1544</v>
      </c>
      <c r="L53" s="3298"/>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3194</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2514</v>
      </c>
      <c r="B1" s="2561"/>
      <c r="C1" s="2561"/>
      <c r="D1" s="2561"/>
      <c r="E1" s="2562"/>
    </row>
    <row r="2" spans="1:6" ht="15.75">
      <c r="A2" s="2563" t="s">
        <v>2318</v>
      </c>
      <c r="B2" s="2564">
        <f ca="1">SUMIF(B6:B13,"&lt;&gt;#ref!",B6:B13)</f>
        <v>0</v>
      </c>
      <c r="C2" s="2565" t="s">
        <v>2507</v>
      </c>
      <c r="D2" s="2566" t="s">
        <v>2508</v>
      </c>
      <c r="E2" s="2567">
        <f>SUM(E6:E13)</f>
        <v>0</v>
      </c>
    </row>
    <row r="3" spans="1:6" ht="15.75">
      <c r="A3" s="2563" t="s">
        <v>1391</v>
      </c>
      <c r="B3" s="2564" t="e">
        <f ca="1">ROUND(B2*10000/E2,0)</f>
        <v>#DIV/0!</v>
      </c>
      <c r="C3" s="2565" t="s">
        <v>2515</v>
      </c>
      <c r="D3" s="2568"/>
      <c r="E3" s="2569"/>
    </row>
    <row r="4" spans="1:6" ht="15.75">
      <c r="A4" s="2570"/>
      <c r="B4" s="2568"/>
      <c r="C4" s="2568"/>
      <c r="D4" s="2568"/>
      <c r="E4" s="2569"/>
    </row>
    <row r="5" spans="1:6" ht="15">
      <c r="A5" s="2571" t="s">
        <v>2509</v>
      </c>
      <c r="B5" s="3302" t="s">
        <v>2510</v>
      </c>
      <c r="C5" s="3302"/>
      <c r="D5" s="2572"/>
      <c r="E5" s="2573" t="s">
        <v>2511</v>
      </c>
      <c r="F5" s="2574" t="s">
        <v>2512</v>
      </c>
    </row>
    <row r="6" spans="1:6">
      <c r="A6" s="2575">
        <f>'数据-取费表'!AN6</f>
        <v>0</v>
      </c>
      <c r="B6" s="2574" t="e">
        <f ca="1">IF(F6="是",'数据-取费表'!AO6,0)</f>
        <v>#REF!</v>
      </c>
      <c r="C6" s="2565" t="s">
        <v>2507</v>
      </c>
      <c r="D6" s="2568"/>
      <c r="E6" s="2576">
        <f>IF(OR(A6=0,F6="否"),0,'数据-取费表'!K6+'数据-取费表'!S6)</f>
        <v>0</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3" t="s">
        <v>1073</v>
      </c>
      <c r="B1" s="3304"/>
      <c r="C1" s="3305"/>
      <c r="D1" s="3306">
        <f>SUM(I10,I15,I20,I21,I23)</f>
        <v>0</v>
      </c>
      <c r="E1" s="3306"/>
      <c r="F1" s="3306"/>
      <c r="G1" s="3306"/>
      <c r="H1" s="3306"/>
      <c r="I1" s="3307"/>
    </row>
    <row r="2" spans="1:9">
      <c r="A2" s="3308" t="s">
        <v>1074</v>
      </c>
      <c r="B2" s="3309" t="s">
        <v>1075</v>
      </c>
      <c r="C2" s="3309"/>
      <c r="D2" s="1301" t="s">
        <v>1076</v>
      </c>
      <c r="E2" s="1301" t="s">
        <v>1077</v>
      </c>
      <c r="F2" s="1301" t="s">
        <v>1078</v>
      </c>
      <c r="G2" s="1301" t="s">
        <v>1079</v>
      </c>
      <c r="H2" s="1301" t="s">
        <v>1080</v>
      </c>
      <c r="I2" s="1302" t="s">
        <v>1081</v>
      </c>
    </row>
    <row r="3" spans="1:9">
      <c r="A3" s="3308"/>
      <c r="B3" s="3309" t="s">
        <v>1082</v>
      </c>
      <c r="C3" s="3309"/>
      <c r="D3" s="1303"/>
      <c r="E3" s="1301"/>
      <c r="F3" s="1304"/>
      <c r="G3" s="1304"/>
      <c r="H3" s="1305"/>
      <c r="I3" s="1306">
        <f>ROUND(D3*E3*F3*G3*H3/10000,0)</f>
        <v>0</v>
      </c>
    </row>
    <row r="4" spans="1:9">
      <c r="A4" s="3308"/>
      <c r="B4" s="3309" t="s">
        <v>1083</v>
      </c>
      <c r="C4" s="3309"/>
      <c r="D4" s="1303"/>
      <c r="E4" s="1301"/>
      <c r="F4" s="1304"/>
      <c r="G4" s="1304"/>
      <c r="H4" s="1305"/>
      <c r="I4" s="1306">
        <f t="shared" ref="I4:I9" si="0">ROUND(D4*E4*F4*G4*H4/10000,0)</f>
        <v>0</v>
      </c>
    </row>
    <row r="5" spans="1:9">
      <c r="A5" s="3308"/>
      <c r="B5" s="3309" t="s">
        <v>1084</v>
      </c>
      <c r="C5" s="3309"/>
      <c r="D5" s="1303"/>
      <c r="E5" s="1301"/>
      <c r="F5" s="1304"/>
      <c r="G5" s="1304"/>
      <c r="H5" s="1305"/>
      <c r="I5" s="1306">
        <f t="shared" si="0"/>
        <v>0</v>
      </c>
    </row>
    <row r="6" spans="1:9">
      <c r="A6" s="3308"/>
      <c r="B6" s="3309" t="s">
        <v>1085</v>
      </c>
      <c r="C6" s="3309"/>
      <c r="D6" s="1303"/>
      <c r="E6" s="1301"/>
      <c r="F6" s="1304"/>
      <c r="G6" s="1304"/>
      <c r="H6" s="1305"/>
      <c r="I6" s="1306">
        <f t="shared" si="0"/>
        <v>0</v>
      </c>
    </row>
    <row r="7" spans="1:9">
      <c r="A7" s="3308"/>
      <c r="B7" s="3309" t="s">
        <v>1086</v>
      </c>
      <c r="C7" s="3309"/>
      <c r="D7" s="1303"/>
      <c r="E7" s="1301"/>
      <c r="F7" s="1304"/>
      <c r="G7" s="1304"/>
      <c r="H7" s="1305"/>
      <c r="I7" s="1306">
        <f t="shared" si="0"/>
        <v>0</v>
      </c>
    </row>
    <row r="8" spans="1:9">
      <c r="A8" s="3308"/>
      <c r="B8" s="3309" t="s">
        <v>1087</v>
      </c>
      <c r="C8" s="3309"/>
      <c r="D8" s="1303"/>
      <c r="E8" s="1301"/>
      <c r="F8" s="1304"/>
      <c r="G8" s="1304"/>
      <c r="H8" s="1305"/>
      <c r="I8" s="1306">
        <f t="shared" si="0"/>
        <v>0</v>
      </c>
    </row>
    <row r="9" spans="1:9">
      <c r="A9" s="3308"/>
      <c r="B9" s="3309" t="s">
        <v>1088</v>
      </c>
      <c r="C9" s="3309"/>
      <c r="D9" s="1303"/>
      <c r="E9" s="1301"/>
      <c r="F9" s="1304"/>
      <c r="G9" s="1304"/>
      <c r="H9" s="1305"/>
      <c r="I9" s="1306">
        <f t="shared" si="0"/>
        <v>0</v>
      </c>
    </row>
    <row r="10" spans="1:9">
      <c r="A10" s="3308"/>
      <c r="B10" s="3310" t="s">
        <v>1089</v>
      </c>
      <c r="C10" s="3310"/>
      <c r="D10" s="1307"/>
      <c r="E10" s="1307" t="e">
        <f>ROUND(D1*10000/D10/H9,0)</f>
        <v>#DIV/0!</v>
      </c>
      <c r="F10" s="1308"/>
      <c r="G10" s="1308"/>
      <c r="H10" s="1309"/>
      <c r="I10" s="1310">
        <f>SUM(I3:I9)</f>
        <v>0</v>
      </c>
    </row>
    <row r="11" spans="1:9" ht="14.25">
      <c r="A11" s="3308" t="s">
        <v>1090</v>
      </c>
      <c r="B11" s="3309" t="s">
        <v>1091</v>
      </c>
      <c r="C11" s="3309"/>
      <c r="D11" s="1303" t="s">
        <v>1092</v>
      </c>
      <c r="E11" s="1303" t="s">
        <v>1093</v>
      </c>
      <c r="F11" s="1304" t="s">
        <v>1094</v>
      </c>
      <c r="G11" s="1304" t="s">
        <v>1080</v>
      </c>
      <c r="H11" s="1311" t="s">
        <v>1095</v>
      </c>
      <c r="I11" s="1302" t="s">
        <v>1081</v>
      </c>
    </row>
    <row r="12" spans="1:9">
      <c r="A12" s="3308"/>
      <c r="B12" s="3309" t="s">
        <v>1096</v>
      </c>
      <c r="C12" s="3309"/>
      <c r="D12" s="1303"/>
      <c r="E12" s="1303"/>
      <c r="F12" s="1304"/>
      <c r="G12" s="1305"/>
      <c r="H12" s="1312"/>
      <c r="I12" s="1302">
        <f>ROUND(D12*E12*F12*G12/10000,0)</f>
        <v>0</v>
      </c>
    </row>
    <row r="13" spans="1:9">
      <c r="A13" s="3308"/>
      <c r="B13" s="3309" t="s">
        <v>1097</v>
      </c>
      <c r="C13" s="3309"/>
      <c r="D13" s="1303"/>
      <c r="E13" s="1303"/>
      <c r="F13" s="1304"/>
      <c r="G13" s="1305"/>
      <c r="H13" s="1312"/>
      <c r="I13" s="1302">
        <f>ROUND(D13*E13*F13*G13/10000,0)</f>
        <v>0</v>
      </c>
    </row>
    <row r="14" spans="1:9">
      <c r="A14" s="3308"/>
      <c r="B14" s="3309" t="s">
        <v>1098</v>
      </c>
      <c r="C14" s="3309"/>
      <c r="D14" s="1303"/>
      <c r="E14" s="1303"/>
      <c r="F14" s="1304"/>
      <c r="G14" s="1305"/>
      <c r="H14" s="1312"/>
      <c r="I14" s="1302">
        <f>ROUND(D14*E14*F14*G14/10000,0)</f>
        <v>0</v>
      </c>
    </row>
    <row r="15" spans="1:9">
      <c r="A15" s="3308"/>
      <c r="B15" s="3310" t="s">
        <v>1089</v>
      </c>
      <c r="C15" s="3310"/>
      <c r="D15" s="1307"/>
      <c r="E15" s="1307">
        <f>SUM(E12:E14)</f>
        <v>0</v>
      </c>
      <c r="F15" s="1308"/>
      <c r="G15" s="1305"/>
      <c r="H15" s="1312"/>
      <c r="I15" s="1313">
        <f>SUM(I12:I14)</f>
        <v>0</v>
      </c>
    </row>
    <row r="16" spans="1:9" ht="24">
      <c r="A16" s="3308" t="s">
        <v>1099</v>
      </c>
      <c r="B16" s="3309" t="s">
        <v>1100</v>
      </c>
      <c r="C16" s="3309"/>
      <c r="D16" s="1303" t="s">
        <v>1076</v>
      </c>
      <c r="E16" s="1314" t="s">
        <v>1101</v>
      </c>
      <c r="F16" s="1304" t="s">
        <v>1102</v>
      </c>
      <c r="G16" s="1305" t="s">
        <v>1080</v>
      </c>
      <c r="H16" s="1311" t="s">
        <v>1095</v>
      </c>
      <c r="I16" s="1302" t="s">
        <v>1081</v>
      </c>
    </row>
    <row r="17" spans="1:9" ht="14.25">
      <c r="A17" s="3308"/>
      <c r="B17" s="3309" t="s">
        <v>1103</v>
      </c>
      <c r="C17" s="3309"/>
      <c r="D17" s="1303"/>
      <c r="E17" s="1303"/>
      <c r="F17" s="1304"/>
      <c r="G17" s="1305"/>
      <c r="H17" s="1315"/>
      <c r="I17" s="1316">
        <f>ROUND(D17*E17*F17*G17/10000,0)</f>
        <v>0</v>
      </c>
    </row>
    <row r="18" spans="1:9" ht="14.25">
      <c r="A18" s="3308"/>
      <c r="B18" s="3309" t="s">
        <v>1104</v>
      </c>
      <c r="C18" s="3309"/>
      <c r="D18" s="1303"/>
      <c r="E18" s="1303"/>
      <c r="F18" s="1304"/>
      <c r="G18" s="1305"/>
      <c r="H18" s="1315"/>
      <c r="I18" s="1316">
        <f>ROUND(D18*E18*F18*G18/10000,0)</f>
        <v>0</v>
      </c>
    </row>
    <row r="19" spans="1:9" ht="14.25">
      <c r="A19" s="3308"/>
      <c r="B19" s="3309" t="s">
        <v>1105</v>
      </c>
      <c r="C19" s="3309"/>
      <c r="D19" s="1303"/>
      <c r="E19" s="1303"/>
      <c r="F19" s="1304"/>
      <c r="G19" s="1305"/>
      <c r="H19" s="1315"/>
      <c r="I19" s="1316">
        <f>ROUND(D19*E19*F19*G19/10000,0)</f>
        <v>0</v>
      </c>
    </row>
    <row r="20" spans="1:9">
      <c r="A20" s="3308"/>
      <c r="B20" s="3310" t="s">
        <v>1089</v>
      </c>
      <c r="C20" s="3310"/>
      <c r="D20" s="1307">
        <f>SUM(D17:D19)</f>
        <v>0</v>
      </c>
      <c r="E20" s="1307"/>
      <c r="F20" s="1308"/>
      <c r="G20" s="1305"/>
      <c r="H20" s="1312"/>
      <c r="I20" s="1313">
        <f>SUM(I17:I19)</f>
        <v>0</v>
      </c>
    </row>
    <row r="21" spans="1:9">
      <c r="A21" s="3308" t="s">
        <v>1106</v>
      </c>
      <c r="B21" s="3312"/>
      <c r="C21" s="3312"/>
      <c r="D21" s="3312"/>
      <c r="E21" s="3312"/>
      <c r="F21" s="3312"/>
      <c r="G21" s="3312"/>
      <c r="H21" s="1764">
        <v>0.1</v>
      </c>
      <c r="I21" s="1310">
        <f>ROUND(I10*H21,0)</f>
        <v>0</v>
      </c>
    </row>
    <row r="22" spans="1:9" ht="14.25">
      <c r="A22" s="3313" t="s">
        <v>1107</v>
      </c>
      <c r="B22" s="3314"/>
      <c r="C22" s="3315"/>
      <c r="D22" s="1317" t="s">
        <v>1108</v>
      </c>
      <c r="E22" s="1317" t="s">
        <v>1109</v>
      </c>
      <c r="F22" s="1318" t="s">
        <v>1110</v>
      </c>
      <c r="G22" s="1318" t="s">
        <v>1111</v>
      </c>
      <c r="H22" s="1311" t="s">
        <v>1112</v>
      </c>
      <c r="I22" s="1302" t="s">
        <v>1113</v>
      </c>
    </row>
    <row r="23" spans="1:9" ht="14.25" thickBot="1">
      <c r="A23" s="3316"/>
      <c r="B23" s="3317"/>
      <c r="C23" s="3318"/>
      <c r="D23" s="1319"/>
      <c r="E23" s="1319"/>
      <c r="F23" s="1319"/>
      <c r="G23" s="1320"/>
      <c r="H23" s="1321"/>
      <c r="I23" s="1322">
        <f>ROUND(E23*D23*F23*(1-G23)/10000,0)</f>
        <v>0</v>
      </c>
    </row>
    <row r="26" spans="1:9">
      <c r="A26" s="1323" t="s">
        <v>1114</v>
      </c>
      <c r="B26" s="1323"/>
      <c r="C26" s="1323"/>
      <c r="D26" s="1323"/>
      <c r="E26" s="3319">
        <f>C27-C30-C31-C32</f>
        <v>0</v>
      </c>
      <c r="F26" s="3319"/>
      <c r="G26" s="3319"/>
      <c r="H26" s="1736" t="s">
        <v>1336</v>
      </c>
    </row>
    <row r="27" spans="1:9">
      <c r="A27" s="1324">
        <v>1</v>
      </c>
      <c r="B27" s="1325" t="s">
        <v>1115</v>
      </c>
      <c r="C27" s="1325">
        <f>C28+C29</f>
        <v>0</v>
      </c>
      <c r="D27" s="1325"/>
      <c r="E27" s="3320"/>
      <c r="F27" s="3320"/>
      <c r="G27" s="3320"/>
    </row>
    <row r="28" spans="1:9">
      <c r="A28" s="1326" t="s">
        <v>1116</v>
      </c>
      <c r="B28" s="1325" t="s">
        <v>1117</v>
      </c>
      <c r="C28" s="1325"/>
      <c r="D28" s="1325"/>
      <c r="E28" s="3320"/>
      <c r="F28" s="3320"/>
      <c r="G28" s="332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1"/>
      <c r="F32" s="3311"/>
      <c r="G32" s="3311"/>
    </row>
    <row r="33" spans="1:7" hidden="1">
      <c r="A33" s="3321" t="s">
        <v>1126</v>
      </c>
      <c r="B33" s="3322"/>
      <c r="C33" s="3322"/>
      <c r="D33" s="3323"/>
      <c r="E33" s="3319"/>
      <c r="F33" s="3319"/>
      <c r="G33" s="3319"/>
    </row>
    <row r="34" spans="1:7" hidden="1">
      <c r="A34" s="1328">
        <v>1</v>
      </c>
      <c r="B34" s="1325" t="s">
        <v>1127</v>
      </c>
      <c r="C34" s="1325"/>
      <c r="D34" s="1325"/>
      <c r="E34" s="3320"/>
      <c r="F34" s="3320"/>
      <c r="G34" s="3320"/>
    </row>
    <row r="35" spans="1:7" hidden="1">
      <c r="A35" s="1328">
        <v>2</v>
      </c>
      <c r="B35" s="1325" t="s">
        <v>1128</v>
      </c>
      <c r="C35" s="1325"/>
      <c r="D35" s="1325"/>
      <c r="E35" s="3320"/>
      <c r="F35" s="3320"/>
      <c r="G35" s="3320"/>
    </row>
    <row r="36" spans="1:7" hidden="1">
      <c r="A36" s="1328">
        <v>3</v>
      </c>
      <c r="B36" s="1325" t="s">
        <v>1129</v>
      </c>
      <c r="C36" s="1325"/>
      <c r="D36" s="1325"/>
      <c r="E36" s="3320"/>
      <c r="F36" s="3320"/>
      <c r="G36" s="3320"/>
    </row>
    <row r="37" spans="1:7" hidden="1">
      <c r="A37" s="1328">
        <v>4</v>
      </c>
      <c r="B37" s="1325" t="s">
        <v>1130</v>
      </c>
      <c r="C37" s="1325"/>
      <c r="D37" s="1325"/>
      <c r="E37" s="3320"/>
      <c r="F37" s="3320"/>
      <c r="G37" s="3320"/>
    </row>
    <row r="38" spans="1:7" hidden="1">
      <c r="A38" s="3321" t="s">
        <v>1131</v>
      </c>
      <c r="B38" s="3322"/>
      <c r="C38" s="3322"/>
      <c r="D38" s="3323"/>
      <c r="E38" s="3319"/>
      <c r="F38" s="3319"/>
      <c r="G38" s="33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3347</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16907</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10943</v>
      </c>
      <c r="C3" s="400" t="s">
        <v>2522</v>
      </c>
      <c r="D3" s="399">
        <f>IF(D1="",'数据-汇总表'!E3,SUMIF('数据-汇总表'!$C19:$C33,D1,'数据-汇总表'!$E19:$E33))</f>
        <v>15450.07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63" t="s">
        <v>2524</v>
      </c>
      <c r="D4" s="3264"/>
      <c r="E4" s="3265" t="s">
        <v>2525</v>
      </c>
      <c r="F4" s="3266"/>
      <c r="G4" s="3263" t="s">
        <v>2526</v>
      </c>
      <c r="H4" s="3264"/>
      <c r="I4" s="3263" t="s">
        <v>2527</v>
      </c>
      <c r="J4" s="3264"/>
      <c r="K4" s="2595" t="s">
        <v>2528</v>
      </c>
      <c r="L4" s="1130"/>
      <c r="M4" s="1131"/>
      <c r="N4" s="1131"/>
      <c r="O4" s="1131"/>
      <c r="P4" s="3267" t="s">
        <v>2529</v>
      </c>
      <c r="Q4" s="3268"/>
      <c r="R4" s="3250" t="s">
        <v>2525</v>
      </c>
      <c r="S4" s="3251"/>
      <c r="T4" s="3250" t="s">
        <v>2526</v>
      </c>
      <c r="U4" s="3251"/>
      <c r="V4" s="3275" t="s">
        <v>2527</v>
      </c>
      <c r="W4" s="3275"/>
      <c r="X4" s="1812"/>
      <c r="Y4" s="3250" t="s">
        <v>2529</v>
      </c>
      <c r="Z4" s="3251"/>
      <c r="AA4" s="3245" t="s">
        <v>2525</v>
      </c>
      <c r="AB4" s="3245" t="s">
        <v>2526</v>
      </c>
      <c r="AC4" s="3245" t="s">
        <v>2527</v>
      </c>
    </row>
    <row r="5" spans="1:29" ht="15">
      <c r="A5" s="404"/>
      <c r="B5" s="405"/>
      <c r="C5" s="3256" t="s">
        <v>3641</v>
      </c>
      <c r="D5" s="3257"/>
      <c r="E5" s="3324" t="s">
        <v>3701</v>
      </c>
      <c r="F5" s="3255"/>
      <c r="G5" s="3325" t="s">
        <v>3669</v>
      </c>
      <c r="H5" s="3257"/>
      <c r="I5" s="3325" t="s">
        <v>3645</v>
      </c>
      <c r="J5" s="3257"/>
      <c r="K5" s="2596"/>
      <c r="L5" s="1130"/>
      <c r="M5" s="1131"/>
      <c r="N5" s="1131"/>
      <c r="O5" s="1131"/>
      <c r="P5" s="3269"/>
      <c r="Q5" s="3270"/>
      <c r="R5" s="3252"/>
      <c r="S5" s="3253"/>
      <c r="T5" s="3252"/>
      <c r="U5" s="3253"/>
      <c r="V5" s="3275"/>
      <c r="W5" s="3275"/>
      <c r="X5" s="1812"/>
      <c r="Y5" s="3252"/>
      <c r="Z5" s="3253"/>
      <c r="AA5" s="3246"/>
      <c r="AB5" s="3246"/>
      <c r="AC5" s="3246"/>
    </row>
    <row r="6" spans="1:29" ht="15.75" thickBot="1">
      <c r="A6" s="406"/>
      <c r="B6" s="407"/>
      <c r="C6" s="3258" t="s">
        <v>3642</v>
      </c>
      <c r="D6" s="3259"/>
      <c r="E6" s="3260" t="s">
        <v>3642</v>
      </c>
      <c r="F6" s="3261"/>
      <c r="G6" s="3258" t="s">
        <v>3642</v>
      </c>
      <c r="H6" s="3259"/>
      <c r="I6" s="3258" t="s">
        <v>3642</v>
      </c>
      <c r="J6" s="3259"/>
      <c r="K6" s="2596" t="s">
        <v>2535</v>
      </c>
      <c r="L6" s="1130"/>
      <c r="M6" s="1131"/>
      <c r="N6" s="1131"/>
      <c r="O6" s="1131"/>
      <c r="P6" s="3271"/>
      <c r="Q6" s="3272"/>
      <c r="R6" s="3252"/>
      <c r="S6" s="3253"/>
      <c r="T6" s="3273"/>
      <c r="U6" s="3274"/>
      <c r="V6" s="3275"/>
      <c r="W6" s="3275"/>
      <c r="X6" s="1812"/>
      <c r="Y6" s="3273"/>
      <c r="Z6" s="3274"/>
      <c r="AA6" s="3247"/>
      <c r="AB6" s="3247"/>
      <c r="AC6" s="3247"/>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48" t="s">
        <v>2537</v>
      </c>
      <c r="Q7" s="3276"/>
      <c r="R7" s="770" t="s">
        <v>23</v>
      </c>
      <c r="S7" s="771">
        <f t="shared" ref="S7:S15" si="0">F7</f>
        <v>100</v>
      </c>
      <c r="T7" s="770" t="s">
        <v>23</v>
      </c>
      <c r="U7" s="771">
        <f t="shared" ref="U7:U15" si="1">H7</f>
        <v>100</v>
      </c>
      <c r="V7" s="770" t="s">
        <v>23</v>
      </c>
      <c r="W7" s="771">
        <f t="shared" ref="W7:W15" si="2">J7</f>
        <v>100</v>
      </c>
      <c r="X7" s="772"/>
      <c r="Y7" s="3248" t="s">
        <v>2537</v>
      </c>
      <c r="Z7" s="3249"/>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48" t="s">
        <v>2540</v>
      </c>
      <c r="Q8" s="3249"/>
      <c r="R8" s="770" t="s">
        <v>23</v>
      </c>
      <c r="S8" s="771">
        <f t="shared" si="0"/>
        <v>100</v>
      </c>
      <c r="T8" s="770" t="s">
        <v>23</v>
      </c>
      <c r="U8" s="771">
        <f t="shared" si="1"/>
        <v>100</v>
      </c>
      <c r="V8" s="770" t="s">
        <v>23</v>
      </c>
      <c r="W8" s="771">
        <f t="shared" si="2"/>
        <v>100</v>
      </c>
      <c r="X8" s="772"/>
      <c r="Y8" s="3248" t="s">
        <v>2540</v>
      </c>
      <c r="Z8" s="3249"/>
      <c r="AA8" s="773">
        <f t="shared" ref="AA8:AA19" si="3">D8/F8</f>
        <v>1</v>
      </c>
      <c r="AB8" s="773">
        <f t="shared" ref="AB8:AB19" si="4">D8/H8</f>
        <v>1</v>
      </c>
      <c r="AC8" s="773">
        <f t="shared" ref="AC8:AC19" si="5">D8/J8</f>
        <v>1</v>
      </c>
    </row>
    <row r="9" spans="1:29" s="117" customFormat="1">
      <c r="A9" s="415" t="s">
        <v>2541</v>
      </c>
      <c r="B9" s="71" t="s">
        <v>2542</v>
      </c>
      <c r="C9" s="3045" t="s">
        <v>3643</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86" t="s">
        <v>2543</v>
      </c>
      <c r="Q9" s="1794" t="str">
        <f t="shared" ref="Q9:Q15" si="6">B9</f>
        <v>用途</v>
      </c>
      <c r="R9" s="770" t="s">
        <v>17</v>
      </c>
      <c r="S9" s="771">
        <f t="shared" si="0"/>
        <v>100</v>
      </c>
      <c r="T9" s="770" t="s">
        <v>17</v>
      </c>
      <c r="U9" s="771">
        <f t="shared" si="1"/>
        <v>100</v>
      </c>
      <c r="V9" s="770" t="s">
        <v>17</v>
      </c>
      <c r="W9" s="771">
        <f t="shared" si="2"/>
        <v>100</v>
      </c>
      <c r="X9" s="772"/>
      <c r="Y9" s="3117" t="s">
        <v>2544</v>
      </c>
      <c r="Z9" s="55" t="str">
        <f t="shared" ref="Z9:Z15" si="7">Q9</f>
        <v>用途</v>
      </c>
      <c r="AA9" s="773">
        <f t="shared" si="3"/>
        <v>1</v>
      </c>
      <c r="AB9" s="773">
        <f t="shared" si="4"/>
        <v>1</v>
      </c>
      <c r="AC9" s="773">
        <f t="shared" si="5"/>
        <v>1</v>
      </c>
    </row>
    <row r="10" spans="1:29" s="427" customFormat="1" ht="27">
      <c r="A10" s="421"/>
      <c r="B10" s="422" t="s">
        <v>2545</v>
      </c>
      <c r="C10" s="423" t="s">
        <v>3644</v>
      </c>
      <c r="D10" s="136">
        <v>100</v>
      </c>
      <c r="E10" s="424" t="s">
        <v>3644</v>
      </c>
      <c r="F10" s="425">
        <f>SUMIF(65:65,E10,66:66)-SUMIF(65:65,C10,66:66)+100</f>
        <v>100</v>
      </c>
      <c r="G10" s="423" t="s">
        <v>3644</v>
      </c>
      <c r="H10" s="136">
        <f>SUMIF(65:65,G10,66:66)-SUMIF(65:65,C10,66:66)+100</f>
        <v>100</v>
      </c>
      <c r="I10" s="423" t="s">
        <v>3644</v>
      </c>
      <c r="J10" s="136">
        <f>SUMIF(65:65,I10,66:66)-SUMIF(65:65,C10,66:66)+100</f>
        <v>100</v>
      </c>
      <c r="K10" s="426">
        <v>2</v>
      </c>
      <c r="L10" s="1135"/>
      <c r="M10" s="1136"/>
      <c r="N10" s="1136"/>
      <c r="O10" s="1136"/>
      <c r="P10" s="3286"/>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773">
        <f t="shared" si="5"/>
        <v>1</v>
      </c>
    </row>
    <row r="11" spans="1:29" ht="15.75" thickBot="1">
      <c r="A11" s="428"/>
      <c r="B11" s="422"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86"/>
      <c r="Q11" s="1794" t="str">
        <f t="shared" si="6"/>
        <v>容积率</v>
      </c>
      <c r="R11" s="770" t="s">
        <v>21</v>
      </c>
      <c r="S11" s="771">
        <f t="shared" si="0"/>
        <v>98</v>
      </c>
      <c r="T11" s="770" t="s">
        <v>21</v>
      </c>
      <c r="U11" s="771">
        <f t="shared" si="1"/>
        <v>100</v>
      </c>
      <c r="V11" s="770" t="s">
        <v>21</v>
      </c>
      <c r="W11" s="771">
        <f t="shared" si="2"/>
        <v>98</v>
      </c>
      <c r="X11" s="772"/>
      <c r="Y11" s="3117"/>
      <c r="Z11" s="55" t="str">
        <f t="shared" si="7"/>
        <v>容积率</v>
      </c>
      <c r="AA11" s="773">
        <f t="shared" si="3"/>
        <v>1.0204081632653061</v>
      </c>
      <c r="AB11" s="773">
        <f t="shared" si="4"/>
        <v>1</v>
      </c>
      <c r="AC11" s="773">
        <f t="shared" si="5"/>
        <v>1.0204081632653061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86"/>
      <c r="Q12" s="1794">
        <f t="shared" si="6"/>
        <v>111</v>
      </c>
      <c r="R12" s="770" t="s">
        <v>21</v>
      </c>
      <c r="S12" s="771">
        <f t="shared" si="0"/>
        <v>100</v>
      </c>
      <c r="T12" s="770" t="s">
        <v>21</v>
      </c>
      <c r="U12" s="771">
        <f t="shared" si="1"/>
        <v>100</v>
      </c>
      <c r="V12" s="770" t="s">
        <v>21</v>
      </c>
      <c r="W12" s="771">
        <f t="shared" si="2"/>
        <v>100</v>
      </c>
      <c r="X12" s="772"/>
      <c r="Y12" s="3117"/>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86"/>
      <c r="Q13" s="1794">
        <f t="shared" si="6"/>
        <v>111</v>
      </c>
      <c r="R13" s="770" t="s">
        <v>21</v>
      </c>
      <c r="S13" s="771">
        <f t="shared" si="0"/>
        <v>100</v>
      </c>
      <c r="T13" s="770" t="s">
        <v>21</v>
      </c>
      <c r="U13" s="771">
        <f t="shared" si="1"/>
        <v>100</v>
      </c>
      <c r="V13" s="770" t="s">
        <v>21</v>
      </c>
      <c r="W13" s="771">
        <f t="shared" si="2"/>
        <v>100</v>
      </c>
      <c r="X13" s="772"/>
      <c r="Y13" s="3117"/>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86"/>
      <c r="Q14" s="1794">
        <f t="shared" si="6"/>
        <v>111</v>
      </c>
      <c r="R14" s="770" t="s">
        <v>21</v>
      </c>
      <c r="S14" s="771">
        <f t="shared" si="0"/>
        <v>100</v>
      </c>
      <c r="T14" s="770" t="s">
        <v>21</v>
      </c>
      <c r="U14" s="771">
        <f t="shared" si="1"/>
        <v>100</v>
      </c>
      <c r="V14" s="770" t="s">
        <v>21</v>
      </c>
      <c r="W14" s="771">
        <f t="shared" si="2"/>
        <v>100</v>
      </c>
      <c r="X14" s="772"/>
      <c r="Y14" s="3117"/>
      <c r="Z14" s="55">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2" t="s">
        <v>2548</v>
      </c>
      <c r="Q15" s="1809" t="str">
        <f t="shared" si="6"/>
        <v>居住社区成熟度</v>
      </c>
      <c r="R15" s="774" t="s">
        <v>21</v>
      </c>
      <c r="S15" s="775">
        <f t="shared" si="0"/>
        <v>100</v>
      </c>
      <c r="T15" s="774" t="s">
        <v>21</v>
      </c>
      <c r="U15" s="775">
        <f t="shared" si="1"/>
        <v>97</v>
      </c>
      <c r="V15" s="774" t="s">
        <v>21</v>
      </c>
      <c r="W15" s="775">
        <f t="shared" si="2"/>
        <v>100</v>
      </c>
      <c r="X15" s="1812"/>
      <c r="Y15" s="3277" t="s">
        <v>2548</v>
      </c>
      <c r="Z15" s="1813" t="str">
        <f t="shared" si="7"/>
        <v>居住社区成熟度</v>
      </c>
      <c r="AA15" s="1810">
        <f t="shared" si="3"/>
        <v>1</v>
      </c>
      <c r="AB15" s="1810">
        <f t="shared" si="4"/>
        <v>1.0309278350515463</v>
      </c>
      <c r="AC15" s="1810">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3"/>
      <c r="Q16" s="1809"/>
      <c r="R16" s="774"/>
      <c r="S16" s="775"/>
      <c r="T16" s="774"/>
      <c r="U16" s="775"/>
      <c r="V16" s="774"/>
      <c r="W16" s="775"/>
      <c r="X16" s="1812"/>
      <c r="Y16" s="3278"/>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3"/>
      <c r="Q17" s="1809" t="str">
        <f>B17</f>
        <v>交通便捷度</v>
      </c>
      <c r="R17" s="774" t="s">
        <v>21</v>
      </c>
      <c r="S17" s="775">
        <f>F17</f>
        <v>100</v>
      </c>
      <c r="T17" s="774" t="s">
        <v>21</v>
      </c>
      <c r="U17" s="775">
        <f>H17</f>
        <v>98</v>
      </c>
      <c r="V17" s="774" t="s">
        <v>21</v>
      </c>
      <c r="W17" s="775">
        <f>J17</f>
        <v>100</v>
      </c>
      <c r="X17" s="1812"/>
      <c r="Y17" s="3278"/>
      <c r="Z17" s="1813" t="str">
        <f>Q17</f>
        <v>交通便捷度</v>
      </c>
      <c r="AA17" s="1810">
        <f t="shared" si="3"/>
        <v>1</v>
      </c>
      <c r="AB17" s="1810">
        <f t="shared" si="4"/>
        <v>1.0204081632653061</v>
      </c>
      <c r="AC17" s="1810">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3"/>
      <c r="Q18" s="1809"/>
      <c r="R18" s="774"/>
      <c r="S18" s="775"/>
      <c r="T18" s="774"/>
      <c r="U18" s="775"/>
      <c r="V18" s="774"/>
      <c r="W18" s="775"/>
      <c r="X18" s="1812"/>
      <c r="Y18" s="3278"/>
      <c r="Z18" s="1813"/>
      <c r="AA18" s="1810">
        <v>1</v>
      </c>
      <c r="AB18" s="1810">
        <v>1</v>
      </c>
      <c r="AC18" s="1810">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3"/>
      <c r="Q19" s="1809" t="str">
        <f>B19</f>
        <v>公共配套设施</v>
      </c>
      <c r="R19" s="774" t="s">
        <v>21</v>
      </c>
      <c r="S19" s="775">
        <f>F19</f>
        <v>100</v>
      </c>
      <c r="T19" s="774" t="s">
        <v>21</v>
      </c>
      <c r="U19" s="775">
        <f>H19</f>
        <v>100</v>
      </c>
      <c r="V19" s="774" t="s">
        <v>21</v>
      </c>
      <c r="W19" s="775">
        <f>J19</f>
        <v>100</v>
      </c>
      <c r="X19" s="1812"/>
      <c r="Y19" s="3278"/>
      <c r="Z19" s="1813" t="str">
        <f>Q19</f>
        <v>公共配套设施</v>
      </c>
      <c r="AA19" s="1810">
        <f t="shared" si="3"/>
        <v>1</v>
      </c>
      <c r="AB19" s="1810">
        <f t="shared" si="4"/>
        <v>1</v>
      </c>
      <c r="AC19" s="1810">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3"/>
      <c r="Q20" s="1809"/>
      <c r="R20" s="774"/>
      <c r="S20" s="775"/>
      <c r="T20" s="774"/>
      <c r="U20" s="775"/>
      <c r="V20" s="774"/>
      <c r="W20" s="775"/>
      <c r="X20" s="1812"/>
      <c r="Y20" s="3278"/>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3"/>
      <c r="Q21" s="1809" t="str">
        <f>B21</f>
        <v>基础设施水平</v>
      </c>
      <c r="R21" s="774" t="s">
        <v>17</v>
      </c>
      <c r="S21" s="775">
        <f>F21</f>
        <v>100</v>
      </c>
      <c r="T21" s="774" t="s">
        <v>17</v>
      </c>
      <c r="U21" s="775">
        <f>H21</f>
        <v>100</v>
      </c>
      <c r="V21" s="774" t="s">
        <v>17</v>
      </c>
      <c r="W21" s="775">
        <f>J21</f>
        <v>100</v>
      </c>
      <c r="X21" s="1812"/>
      <c r="Y21" s="3278"/>
      <c r="Z21" s="1813" t="str">
        <f>Q21</f>
        <v>基础设施水平</v>
      </c>
      <c r="AA21" s="1810">
        <f t="shared" ref="AA21" si="8">D21/F21</f>
        <v>1</v>
      </c>
      <c r="AB21" s="1810">
        <f t="shared" ref="AB21" si="9">D21/H21</f>
        <v>1</v>
      </c>
      <c r="AC21" s="1810">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3"/>
      <c r="Q22" s="1809"/>
      <c r="R22" s="774"/>
      <c r="S22" s="775"/>
      <c r="T22" s="774"/>
      <c r="U22" s="775"/>
      <c r="V22" s="774"/>
      <c r="W22" s="775"/>
      <c r="X22" s="1812"/>
      <c r="Y22" s="3278"/>
      <c r="Z22" s="1813"/>
      <c r="AA22" s="1810">
        <v>1</v>
      </c>
      <c r="AB22" s="1810">
        <v>1</v>
      </c>
      <c r="AC22" s="1810">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3"/>
      <c r="Q23" s="1809" t="str">
        <f>B23</f>
        <v>自然及人文环境</v>
      </c>
      <c r="R23" s="774" t="s">
        <v>21</v>
      </c>
      <c r="S23" s="775">
        <f>F23</f>
        <v>100</v>
      </c>
      <c r="T23" s="774" t="s">
        <v>21</v>
      </c>
      <c r="U23" s="775">
        <f>H23</f>
        <v>98</v>
      </c>
      <c r="V23" s="774" t="s">
        <v>21</v>
      </c>
      <c r="W23" s="775">
        <f>J23</f>
        <v>100</v>
      </c>
      <c r="X23" s="1812"/>
      <c r="Y23" s="3278"/>
      <c r="Z23" s="1813" t="str">
        <f>Q23</f>
        <v>自然及人文环境</v>
      </c>
      <c r="AA23" s="1810">
        <f>D23/F23</f>
        <v>1</v>
      </c>
      <c r="AB23" s="1810">
        <f>D23/H23</f>
        <v>1.0204081632653061</v>
      </c>
      <c r="AC23" s="1810">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3"/>
      <c r="Q24" s="1809"/>
      <c r="R24" s="774"/>
      <c r="S24" s="775"/>
      <c r="T24" s="774"/>
      <c r="U24" s="775"/>
      <c r="V24" s="774"/>
      <c r="W24" s="775"/>
      <c r="X24" s="1812"/>
      <c r="Y24" s="3278"/>
      <c r="Z24" s="1813"/>
      <c r="AA24" s="1810">
        <v>1</v>
      </c>
      <c r="AB24" s="1810">
        <v>1</v>
      </c>
      <c r="AC24" s="1810">
        <v>1</v>
      </c>
    </row>
    <row r="25" spans="1:29" ht="15" hidden="1">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8"/>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3"/>
      <c r="Q26" s="1809" t="str">
        <f t="shared" si="11"/>
        <v>朝向</v>
      </c>
      <c r="R26" s="774" t="s">
        <v>21</v>
      </c>
      <c r="S26" s="775">
        <f t="shared" si="12"/>
        <v>100</v>
      </c>
      <c r="T26" s="774" t="s">
        <v>21</v>
      </c>
      <c r="U26" s="775">
        <f t="shared" si="13"/>
        <v>100</v>
      </c>
      <c r="V26" s="774" t="s">
        <v>21</v>
      </c>
      <c r="W26" s="775">
        <f t="shared" si="14"/>
        <v>100</v>
      </c>
      <c r="X26" s="1812"/>
      <c r="Y26" s="3278"/>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3"/>
      <c r="Q27" s="1794">
        <f t="shared" si="11"/>
        <v>111</v>
      </c>
      <c r="R27" s="770" t="s">
        <v>21</v>
      </c>
      <c r="S27" s="771">
        <f t="shared" si="12"/>
        <v>100</v>
      </c>
      <c r="T27" s="770" t="s">
        <v>21</v>
      </c>
      <c r="U27" s="771">
        <f t="shared" si="13"/>
        <v>100</v>
      </c>
      <c r="V27" s="770" t="s">
        <v>21</v>
      </c>
      <c r="W27" s="771">
        <f t="shared" si="14"/>
        <v>100</v>
      </c>
      <c r="X27" s="772"/>
      <c r="Y27" s="3278"/>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3"/>
      <c r="Q28" s="1809">
        <f t="shared" si="11"/>
        <v>111</v>
      </c>
      <c r="R28" s="774" t="s">
        <v>21</v>
      </c>
      <c r="S28" s="775">
        <f t="shared" si="12"/>
        <v>100</v>
      </c>
      <c r="T28" s="774" t="s">
        <v>21</v>
      </c>
      <c r="U28" s="775">
        <f t="shared" si="13"/>
        <v>100</v>
      </c>
      <c r="V28" s="774" t="s">
        <v>21</v>
      </c>
      <c r="W28" s="775">
        <f t="shared" si="14"/>
        <v>100</v>
      </c>
      <c r="X28" s="1812"/>
      <c r="Y28" s="3278"/>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3"/>
      <c r="Q29" s="1809">
        <f t="shared" si="11"/>
        <v>111</v>
      </c>
      <c r="R29" s="774" t="s">
        <v>21</v>
      </c>
      <c r="S29" s="775">
        <f t="shared" si="12"/>
        <v>100</v>
      </c>
      <c r="T29" s="774" t="s">
        <v>21</v>
      </c>
      <c r="U29" s="775">
        <f t="shared" si="13"/>
        <v>100</v>
      </c>
      <c r="V29" s="774" t="s">
        <v>21</v>
      </c>
      <c r="W29" s="775">
        <f t="shared" si="14"/>
        <v>100</v>
      </c>
      <c r="X29" s="1812"/>
      <c r="Y29" s="3278"/>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3"/>
      <c r="Q30" s="1809">
        <f t="shared" si="11"/>
        <v>111</v>
      </c>
      <c r="R30" s="774" t="s">
        <v>21</v>
      </c>
      <c r="S30" s="775">
        <f t="shared" si="12"/>
        <v>100</v>
      </c>
      <c r="T30" s="774" t="s">
        <v>21</v>
      </c>
      <c r="U30" s="775">
        <f t="shared" si="13"/>
        <v>100</v>
      </c>
      <c r="V30" s="774" t="s">
        <v>21</v>
      </c>
      <c r="W30" s="775">
        <f t="shared" si="14"/>
        <v>100</v>
      </c>
      <c r="X30" s="1812"/>
      <c r="Y30" s="3278"/>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3"/>
      <c r="Q31" s="1809">
        <f t="shared" si="11"/>
        <v>111</v>
      </c>
      <c r="R31" s="774" t="s">
        <v>21</v>
      </c>
      <c r="S31" s="775">
        <f t="shared" si="12"/>
        <v>100</v>
      </c>
      <c r="T31" s="774" t="s">
        <v>21</v>
      </c>
      <c r="U31" s="775">
        <f t="shared" si="13"/>
        <v>100</v>
      </c>
      <c r="V31" s="774" t="s">
        <v>21</v>
      </c>
      <c r="W31" s="775">
        <f t="shared" si="14"/>
        <v>100</v>
      </c>
      <c r="X31" s="1812"/>
      <c r="Y31" s="3278"/>
      <c r="Z31" s="1813">
        <f t="shared" si="18"/>
        <v>111</v>
      </c>
      <c r="AA31" s="1810">
        <f t="shared" si="15"/>
        <v>1</v>
      </c>
      <c r="AB31" s="1810">
        <f t="shared" si="16"/>
        <v>1</v>
      </c>
      <c r="AC31" s="1810">
        <f t="shared" si="17"/>
        <v>1</v>
      </c>
    </row>
    <row r="32" spans="1:29" ht="15">
      <c r="A32" s="440" t="s">
        <v>2551</v>
      </c>
      <c r="B32" s="71" t="s">
        <v>2552</v>
      </c>
      <c r="C32" s="2616" t="s">
        <v>3347</v>
      </c>
      <c r="D32" s="467">
        <v>100</v>
      </c>
      <c r="E32" s="2617" t="s">
        <v>3347</v>
      </c>
      <c r="F32" s="461">
        <f>SUMIF(100:100,E32,101:101)-SUMIF(100:100,C32,101:101)+100</f>
        <v>100</v>
      </c>
      <c r="G32" s="2616" t="s">
        <v>3347</v>
      </c>
      <c r="H32" s="467">
        <f>SUMIF(100:100,G32,101:101)-SUMIF(100:100,C32,101:101)+100</f>
        <v>100</v>
      </c>
      <c r="I32" s="2617" t="s">
        <v>3347</v>
      </c>
      <c r="J32" s="435">
        <f>SUMIF(100:100,I32,101:101)-SUMIF(100:100,C32,101:101)+100</f>
        <v>100</v>
      </c>
      <c r="K32" s="426">
        <v>10</v>
      </c>
      <c r="L32" s="1140"/>
      <c r="M32" s="1131"/>
      <c r="N32" s="1131"/>
      <c r="O32" s="1131"/>
      <c r="P32" s="3328" t="s">
        <v>2553</v>
      </c>
      <c r="Q32" s="1809" t="str">
        <f t="shared" si="11"/>
        <v>建筑类型</v>
      </c>
      <c r="R32" s="774" t="s">
        <v>21</v>
      </c>
      <c r="S32" s="775">
        <f t="shared" si="12"/>
        <v>100</v>
      </c>
      <c r="T32" s="774" t="s">
        <v>21</v>
      </c>
      <c r="U32" s="775">
        <f t="shared" si="13"/>
        <v>100</v>
      </c>
      <c r="V32" s="774" t="s">
        <v>21</v>
      </c>
      <c r="W32" s="775">
        <f t="shared" si="14"/>
        <v>100</v>
      </c>
      <c r="X32" s="1812"/>
      <c r="Y32" s="3280" t="s">
        <v>2553</v>
      </c>
      <c r="Z32" s="1813" t="str">
        <f t="shared" si="18"/>
        <v>建筑类型</v>
      </c>
      <c r="AA32" s="1810">
        <f t="shared" si="15"/>
        <v>1</v>
      </c>
      <c r="AB32" s="1810">
        <f t="shared" si="16"/>
        <v>1</v>
      </c>
      <c r="AC32" s="1810">
        <f t="shared" si="17"/>
        <v>1</v>
      </c>
    </row>
    <row r="33" spans="1:29" s="471" customFormat="1" ht="15">
      <c r="A33" s="468"/>
      <c r="B33" s="422"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29"/>
      <c r="Q33" s="776" t="str">
        <f t="shared" si="11"/>
        <v>项目建筑规模</v>
      </c>
      <c r="R33" s="777" t="s">
        <v>21</v>
      </c>
      <c r="S33" s="778">
        <f t="shared" si="12"/>
        <v>104</v>
      </c>
      <c r="T33" s="777" t="s">
        <v>21</v>
      </c>
      <c r="U33" s="778">
        <f t="shared" si="13"/>
        <v>102</v>
      </c>
      <c r="V33" s="777" t="s">
        <v>21</v>
      </c>
      <c r="W33" s="778">
        <f t="shared" si="14"/>
        <v>102</v>
      </c>
      <c r="X33" s="779"/>
      <c r="Y33" s="3280"/>
      <c r="Z33" s="780" t="str">
        <f t="shared" si="18"/>
        <v>项目建筑规模</v>
      </c>
      <c r="AA33" s="1810">
        <f t="shared" si="15"/>
        <v>0.96153846153846156</v>
      </c>
      <c r="AB33" s="1810">
        <f t="shared" si="16"/>
        <v>0.98039215686274506</v>
      </c>
      <c r="AC33" s="1810">
        <f t="shared" si="17"/>
        <v>0.98039215686274506</v>
      </c>
    </row>
    <row r="34" spans="1:29" ht="15">
      <c r="A34" s="472"/>
      <c r="B34" s="422"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29"/>
      <c r="Q34" s="1809" t="str">
        <f t="shared" si="11"/>
        <v>建筑结构</v>
      </c>
      <c r="R34" s="774" t="s">
        <v>21</v>
      </c>
      <c r="S34" s="775">
        <f t="shared" si="12"/>
        <v>100</v>
      </c>
      <c r="T34" s="774" t="s">
        <v>21</v>
      </c>
      <c r="U34" s="775">
        <f t="shared" si="13"/>
        <v>100</v>
      </c>
      <c r="V34" s="774" t="s">
        <v>21</v>
      </c>
      <c r="W34" s="775">
        <f t="shared" si="14"/>
        <v>100</v>
      </c>
      <c r="X34" s="1812"/>
      <c r="Y34" s="3280"/>
      <c r="Z34" s="1813" t="str">
        <f t="shared" si="18"/>
        <v>建筑结构</v>
      </c>
      <c r="AA34" s="1810">
        <f t="shared" si="15"/>
        <v>1</v>
      </c>
      <c r="AB34" s="1810">
        <f t="shared" si="16"/>
        <v>1</v>
      </c>
      <c r="AC34" s="1810">
        <f t="shared" si="17"/>
        <v>1</v>
      </c>
    </row>
    <row r="35" spans="1:29" ht="15">
      <c r="A35" s="472"/>
      <c r="B35" s="422" t="s">
        <v>2556</v>
      </c>
      <c r="C35" s="2612" t="s">
        <v>3655</v>
      </c>
      <c r="D35" s="435">
        <v>100</v>
      </c>
      <c r="E35" s="2612" t="s">
        <v>3655</v>
      </c>
      <c r="F35" s="461">
        <f>SUMIF(107:107,E35,108:108)-SUMIF(107:107,C35,108:108)+100</f>
        <v>100</v>
      </c>
      <c r="G35" s="2612" t="s">
        <v>3655</v>
      </c>
      <c r="H35" s="435">
        <f>SUMIF(107:107,G35,108:108)-SUMIF(107:107,C35,108:108)+100</f>
        <v>100</v>
      </c>
      <c r="I35" s="2612" t="s">
        <v>3655</v>
      </c>
      <c r="J35" s="435">
        <f>SUMIF(107:107,I35,108:108)-SUMIF(107:107,C35,108:108)+100</f>
        <v>100</v>
      </c>
      <c r="K35" s="426">
        <v>2</v>
      </c>
      <c r="L35" s="1140"/>
      <c r="M35" s="1131"/>
      <c r="N35" s="1131"/>
      <c r="O35" s="1131"/>
      <c r="P35" s="3329"/>
      <c r="Q35" s="1809" t="str">
        <f t="shared" si="11"/>
        <v>建筑品质</v>
      </c>
      <c r="R35" s="774" t="s">
        <v>21</v>
      </c>
      <c r="S35" s="775">
        <f t="shared" si="12"/>
        <v>100</v>
      </c>
      <c r="T35" s="774" t="s">
        <v>21</v>
      </c>
      <c r="U35" s="775">
        <f t="shared" si="13"/>
        <v>100</v>
      </c>
      <c r="V35" s="774" t="s">
        <v>21</v>
      </c>
      <c r="W35" s="775">
        <f t="shared" si="14"/>
        <v>100</v>
      </c>
      <c r="X35" s="1812"/>
      <c r="Y35" s="3280"/>
      <c r="Z35" s="1813" t="str">
        <f t="shared" si="18"/>
        <v>建筑品质</v>
      </c>
      <c r="AA35" s="1810">
        <f t="shared" si="15"/>
        <v>1</v>
      </c>
      <c r="AB35" s="1810">
        <f t="shared" si="16"/>
        <v>1</v>
      </c>
      <c r="AC35" s="1810">
        <f t="shared" si="17"/>
        <v>1</v>
      </c>
    </row>
    <row r="36" spans="1:29" ht="15">
      <c r="A36" s="472"/>
      <c r="B36" s="422" t="s">
        <v>2557</v>
      </c>
      <c r="C36" s="2612" t="s">
        <v>3658</v>
      </c>
      <c r="D36" s="435">
        <v>100</v>
      </c>
      <c r="E36" s="2612" t="s">
        <v>3658</v>
      </c>
      <c r="F36" s="461">
        <f>SUMIF(109:109,E36,110:110)-SUMIF(109:109,C36,110:110)+100</f>
        <v>100</v>
      </c>
      <c r="G36" s="2612" t="s">
        <v>3658</v>
      </c>
      <c r="H36" s="435">
        <f>SUMIF(109:109,G36,110:110)-SUMIF(109:109,C36,110:110)+100</f>
        <v>100</v>
      </c>
      <c r="I36" s="2612" t="s">
        <v>3658</v>
      </c>
      <c r="J36" s="435">
        <f>SUMIF(109:109,I36,110:110)-SUMIF(109:109,C36,110:110)+100</f>
        <v>100</v>
      </c>
      <c r="K36" s="426">
        <v>3</v>
      </c>
      <c r="L36" s="1140"/>
      <c r="M36" s="1131"/>
      <c r="N36" s="1131"/>
      <c r="O36" s="1131"/>
      <c r="P36" s="3329"/>
      <c r="Q36" s="1809" t="str">
        <f t="shared" si="11"/>
        <v>公共部分装修</v>
      </c>
      <c r="R36" s="774" t="s">
        <v>21</v>
      </c>
      <c r="S36" s="775">
        <f t="shared" si="12"/>
        <v>100</v>
      </c>
      <c r="T36" s="774" t="s">
        <v>21</v>
      </c>
      <c r="U36" s="775">
        <f t="shared" si="13"/>
        <v>100</v>
      </c>
      <c r="V36" s="774" t="s">
        <v>21</v>
      </c>
      <c r="W36" s="775">
        <f t="shared" si="14"/>
        <v>100</v>
      </c>
      <c r="X36" s="1812"/>
      <c r="Y36" s="3280"/>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29"/>
      <c r="Q37" s="1794" t="str">
        <f t="shared" si="11"/>
        <v>成新度</v>
      </c>
      <c r="R37" s="770" t="s">
        <v>21</v>
      </c>
      <c r="S37" s="771">
        <f t="shared" si="12"/>
        <v>100</v>
      </c>
      <c r="T37" s="770" t="s">
        <v>21</v>
      </c>
      <c r="U37" s="771">
        <f t="shared" si="13"/>
        <v>100</v>
      </c>
      <c r="V37" s="770" t="s">
        <v>21</v>
      </c>
      <c r="W37" s="771">
        <f t="shared" si="14"/>
        <v>100</v>
      </c>
      <c r="X37" s="772"/>
      <c r="Y37" s="3280"/>
      <c r="Z37" s="55" t="str">
        <f t="shared" si="18"/>
        <v>成新度</v>
      </c>
      <c r="AA37" s="773">
        <f t="shared" si="15"/>
        <v>1</v>
      </c>
      <c r="AB37" s="773">
        <f t="shared" si="16"/>
        <v>1</v>
      </c>
      <c r="AC37" s="773">
        <f t="shared" si="17"/>
        <v>1</v>
      </c>
    </row>
    <row r="38" spans="1:29" ht="15">
      <c r="A38" s="472"/>
      <c r="B38" s="422" t="s">
        <v>2559</v>
      </c>
      <c r="C38" s="2612" t="s">
        <v>3664</v>
      </c>
      <c r="D38" s="435">
        <v>100</v>
      </c>
      <c r="E38" s="2612" t="s">
        <v>3664</v>
      </c>
      <c r="F38" s="461">
        <f>SUMIF(114:114,E38,115:115)-SUMIF(114:114,C38,115:115)+100</f>
        <v>100</v>
      </c>
      <c r="G38" s="2612" t="s">
        <v>3664</v>
      </c>
      <c r="H38" s="435">
        <f>SUMIF(114:114,G38,115:115)-SUMIF(114:114,C38,115:115)+100</f>
        <v>100</v>
      </c>
      <c r="I38" s="2612" t="s">
        <v>3664</v>
      </c>
      <c r="J38" s="435">
        <f>SUMIF(114:114,I38,115:115)-SUMIF(114:114,C38,115:115)+100</f>
        <v>100</v>
      </c>
      <c r="K38" s="426">
        <v>2</v>
      </c>
      <c r="L38" s="1140"/>
      <c r="M38" s="1131"/>
      <c r="N38" s="1131"/>
      <c r="O38" s="1131"/>
      <c r="P38" s="3329" t="s">
        <v>2553</v>
      </c>
      <c r="Q38" s="1809" t="str">
        <f t="shared" si="11"/>
        <v>物业管理</v>
      </c>
      <c r="R38" s="774" t="s">
        <v>21</v>
      </c>
      <c r="S38" s="775">
        <f t="shared" si="12"/>
        <v>100</v>
      </c>
      <c r="T38" s="774" t="s">
        <v>21</v>
      </c>
      <c r="U38" s="775">
        <f t="shared" si="13"/>
        <v>100</v>
      </c>
      <c r="V38" s="774" t="s">
        <v>21</v>
      </c>
      <c r="W38" s="775">
        <f t="shared" si="14"/>
        <v>100</v>
      </c>
      <c r="X38" s="1812"/>
      <c r="Y38" s="3280" t="s">
        <v>2553</v>
      </c>
      <c r="Z38" s="1813" t="str">
        <f t="shared" si="18"/>
        <v>物业管理</v>
      </c>
      <c r="AA38" s="1810">
        <f t="shared" si="15"/>
        <v>1</v>
      </c>
      <c r="AB38" s="1810">
        <f t="shared" si="16"/>
        <v>1</v>
      </c>
      <c r="AC38" s="1810">
        <f t="shared" si="17"/>
        <v>1</v>
      </c>
    </row>
    <row r="39" spans="1:29" ht="15">
      <c r="A39" s="472"/>
      <c r="B39" s="422"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29"/>
      <c r="Q39" s="1809" t="str">
        <f t="shared" si="11"/>
        <v>市政基础设施</v>
      </c>
      <c r="R39" s="774" t="s">
        <v>21</v>
      </c>
      <c r="S39" s="775">
        <f t="shared" si="12"/>
        <v>100</v>
      </c>
      <c r="T39" s="774" t="s">
        <v>21</v>
      </c>
      <c r="U39" s="775">
        <f t="shared" si="13"/>
        <v>100</v>
      </c>
      <c r="V39" s="774" t="s">
        <v>21</v>
      </c>
      <c r="W39" s="775">
        <f t="shared" si="14"/>
        <v>100</v>
      </c>
      <c r="X39" s="1812"/>
      <c r="Y39" s="3280"/>
      <c r="Z39" s="1813" t="str">
        <f t="shared" si="18"/>
        <v>市政基础设施</v>
      </c>
      <c r="AA39" s="1810">
        <f t="shared" si="15"/>
        <v>1</v>
      </c>
      <c r="AB39" s="1810">
        <f t="shared" si="16"/>
        <v>1</v>
      </c>
      <c r="AC39" s="1810">
        <f t="shared" si="17"/>
        <v>1</v>
      </c>
    </row>
    <row r="40" spans="1:29" ht="15" hidden="1">
      <c r="A40" s="472"/>
      <c r="B40" s="422"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29"/>
      <c r="Q40" s="1809" t="str">
        <f t="shared" si="11"/>
        <v>房型</v>
      </c>
      <c r="R40" s="774" t="s">
        <v>21</v>
      </c>
      <c r="S40" s="775">
        <f t="shared" si="12"/>
        <v>100</v>
      </c>
      <c r="T40" s="774" t="s">
        <v>21</v>
      </c>
      <c r="U40" s="775">
        <f t="shared" si="13"/>
        <v>100</v>
      </c>
      <c r="V40" s="774" t="s">
        <v>21</v>
      </c>
      <c r="W40" s="775">
        <f t="shared" si="14"/>
        <v>100</v>
      </c>
      <c r="X40" s="1812"/>
      <c r="Y40" s="3280"/>
      <c r="Z40" s="1813" t="str">
        <f t="shared" si="18"/>
        <v>房型</v>
      </c>
      <c r="AA40" s="1810">
        <f t="shared" si="15"/>
        <v>1</v>
      </c>
      <c r="AB40" s="1810">
        <f t="shared" si="16"/>
        <v>1</v>
      </c>
      <c r="AC40" s="1810">
        <f t="shared" si="17"/>
        <v>1</v>
      </c>
    </row>
    <row r="41" spans="1:29" s="471" customFormat="1" ht="28.5" hidden="1">
      <c r="A41" s="468"/>
      <c r="B41" s="422"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29"/>
      <c r="Q41" s="776" t="str">
        <f t="shared" si="11"/>
        <v>单套/主力户型建筑面积</v>
      </c>
      <c r="R41" s="777" t="s">
        <v>21</v>
      </c>
      <c r="S41" s="778">
        <f t="shared" si="12"/>
        <v>100</v>
      </c>
      <c r="T41" s="777" t="s">
        <v>21</v>
      </c>
      <c r="U41" s="778">
        <f t="shared" si="13"/>
        <v>100</v>
      </c>
      <c r="V41" s="777" t="s">
        <v>21</v>
      </c>
      <c r="W41" s="778">
        <f t="shared" si="14"/>
        <v>100</v>
      </c>
      <c r="X41" s="779"/>
      <c r="Y41" s="3280"/>
      <c r="Z41" s="780" t="str">
        <f t="shared" si="18"/>
        <v>单套/主力户型建筑面积</v>
      </c>
      <c r="AA41" s="1810">
        <f t="shared" si="15"/>
        <v>1</v>
      </c>
      <c r="AB41" s="1810">
        <f t="shared" si="16"/>
        <v>1</v>
      </c>
      <c r="AC41" s="1810">
        <f t="shared" si="17"/>
        <v>1</v>
      </c>
    </row>
    <row r="42" spans="1:29" ht="15.75" thickBot="1">
      <c r="A42" s="472"/>
      <c r="B42" s="422" t="s">
        <v>2563</v>
      </c>
      <c r="C42" s="2612" t="s">
        <v>3662</v>
      </c>
      <c r="D42" s="435">
        <v>100</v>
      </c>
      <c r="E42" s="2612" t="s">
        <v>3662</v>
      </c>
      <c r="F42" s="461">
        <f>SUMIF(122:122,E42,123:123)-SUMIF(122:122,C42,123:123)+100</f>
        <v>100</v>
      </c>
      <c r="G42" s="2612" t="s">
        <v>3662</v>
      </c>
      <c r="H42" s="435">
        <f>SUMIF(122:122,G42,123:123)-SUMIF(122:122,C42,123:123)+100</f>
        <v>100</v>
      </c>
      <c r="I42" s="2612" t="s">
        <v>3662</v>
      </c>
      <c r="J42" s="435">
        <f>SUMIF(122:122,I42,123:123)-SUMIF(122:122,C42,123:123)+100</f>
        <v>100</v>
      </c>
      <c r="K42" s="426">
        <v>3</v>
      </c>
      <c r="L42" s="1140"/>
      <c r="M42" s="1131"/>
      <c r="N42" s="1131"/>
      <c r="O42" s="1131"/>
      <c r="P42" s="3329"/>
      <c r="Q42" s="1809" t="str">
        <f t="shared" si="11"/>
        <v>内部装修</v>
      </c>
      <c r="R42" s="774" t="s">
        <v>21</v>
      </c>
      <c r="S42" s="775">
        <f t="shared" si="12"/>
        <v>100</v>
      </c>
      <c r="T42" s="774" t="s">
        <v>21</v>
      </c>
      <c r="U42" s="775">
        <f t="shared" si="13"/>
        <v>100</v>
      </c>
      <c r="V42" s="774" t="s">
        <v>21</v>
      </c>
      <c r="W42" s="775">
        <f t="shared" si="14"/>
        <v>100</v>
      </c>
      <c r="X42" s="1812"/>
      <c r="Y42" s="3280"/>
      <c r="Z42" s="1813" t="str">
        <f t="shared" si="18"/>
        <v>内部装修</v>
      </c>
      <c r="AA42" s="1810">
        <f t="shared" si="15"/>
        <v>1</v>
      </c>
      <c r="AB42" s="1810">
        <f t="shared" si="16"/>
        <v>1</v>
      </c>
      <c r="AC42" s="1810">
        <f t="shared" si="17"/>
        <v>1</v>
      </c>
    </row>
    <row r="43" spans="1:29" ht="15" hidden="1">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29"/>
      <c r="Q43" s="1809" t="str">
        <f t="shared" si="11"/>
        <v>内部装修维护情况</v>
      </c>
      <c r="R43" s="774" t="s">
        <v>21</v>
      </c>
      <c r="S43" s="775">
        <f t="shared" si="12"/>
        <v>100</v>
      </c>
      <c r="T43" s="774" t="s">
        <v>21</v>
      </c>
      <c r="U43" s="775">
        <f t="shared" si="13"/>
        <v>100</v>
      </c>
      <c r="V43" s="774" t="s">
        <v>21</v>
      </c>
      <c r="W43" s="775">
        <f t="shared" si="14"/>
        <v>100</v>
      </c>
      <c r="X43" s="1812"/>
      <c r="Y43" s="3280"/>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29"/>
      <c r="Q44" s="1794">
        <f t="shared" si="11"/>
        <v>111</v>
      </c>
      <c r="R44" s="770" t="s">
        <v>21</v>
      </c>
      <c r="S44" s="771">
        <f t="shared" si="12"/>
        <v>100</v>
      </c>
      <c r="T44" s="770" t="s">
        <v>21</v>
      </c>
      <c r="U44" s="771">
        <f t="shared" si="13"/>
        <v>100</v>
      </c>
      <c r="V44" s="770" t="s">
        <v>21</v>
      </c>
      <c r="W44" s="771">
        <f t="shared" si="14"/>
        <v>100</v>
      </c>
      <c r="X44" s="772"/>
      <c r="Y44" s="3280"/>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29"/>
      <c r="Q45" s="1809">
        <f t="shared" si="11"/>
        <v>111</v>
      </c>
      <c r="R45" s="774" t="s">
        <v>21</v>
      </c>
      <c r="S45" s="775">
        <f t="shared" si="12"/>
        <v>100</v>
      </c>
      <c r="T45" s="774" t="s">
        <v>21</v>
      </c>
      <c r="U45" s="775">
        <f t="shared" si="13"/>
        <v>100</v>
      </c>
      <c r="V45" s="774" t="s">
        <v>21</v>
      </c>
      <c r="W45" s="775">
        <f t="shared" si="14"/>
        <v>100</v>
      </c>
      <c r="X45" s="1812"/>
      <c r="Y45" s="3280"/>
      <c r="Z45" s="1813">
        <f t="shared" si="18"/>
        <v>111</v>
      </c>
      <c r="AA45" s="1810">
        <f t="shared" si="15"/>
        <v>1</v>
      </c>
      <c r="AB45" s="1810">
        <f t="shared" si="16"/>
        <v>1</v>
      </c>
      <c r="AC45" s="1810">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0"/>
      <c r="Q46" s="1809">
        <f t="shared" si="11"/>
        <v>111</v>
      </c>
      <c r="R46" s="774" t="s">
        <v>20</v>
      </c>
      <c r="S46" s="775">
        <f t="shared" si="12"/>
        <v>100</v>
      </c>
      <c r="T46" s="774" t="s">
        <v>20</v>
      </c>
      <c r="U46" s="775">
        <f t="shared" si="13"/>
        <v>100</v>
      </c>
      <c r="V46" s="774" t="s">
        <v>20</v>
      </c>
      <c r="W46" s="775">
        <f t="shared" si="14"/>
        <v>100</v>
      </c>
      <c r="X46" s="1812"/>
      <c r="Y46" s="3331"/>
      <c r="Z46" s="1813">
        <f t="shared" si="18"/>
        <v>111</v>
      </c>
      <c r="AA46" s="1810">
        <f t="shared" si="15"/>
        <v>1</v>
      </c>
      <c r="AB46" s="1810">
        <f t="shared" si="16"/>
        <v>1</v>
      </c>
      <c r="AC46" s="1810">
        <f t="shared" si="17"/>
        <v>1</v>
      </c>
    </row>
    <row r="47" spans="1:29" ht="15">
      <c r="A47" s="479" t="s">
        <v>2565</v>
      </c>
      <c r="B47" s="480"/>
      <c r="C47" s="1407" t="s">
        <v>19</v>
      </c>
      <c r="D47" s="1408"/>
      <c r="E47" s="1409">
        <f>宁波市调!E19</f>
        <v>12000</v>
      </c>
      <c r="F47" s="1410"/>
      <c r="G47" s="1411">
        <f>宁波市调!E20</f>
        <v>10500</v>
      </c>
      <c r="H47" s="1412"/>
      <c r="I47" s="1409">
        <f>宁波市调!E21</f>
        <v>10000</v>
      </c>
      <c r="J47" s="1412"/>
      <c r="K47" s="2619"/>
      <c r="L47" s="1143"/>
      <c r="M47" s="1144"/>
      <c r="N47" s="1131"/>
      <c r="O47" s="1144"/>
      <c r="P47" s="3262" t="str">
        <f>A47</f>
        <v>成交单价（元/平方米）</v>
      </c>
      <c r="Q47" s="3262"/>
      <c r="R47" s="3327">
        <f>E47</f>
        <v>12000</v>
      </c>
      <c r="S47" s="3327"/>
      <c r="T47" s="3327">
        <f>G47</f>
        <v>10500</v>
      </c>
      <c r="U47" s="3327"/>
      <c r="V47" s="3327">
        <f>I47</f>
        <v>10000</v>
      </c>
      <c r="W47" s="3327"/>
      <c r="X47" s="759"/>
      <c r="Y47" s="781"/>
      <c r="Z47" s="759"/>
      <c r="AA47" s="759"/>
      <c r="AB47" s="759"/>
      <c r="AC47" s="759"/>
    </row>
    <row r="48" spans="1:29" ht="15.75" thickBot="1">
      <c r="A48" s="486" t="s">
        <v>2566</v>
      </c>
      <c r="B48" s="487"/>
      <c r="C48" s="1413">
        <f>R49</f>
        <v>10943</v>
      </c>
      <c r="D48" s="1414"/>
      <c r="E48" s="1415">
        <f>R48</f>
        <v>11774</v>
      </c>
      <c r="F48" s="1415"/>
      <c r="G48" s="1413">
        <f>T48</f>
        <v>11050</v>
      </c>
      <c r="H48" s="1414"/>
      <c r="I48" s="1415">
        <f>V48</f>
        <v>10004</v>
      </c>
      <c r="J48" s="1414"/>
      <c r="K48" s="2620"/>
      <c r="L48" s="1143"/>
      <c r="M48" s="1144"/>
      <c r="N48" s="1144"/>
      <c r="O48" s="1144"/>
      <c r="P48" s="3262" t="str">
        <f>A48</f>
        <v>比较价值（元/平方米）</v>
      </c>
      <c r="Q48" s="3262"/>
      <c r="R48" s="3327">
        <f>IF(F1="售价",ROUND(PRODUCT(R47,AA7:AA46),0),ROUND(PRODUCT(R47,AA7:AA46),1))</f>
        <v>11774</v>
      </c>
      <c r="S48" s="3327"/>
      <c r="T48" s="3327">
        <f>IF(F1="售价",ROUND(PRODUCT(T47,AB7:AB46),0),ROUND(PRODUCT(T47,AB7:AB46),1))</f>
        <v>11050</v>
      </c>
      <c r="U48" s="3327"/>
      <c r="V48" s="3327">
        <f>IF(F1="售价",ROUND(PRODUCT(V47,AC7:AC46),0),ROUND(PRODUCT(V47,AC7:AC46),1))</f>
        <v>10004</v>
      </c>
      <c r="W48" s="3327"/>
      <c r="X48" s="759"/>
      <c r="Y48" s="759"/>
      <c r="Z48" s="759"/>
      <c r="AA48" s="759"/>
      <c r="AB48" s="759"/>
      <c r="AC48" s="759"/>
    </row>
    <row r="49" spans="1:29" ht="15.75" thickBot="1">
      <c r="A49" s="492" t="s">
        <v>3646</v>
      </c>
      <c r="B49" s="493"/>
      <c r="C49" s="1416">
        <f>R49</f>
        <v>10943</v>
      </c>
      <c r="D49" s="1417"/>
      <c r="E49" s="1417"/>
      <c r="F49" s="1417"/>
      <c r="G49" s="1417"/>
      <c r="H49" s="1417"/>
      <c r="I49" s="1417"/>
      <c r="J49" s="1417"/>
      <c r="K49" s="2621"/>
      <c r="L49" s="1143"/>
      <c r="M49" s="1144"/>
      <c r="N49" s="1144"/>
      <c r="O49" s="1144"/>
      <c r="P49" s="3282" t="str">
        <f>A49</f>
        <v>估价对象高层比较价值（楼面单价，元/平方米）</v>
      </c>
      <c r="Q49" s="3283"/>
      <c r="R49" s="3326">
        <f>IF(F1="售价",ROUND(AVERAGE(R48:V48),0),ROUND(AVERAGE(R48:V48),1))</f>
        <v>10943</v>
      </c>
      <c r="S49" s="3326"/>
      <c r="T49" s="3326"/>
      <c r="U49" s="3326"/>
      <c r="V49" s="3326"/>
      <c r="W49" s="33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1.9194836079497124E-2</v>
      </c>
      <c r="F52" s="500" t="str">
        <f>IF(OR(E52&gt;=0.3,E52&lt;=-0.3),"超过30%","")</f>
        <v/>
      </c>
      <c r="G52" s="499">
        <f>IF(G47&lt;G48,G48/G47-1,G47/G48-1)</f>
        <v>5.2380952380952417E-2</v>
      </c>
      <c r="H52" s="500" t="str">
        <f>IF(OR(G52&gt;=0.3,G52&lt;=-0.3),"超过30%","")</f>
        <v/>
      </c>
      <c r="I52" s="499">
        <f>IF(I47&lt;I48,I48/I47-1,I47/I48-1)</f>
        <v>3.9999999999995595E-4</v>
      </c>
      <c r="J52" s="500" t="str">
        <f>IF(OR(I52&gt;=0.3,I52&lt;=-0.3),"超过30%","")</f>
        <v/>
      </c>
      <c r="K52" s="1105"/>
      <c r="L52" s="1106"/>
      <c r="M52" s="1144"/>
      <c r="N52" s="1144"/>
      <c r="O52" s="1144"/>
    </row>
    <row r="53" spans="1:29" ht="13.5" customHeight="1">
      <c r="A53" s="1144"/>
      <c r="B53" s="1144"/>
      <c r="C53" s="497" t="s">
        <v>2568</v>
      </c>
      <c r="D53" s="501"/>
      <c r="E53" s="499">
        <f>IF(E48&lt;G48,G48/E48-1,E48/G48-1)</f>
        <v>6.5520361990950127E-2</v>
      </c>
      <c r="F53" s="500" t="str">
        <f>IF(OR(E53&gt;=0.2,E53&lt;=-0.2),"超过20%","")</f>
        <v/>
      </c>
      <c r="G53" s="499">
        <f>IF(G48&lt;I48,I48/G48-1,G48/I48-1)</f>
        <v>0.10455817672930823</v>
      </c>
      <c r="H53" s="500" t="str">
        <f>IF(OR(G53&gt;=0.2,G53&lt;=-0.2),"超过20%","")</f>
        <v/>
      </c>
      <c r="I53" s="499">
        <f>IF(I48&lt;E48,E48/I48-1,I48/E48-1)</f>
        <v>0.17692922830867652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0.14285714285714279</v>
      </c>
      <c r="F54" s="500" t="str">
        <f>IF(OR(E54&gt;=0.3,E54&lt;=-0.3),"超过30%","")</f>
        <v/>
      </c>
      <c r="G54" s="499">
        <f>IF(G47&lt;I47,I47/G47-1,G47/I47-1)</f>
        <v>5.0000000000000044E-2</v>
      </c>
      <c r="H54" s="500" t="str">
        <f>IF(OR(G54&gt;=0.3,G54&lt;=-0.3),"超过30%","")</f>
        <v/>
      </c>
      <c r="I54" s="499">
        <f>IF(I47&lt;E47,E47/I47-1,I47/E47-1)</f>
        <v>0.19999999999999996</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hidden="1" thickTop="1">
      <c r="A86" s="579"/>
      <c r="B86" s="538" t="s">
        <v>2597</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2598</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3647</v>
      </c>
      <c r="D100" s="2982" t="s">
        <v>3648</v>
      </c>
      <c r="E100" s="2982" t="s">
        <v>3649</v>
      </c>
      <c r="F100" s="2982" t="s">
        <v>3650</v>
      </c>
      <c r="G100" s="2982" t="s">
        <v>3651</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3652</v>
      </c>
      <c r="D105" s="2983" t="s">
        <v>3653</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3654</v>
      </c>
      <c r="D107" s="2984" t="s">
        <v>3656</v>
      </c>
      <c r="E107" s="2984" t="s">
        <v>3657</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3659</v>
      </c>
      <c r="D109" s="2983" t="s">
        <v>3660</v>
      </c>
      <c r="E109" s="2983" t="s">
        <v>3661</v>
      </c>
      <c r="F109" s="2984" t="s">
        <v>3663</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3665</v>
      </c>
      <c r="D114" s="2983" t="s">
        <v>3666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hidden="1" thickTop="1">
      <c r="A118" s="599"/>
      <c r="B118" s="538" t="s">
        <v>2606</v>
      </c>
      <c r="C118" s="583"/>
      <c r="D118" s="583"/>
      <c r="E118" s="583"/>
      <c r="F118" s="583"/>
      <c r="G118" s="583"/>
      <c r="H118" s="583"/>
      <c r="I118" s="583"/>
      <c r="J118" s="583"/>
      <c r="K118" s="584"/>
      <c r="L118" s="585"/>
      <c r="M118" s="586"/>
      <c r="N118" s="1152"/>
      <c r="O118" s="1152"/>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hidden="1" thickTop="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5.75" hidden="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3659</v>
      </c>
      <c r="D122" s="2983" t="s">
        <v>3660</v>
      </c>
      <c r="E122" s="2983" t="s">
        <v>3661</v>
      </c>
      <c r="F122" s="2984" t="s">
        <v>3663</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3186</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10165</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12960</v>
      </c>
      <c r="C3" s="400" t="s">
        <v>2522</v>
      </c>
      <c r="D3" s="399">
        <f>IF(D1="",'数据-汇总表'!E3,SUMIF('数据-汇总表'!$C19:$C33,D1,'数据-汇总表'!$E19:$E33))</f>
        <v>7843.24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63" t="s">
        <v>2524</v>
      </c>
      <c r="D4" s="3264"/>
      <c r="E4" s="3265" t="s">
        <v>2525</v>
      </c>
      <c r="F4" s="3266"/>
      <c r="G4" s="3263" t="s">
        <v>2526</v>
      </c>
      <c r="H4" s="3264"/>
      <c r="I4" s="3263" t="s">
        <v>2527</v>
      </c>
      <c r="J4" s="3264"/>
      <c r="K4" s="2595" t="s">
        <v>2528</v>
      </c>
      <c r="L4" s="1130"/>
      <c r="M4" s="1131"/>
      <c r="N4" s="1131"/>
      <c r="O4" s="1131"/>
      <c r="P4" s="3267" t="s">
        <v>2529</v>
      </c>
      <c r="Q4" s="3268"/>
      <c r="R4" s="3250" t="s">
        <v>2525</v>
      </c>
      <c r="S4" s="3251"/>
      <c r="T4" s="3250" t="s">
        <v>2526</v>
      </c>
      <c r="U4" s="3251"/>
      <c r="V4" s="3275" t="s">
        <v>2527</v>
      </c>
      <c r="W4" s="3275"/>
      <c r="X4" s="3031"/>
      <c r="Y4" s="3250" t="s">
        <v>2529</v>
      </c>
      <c r="Z4" s="3251"/>
      <c r="AA4" s="3245" t="s">
        <v>2525</v>
      </c>
      <c r="AB4" s="3245" t="s">
        <v>2526</v>
      </c>
      <c r="AC4" s="3245" t="s">
        <v>2527</v>
      </c>
    </row>
    <row r="5" spans="1:29" ht="15">
      <c r="A5" s="404"/>
      <c r="B5" s="405"/>
      <c r="C5" s="3256" t="s">
        <v>3641</v>
      </c>
      <c r="D5" s="3257"/>
      <c r="E5" s="3324" t="s">
        <v>3668</v>
      </c>
      <c r="F5" s="3255"/>
      <c r="G5" s="3325" t="s">
        <v>3669</v>
      </c>
      <c r="H5" s="3257"/>
      <c r="I5" s="3325" t="s">
        <v>3645</v>
      </c>
      <c r="J5" s="3257"/>
      <c r="K5" s="2596"/>
      <c r="L5" s="1130"/>
      <c r="M5" s="1131"/>
      <c r="N5" s="1131"/>
      <c r="O5" s="1131"/>
      <c r="P5" s="3269"/>
      <c r="Q5" s="3270"/>
      <c r="R5" s="3252"/>
      <c r="S5" s="3253"/>
      <c r="T5" s="3252"/>
      <c r="U5" s="3253"/>
      <c r="V5" s="3275"/>
      <c r="W5" s="3275"/>
      <c r="X5" s="3031"/>
      <c r="Y5" s="3252"/>
      <c r="Z5" s="3253"/>
      <c r="AA5" s="3246"/>
      <c r="AB5" s="3246"/>
      <c r="AC5" s="3246"/>
    </row>
    <row r="6" spans="1:29" ht="15.75" thickBot="1">
      <c r="A6" s="406"/>
      <c r="B6" s="407"/>
      <c r="C6" s="3258" t="s">
        <v>3642</v>
      </c>
      <c r="D6" s="3259"/>
      <c r="E6" s="3260" t="s">
        <v>3642</v>
      </c>
      <c r="F6" s="3261"/>
      <c r="G6" s="3258" t="s">
        <v>3642</v>
      </c>
      <c r="H6" s="3259"/>
      <c r="I6" s="3258" t="s">
        <v>3642</v>
      </c>
      <c r="J6" s="3259"/>
      <c r="K6" s="2596" t="s">
        <v>2535</v>
      </c>
      <c r="L6" s="1130"/>
      <c r="M6" s="1131"/>
      <c r="N6" s="1131"/>
      <c r="O6" s="1131"/>
      <c r="P6" s="3271"/>
      <c r="Q6" s="3272"/>
      <c r="R6" s="3252"/>
      <c r="S6" s="3253"/>
      <c r="T6" s="3273"/>
      <c r="U6" s="3274"/>
      <c r="V6" s="3275"/>
      <c r="W6" s="3275"/>
      <c r="X6" s="3031"/>
      <c r="Y6" s="3273"/>
      <c r="Z6" s="3274"/>
      <c r="AA6" s="3247"/>
      <c r="AB6" s="3247"/>
      <c r="AC6" s="3247"/>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48" t="s">
        <v>2537</v>
      </c>
      <c r="Q7" s="3276"/>
      <c r="R7" s="770" t="s">
        <v>20</v>
      </c>
      <c r="S7" s="771">
        <f t="shared" ref="S7:S15" si="0">F7</f>
        <v>100</v>
      </c>
      <c r="T7" s="770" t="s">
        <v>20</v>
      </c>
      <c r="U7" s="771">
        <f t="shared" ref="U7:U15" si="1">H7</f>
        <v>100</v>
      </c>
      <c r="V7" s="770" t="s">
        <v>20</v>
      </c>
      <c r="W7" s="771">
        <f t="shared" ref="W7:W15" si="2">J7</f>
        <v>100</v>
      </c>
      <c r="X7" s="772"/>
      <c r="Y7" s="3248" t="s">
        <v>2537</v>
      </c>
      <c r="Z7" s="3249"/>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48" t="s">
        <v>2540</v>
      </c>
      <c r="Q8" s="3249"/>
      <c r="R8" s="770" t="s">
        <v>20</v>
      </c>
      <c r="S8" s="771">
        <f t="shared" si="0"/>
        <v>100</v>
      </c>
      <c r="T8" s="770" t="s">
        <v>20</v>
      </c>
      <c r="U8" s="771">
        <f t="shared" si="1"/>
        <v>100</v>
      </c>
      <c r="V8" s="770" t="s">
        <v>20</v>
      </c>
      <c r="W8" s="771">
        <f t="shared" si="2"/>
        <v>100</v>
      </c>
      <c r="X8" s="772"/>
      <c r="Y8" s="3248" t="s">
        <v>2540</v>
      </c>
      <c r="Z8" s="3249"/>
      <c r="AA8" s="773">
        <f t="shared" ref="AA8:AA19" si="3">D8/F8</f>
        <v>1</v>
      </c>
      <c r="AB8" s="773">
        <f t="shared" ref="AB8:AB19" si="4">D8/H8</f>
        <v>1</v>
      </c>
      <c r="AC8" s="773">
        <f t="shared" ref="AC8:AC19" si="5">D8/J8</f>
        <v>1</v>
      </c>
    </row>
    <row r="9" spans="1:29" s="117" customFormat="1">
      <c r="A9" s="415" t="s">
        <v>2541</v>
      </c>
      <c r="B9" s="71" t="s">
        <v>2542</v>
      </c>
      <c r="C9" s="3045" t="s">
        <v>3643</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86" t="s">
        <v>2543</v>
      </c>
      <c r="Q9" s="3028" t="str">
        <f t="shared" ref="Q9:Q15" si="6">B9</f>
        <v>用途</v>
      </c>
      <c r="R9" s="770" t="s">
        <v>17</v>
      </c>
      <c r="S9" s="771">
        <f t="shared" si="0"/>
        <v>100</v>
      </c>
      <c r="T9" s="770" t="s">
        <v>17</v>
      </c>
      <c r="U9" s="771">
        <f t="shared" si="1"/>
        <v>100</v>
      </c>
      <c r="V9" s="770" t="s">
        <v>17</v>
      </c>
      <c r="W9" s="771">
        <f t="shared" si="2"/>
        <v>100</v>
      </c>
      <c r="X9" s="772"/>
      <c r="Y9" s="3117" t="s">
        <v>2544</v>
      </c>
      <c r="Z9" s="3029" t="str">
        <f t="shared" ref="Z9:Z15" si="7">Q9</f>
        <v>用途</v>
      </c>
      <c r="AA9" s="773">
        <f t="shared" si="3"/>
        <v>1</v>
      </c>
      <c r="AB9" s="773">
        <f t="shared" si="4"/>
        <v>1</v>
      </c>
      <c r="AC9" s="773">
        <f t="shared" si="5"/>
        <v>1</v>
      </c>
    </row>
    <row r="10" spans="1:29" s="427" customFormat="1" ht="27">
      <c r="A10" s="421"/>
      <c r="B10" s="3030" t="s">
        <v>2545</v>
      </c>
      <c r="C10" s="423" t="s">
        <v>3644</v>
      </c>
      <c r="D10" s="136">
        <v>100</v>
      </c>
      <c r="E10" s="424" t="s">
        <v>3644</v>
      </c>
      <c r="F10" s="425">
        <f>SUMIF(65:65,E10,66:66)-SUMIF(65:65,C10,66:66)+100</f>
        <v>100</v>
      </c>
      <c r="G10" s="423" t="s">
        <v>3644</v>
      </c>
      <c r="H10" s="136">
        <f>SUMIF(65:65,G10,66:66)-SUMIF(65:65,C10,66:66)+100</f>
        <v>100</v>
      </c>
      <c r="I10" s="423" t="s">
        <v>3644</v>
      </c>
      <c r="J10" s="136">
        <f>SUMIF(65:65,I10,66:66)-SUMIF(65:65,C10,66:66)+100</f>
        <v>100</v>
      </c>
      <c r="K10" s="426">
        <v>2</v>
      </c>
      <c r="L10" s="1135"/>
      <c r="M10" s="1136"/>
      <c r="N10" s="1136"/>
      <c r="O10" s="1136"/>
      <c r="P10" s="3286"/>
      <c r="Q10" s="3028" t="str">
        <f t="shared" si="6"/>
        <v>土地使用年限（年）</v>
      </c>
      <c r="R10" s="770" t="s">
        <v>17</v>
      </c>
      <c r="S10" s="771">
        <f t="shared" si="0"/>
        <v>100</v>
      </c>
      <c r="T10" s="770" t="s">
        <v>17</v>
      </c>
      <c r="U10" s="771">
        <f t="shared" si="1"/>
        <v>100</v>
      </c>
      <c r="V10" s="770" t="s">
        <v>17</v>
      </c>
      <c r="W10" s="771">
        <f t="shared" si="2"/>
        <v>100</v>
      </c>
      <c r="X10" s="772"/>
      <c r="Y10" s="3117"/>
      <c r="Z10" s="3029" t="str">
        <f t="shared" si="7"/>
        <v>土地使用年限（年）</v>
      </c>
      <c r="AA10" s="773">
        <f t="shared" si="3"/>
        <v>1</v>
      </c>
      <c r="AB10" s="773">
        <f t="shared" si="4"/>
        <v>1</v>
      </c>
      <c r="AC10" s="773">
        <f t="shared" si="5"/>
        <v>1</v>
      </c>
    </row>
    <row r="11" spans="1:29" ht="15.75" thickBot="1">
      <c r="A11" s="428"/>
      <c r="B11" s="3030"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86"/>
      <c r="Q11" s="3028" t="str">
        <f t="shared" si="6"/>
        <v>容积率</v>
      </c>
      <c r="R11" s="770" t="s">
        <v>17</v>
      </c>
      <c r="S11" s="771">
        <f t="shared" si="0"/>
        <v>98</v>
      </c>
      <c r="T11" s="770" t="s">
        <v>17</v>
      </c>
      <c r="U11" s="771">
        <f t="shared" si="1"/>
        <v>100</v>
      </c>
      <c r="V11" s="770" t="s">
        <v>17</v>
      </c>
      <c r="W11" s="771">
        <f t="shared" si="2"/>
        <v>98</v>
      </c>
      <c r="X11" s="772"/>
      <c r="Y11" s="3117"/>
      <c r="Z11" s="3029" t="str">
        <f t="shared" si="7"/>
        <v>容积率</v>
      </c>
      <c r="AA11" s="773">
        <f t="shared" si="3"/>
        <v>1.0204081632653061</v>
      </c>
      <c r="AB11" s="773">
        <f t="shared" si="4"/>
        <v>1</v>
      </c>
      <c r="AC11" s="773">
        <f t="shared" si="5"/>
        <v>1.0204081632653061</v>
      </c>
    </row>
    <row r="12" spans="1:29" s="117" customFormat="1" ht="15.75" hidden="1" thickBot="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86"/>
      <c r="Q12" s="3028">
        <f t="shared" si="6"/>
        <v>111</v>
      </c>
      <c r="R12" s="770" t="s">
        <v>17</v>
      </c>
      <c r="S12" s="771">
        <f t="shared" si="0"/>
        <v>100</v>
      </c>
      <c r="T12" s="770" t="s">
        <v>17</v>
      </c>
      <c r="U12" s="771">
        <f t="shared" si="1"/>
        <v>100</v>
      </c>
      <c r="V12" s="770" t="s">
        <v>17</v>
      </c>
      <c r="W12" s="771">
        <f t="shared" si="2"/>
        <v>100</v>
      </c>
      <c r="X12" s="772"/>
      <c r="Y12" s="3117"/>
      <c r="Z12" s="3029">
        <f t="shared" si="7"/>
        <v>111</v>
      </c>
      <c r="AA12" s="773">
        <f>D12/F12</f>
        <v>1</v>
      </c>
      <c r="AB12" s="773">
        <f>D12/H12</f>
        <v>1</v>
      </c>
      <c r="AC12" s="773">
        <f>D12/J12</f>
        <v>1</v>
      </c>
    </row>
    <row r="13" spans="1:29" ht="15.75" hidden="1" thickBot="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86"/>
      <c r="Q13" s="3028">
        <f t="shared" si="6"/>
        <v>111</v>
      </c>
      <c r="R13" s="770" t="s">
        <v>17</v>
      </c>
      <c r="S13" s="771">
        <f t="shared" si="0"/>
        <v>100</v>
      </c>
      <c r="T13" s="770" t="s">
        <v>17</v>
      </c>
      <c r="U13" s="771">
        <f t="shared" si="1"/>
        <v>100</v>
      </c>
      <c r="V13" s="770" t="s">
        <v>17</v>
      </c>
      <c r="W13" s="771">
        <f t="shared" si="2"/>
        <v>100</v>
      </c>
      <c r="X13" s="772"/>
      <c r="Y13" s="3117"/>
      <c r="Z13" s="3029">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86"/>
      <c r="Q14" s="3028">
        <f t="shared" si="6"/>
        <v>111</v>
      </c>
      <c r="R14" s="770" t="s">
        <v>17</v>
      </c>
      <c r="S14" s="771">
        <f t="shared" si="0"/>
        <v>100</v>
      </c>
      <c r="T14" s="770" t="s">
        <v>17</v>
      </c>
      <c r="U14" s="771">
        <f t="shared" si="1"/>
        <v>100</v>
      </c>
      <c r="V14" s="770" t="s">
        <v>17</v>
      </c>
      <c r="W14" s="771">
        <f t="shared" si="2"/>
        <v>100</v>
      </c>
      <c r="X14" s="772"/>
      <c r="Y14" s="3117"/>
      <c r="Z14" s="3029">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2" t="s">
        <v>2548</v>
      </c>
      <c r="Q15" s="3032" t="str">
        <f t="shared" si="6"/>
        <v>居住社区成熟度</v>
      </c>
      <c r="R15" s="774" t="s">
        <v>17</v>
      </c>
      <c r="S15" s="775">
        <f t="shared" si="0"/>
        <v>100</v>
      </c>
      <c r="T15" s="774" t="s">
        <v>17</v>
      </c>
      <c r="U15" s="775">
        <f t="shared" si="1"/>
        <v>97</v>
      </c>
      <c r="V15" s="774" t="s">
        <v>17</v>
      </c>
      <c r="W15" s="775">
        <f t="shared" si="2"/>
        <v>100</v>
      </c>
      <c r="X15" s="3031"/>
      <c r="Y15" s="3277" t="s">
        <v>2548</v>
      </c>
      <c r="Z15" s="3033" t="str">
        <f t="shared" si="7"/>
        <v>居住社区成熟度</v>
      </c>
      <c r="AA15" s="3034">
        <f t="shared" si="3"/>
        <v>1</v>
      </c>
      <c r="AB15" s="3034">
        <f t="shared" si="4"/>
        <v>1.0309278350515463</v>
      </c>
      <c r="AC15" s="3034">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3"/>
      <c r="Q16" s="3032"/>
      <c r="R16" s="774"/>
      <c r="S16" s="775"/>
      <c r="T16" s="774"/>
      <c r="U16" s="775"/>
      <c r="V16" s="774"/>
      <c r="W16" s="775"/>
      <c r="X16" s="3031"/>
      <c r="Y16" s="3278"/>
      <c r="Z16" s="3033"/>
      <c r="AA16" s="3034">
        <v>1</v>
      </c>
      <c r="AB16" s="3034">
        <v>1</v>
      </c>
      <c r="AC16" s="3034">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3"/>
      <c r="Q17" s="3032" t="str">
        <f>B17</f>
        <v>交通便捷度</v>
      </c>
      <c r="R17" s="774" t="s">
        <v>17</v>
      </c>
      <c r="S17" s="775">
        <f>F17</f>
        <v>100</v>
      </c>
      <c r="T17" s="774" t="s">
        <v>17</v>
      </c>
      <c r="U17" s="775">
        <f>H17</f>
        <v>98</v>
      </c>
      <c r="V17" s="774" t="s">
        <v>17</v>
      </c>
      <c r="W17" s="775">
        <f>J17</f>
        <v>100</v>
      </c>
      <c r="X17" s="3031"/>
      <c r="Y17" s="3278"/>
      <c r="Z17" s="3033" t="str">
        <f>Q17</f>
        <v>交通便捷度</v>
      </c>
      <c r="AA17" s="3034">
        <f t="shared" si="3"/>
        <v>1</v>
      </c>
      <c r="AB17" s="3034">
        <f t="shared" si="4"/>
        <v>1.0204081632653061</v>
      </c>
      <c r="AC17" s="3034">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3"/>
      <c r="Q18" s="3032"/>
      <c r="R18" s="774"/>
      <c r="S18" s="775"/>
      <c r="T18" s="774"/>
      <c r="U18" s="775"/>
      <c r="V18" s="774"/>
      <c r="W18" s="775"/>
      <c r="X18" s="3031"/>
      <c r="Y18" s="3278"/>
      <c r="Z18" s="3033"/>
      <c r="AA18" s="3034">
        <v>1</v>
      </c>
      <c r="AB18" s="3034">
        <v>1</v>
      </c>
      <c r="AC18" s="3034">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3"/>
      <c r="Q19" s="3032" t="str">
        <f>B19</f>
        <v>公共配套设施</v>
      </c>
      <c r="R19" s="774" t="s">
        <v>17</v>
      </c>
      <c r="S19" s="775">
        <f>F19</f>
        <v>100</v>
      </c>
      <c r="T19" s="774" t="s">
        <v>17</v>
      </c>
      <c r="U19" s="775">
        <f>H19</f>
        <v>100</v>
      </c>
      <c r="V19" s="774" t="s">
        <v>17</v>
      </c>
      <c r="W19" s="775">
        <f>J19</f>
        <v>100</v>
      </c>
      <c r="X19" s="3031"/>
      <c r="Y19" s="3278"/>
      <c r="Z19" s="3033" t="str">
        <f>Q19</f>
        <v>公共配套设施</v>
      </c>
      <c r="AA19" s="3034">
        <f t="shared" si="3"/>
        <v>1</v>
      </c>
      <c r="AB19" s="3034">
        <f t="shared" si="4"/>
        <v>1</v>
      </c>
      <c r="AC19" s="3034">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3"/>
      <c r="Q20" s="3032"/>
      <c r="R20" s="774"/>
      <c r="S20" s="775"/>
      <c r="T20" s="774"/>
      <c r="U20" s="775"/>
      <c r="V20" s="774"/>
      <c r="W20" s="775"/>
      <c r="X20" s="3031"/>
      <c r="Y20" s="3278"/>
      <c r="Z20" s="3033"/>
      <c r="AA20" s="3034">
        <v>1</v>
      </c>
      <c r="AB20" s="3034">
        <v>1</v>
      </c>
      <c r="AC20" s="3034">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3"/>
      <c r="Q21" s="3032" t="str">
        <f>B21</f>
        <v>基础设施水平</v>
      </c>
      <c r="R21" s="774" t="s">
        <v>17</v>
      </c>
      <c r="S21" s="775">
        <f>F21</f>
        <v>100</v>
      </c>
      <c r="T21" s="774" t="s">
        <v>17</v>
      </c>
      <c r="U21" s="775">
        <f>H21</f>
        <v>100</v>
      </c>
      <c r="V21" s="774" t="s">
        <v>17</v>
      </c>
      <c r="W21" s="775">
        <f>J21</f>
        <v>100</v>
      </c>
      <c r="X21" s="3031"/>
      <c r="Y21" s="3278"/>
      <c r="Z21" s="3033" t="str">
        <f>Q21</f>
        <v>基础设施水平</v>
      </c>
      <c r="AA21" s="3034">
        <f t="shared" ref="AA21" si="8">D21/F21</f>
        <v>1</v>
      </c>
      <c r="AB21" s="3034">
        <f t="shared" ref="AB21" si="9">D21/H21</f>
        <v>1</v>
      </c>
      <c r="AC21" s="3034">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3"/>
      <c r="Q22" s="3032"/>
      <c r="R22" s="774"/>
      <c r="S22" s="775"/>
      <c r="T22" s="774"/>
      <c r="U22" s="775"/>
      <c r="V22" s="774"/>
      <c r="W22" s="775"/>
      <c r="X22" s="3031"/>
      <c r="Y22" s="3278"/>
      <c r="Z22" s="3033"/>
      <c r="AA22" s="3034">
        <v>1</v>
      </c>
      <c r="AB22" s="3034">
        <v>1</v>
      </c>
      <c r="AC22" s="3034">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3"/>
      <c r="Q23" s="3032" t="str">
        <f>B23</f>
        <v>自然及人文环境</v>
      </c>
      <c r="R23" s="774" t="s">
        <v>17</v>
      </c>
      <c r="S23" s="775">
        <f>F23</f>
        <v>100</v>
      </c>
      <c r="T23" s="774" t="s">
        <v>17</v>
      </c>
      <c r="U23" s="775">
        <f>H23</f>
        <v>98</v>
      </c>
      <c r="V23" s="774" t="s">
        <v>17</v>
      </c>
      <c r="W23" s="775">
        <f>J23</f>
        <v>100</v>
      </c>
      <c r="X23" s="3031"/>
      <c r="Y23" s="3278"/>
      <c r="Z23" s="3033" t="str">
        <f>Q23</f>
        <v>自然及人文环境</v>
      </c>
      <c r="AA23" s="3034">
        <f>D23/F23</f>
        <v>1</v>
      </c>
      <c r="AB23" s="3034">
        <f>D23/H23</f>
        <v>1.0204081632653061</v>
      </c>
      <c r="AC23" s="3034">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3"/>
      <c r="Q24" s="3032"/>
      <c r="R24" s="774"/>
      <c r="S24" s="775"/>
      <c r="T24" s="774"/>
      <c r="U24" s="775"/>
      <c r="V24" s="774"/>
      <c r="W24" s="775"/>
      <c r="X24" s="3031"/>
      <c r="Y24" s="3278"/>
      <c r="Z24" s="3033"/>
      <c r="AA24" s="3034">
        <v>1</v>
      </c>
      <c r="AB24" s="3034">
        <v>1</v>
      </c>
      <c r="AC24" s="3034">
        <v>1</v>
      </c>
    </row>
    <row r="25" spans="1:29" ht="15.75" hidden="1" thickBot="1">
      <c r="A25" s="428"/>
      <c r="B25" s="3030"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3"/>
      <c r="Q25" s="3032" t="str">
        <f t="shared" ref="Q25:Q46" si="11">B25</f>
        <v>楼层-1</v>
      </c>
      <c r="R25" s="774" t="s">
        <v>17</v>
      </c>
      <c r="S25" s="775">
        <f t="shared" ref="S25:S46" si="12">F25</f>
        <v>100</v>
      </c>
      <c r="T25" s="774" t="s">
        <v>17</v>
      </c>
      <c r="U25" s="775">
        <f t="shared" ref="U25:U46" si="13">H25</f>
        <v>100</v>
      </c>
      <c r="V25" s="774" t="s">
        <v>17</v>
      </c>
      <c r="W25" s="775">
        <f t="shared" ref="W25:W46" si="14">J25</f>
        <v>100</v>
      </c>
      <c r="X25" s="3031"/>
      <c r="Y25" s="3278"/>
      <c r="Z25" s="3033" t="str">
        <f>Q25</f>
        <v>楼层-1</v>
      </c>
      <c r="AA25" s="3034">
        <f t="shared" ref="AA25:AA46" si="15">D25/F25</f>
        <v>1</v>
      </c>
      <c r="AB25" s="3034">
        <f t="shared" ref="AB25:AB46" si="16">D25/H25</f>
        <v>1</v>
      </c>
      <c r="AC25" s="3034">
        <f t="shared" ref="AC25:AC46" si="17">D25/J25</f>
        <v>1</v>
      </c>
    </row>
    <row r="26" spans="1:29" ht="15.75" hidden="1" thickBot="1">
      <c r="A26" s="428"/>
      <c r="B26" s="3030"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3"/>
      <c r="Q26" s="3032" t="str">
        <f t="shared" si="11"/>
        <v>朝向</v>
      </c>
      <c r="R26" s="774" t="s">
        <v>17</v>
      </c>
      <c r="S26" s="775">
        <f t="shared" si="12"/>
        <v>100</v>
      </c>
      <c r="T26" s="774" t="s">
        <v>17</v>
      </c>
      <c r="U26" s="775">
        <f t="shared" si="13"/>
        <v>100</v>
      </c>
      <c r="V26" s="774" t="s">
        <v>17</v>
      </c>
      <c r="W26" s="775">
        <f t="shared" si="14"/>
        <v>100</v>
      </c>
      <c r="X26" s="3031"/>
      <c r="Y26" s="3278"/>
      <c r="Z26" s="3033" t="str">
        <f>Q26</f>
        <v>朝向</v>
      </c>
      <c r="AA26" s="3034">
        <f t="shared" si="15"/>
        <v>1</v>
      </c>
      <c r="AB26" s="3034">
        <f t="shared" si="16"/>
        <v>1</v>
      </c>
      <c r="AC26" s="3034">
        <f t="shared" si="17"/>
        <v>1</v>
      </c>
    </row>
    <row r="27" spans="1:29" s="117" customFormat="1" ht="15.75"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3"/>
      <c r="Q27" s="3028">
        <f t="shared" si="11"/>
        <v>111</v>
      </c>
      <c r="R27" s="770" t="s">
        <v>17</v>
      </c>
      <c r="S27" s="771">
        <f t="shared" si="12"/>
        <v>100</v>
      </c>
      <c r="T27" s="770" t="s">
        <v>17</v>
      </c>
      <c r="U27" s="771">
        <f t="shared" si="13"/>
        <v>100</v>
      </c>
      <c r="V27" s="770" t="s">
        <v>17</v>
      </c>
      <c r="W27" s="771">
        <f t="shared" si="14"/>
        <v>100</v>
      </c>
      <c r="X27" s="772"/>
      <c r="Y27" s="3278"/>
      <c r="Z27" s="3029">
        <f>Q27</f>
        <v>111</v>
      </c>
      <c r="AA27" s="3034">
        <f t="shared" si="15"/>
        <v>1</v>
      </c>
      <c r="AB27" s="3034">
        <f t="shared" si="16"/>
        <v>1</v>
      </c>
      <c r="AC27" s="3034">
        <f t="shared" si="17"/>
        <v>1</v>
      </c>
    </row>
    <row r="28" spans="1:29" ht="15.75" hidden="1" thickBot="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3"/>
      <c r="Q28" s="3032">
        <f t="shared" si="11"/>
        <v>111</v>
      </c>
      <c r="R28" s="774" t="s">
        <v>17</v>
      </c>
      <c r="S28" s="775">
        <f t="shared" si="12"/>
        <v>100</v>
      </c>
      <c r="T28" s="774" t="s">
        <v>17</v>
      </c>
      <c r="U28" s="775">
        <f t="shared" si="13"/>
        <v>100</v>
      </c>
      <c r="V28" s="774" t="s">
        <v>17</v>
      </c>
      <c r="W28" s="775">
        <f t="shared" si="14"/>
        <v>100</v>
      </c>
      <c r="X28" s="3031"/>
      <c r="Y28" s="3278"/>
      <c r="Z28" s="3033">
        <f t="shared" ref="Z28:Z46" si="18">Q28</f>
        <v>111</v>
      </c>
      <c r="AA28" s="3034">
        <f t="shared" si="15"/>
        <v>1</v>
      </c>
      <c r="AB28" s="3034">
        <f t="shared" si="16"/>
        <v>1</v>
      </c>
      <c r="AC28" s="3034">
        <f t="shared" si="17"/>
        <v>1</v>
      </c>
    </row>
    <row r="29" spans="1:29" ht="15.75" hidden="1" thickBot="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3"/>
      <c r="Q29" s="3032">
        <f t="shared" si="11"/>
        <v>111</v>
      </c>
      <c r="R29" s="774" t="s">
        <v>17</v>
      </c>
      <c r="S29" s="775">
        <f t="shared" si="12"/>
        <v>100</v>
      </c>
      <c r="T29" s="774" t="s">
        <v>17</v>
      </c>
      <c r="U29" s="775">
        <f t="shared" si="13"/>
        <v>100</v>
      </c>
      <c r="V29" s="774" t="s">
        <v>17</v>
      </c>
      <c r="W29" s="775">
        <f t="shared" si="14"/>
        <v>100</v>
      </c>
      <c r="X29" s="3031"/>
      <c r="Y29" s="3278"/>
      <c r="Z29" s="3033">
        <f t="shared" si="18"/>
        <v>111</v>
      </c>
      <c r="AA29" s="3034">
        <f t="shared" si="15"/>
        <v>1</v>
      </c>
      <c r="AB29" s="3034">
        <f t="shared" si="16"/>
        <v>1</v>
      </c>
      <c r="AC29" s="3034">
        <f t="shared" si="17"/>
        <v>1</v>
      </c>
    </row>
    <row r="30" spans="1:29" ht="15.75" hidden="1" thickBot="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3"/>
      <c r="Q30" s="3032">
        <f t="shared" si="11"/>
        <v>111</v>
      </c>
      <c r="R30" s="774" t="s">
        <v>17</v>
      </c>
      <c r="S30" s="775">
        <f t="shared" si="12"/>
        <v>100</v>
      </c>
      <c r="T30" s="774" t="s">
        <v>17</v>
      </c>
      <c r="U30" s="775">
        <f t="shared" si="13"/>
        <v>100</v>
      </c>
      <c r="V30" s="774" t="s">
        <v>17</v>
      </c>
      <c r="W30" s="775">
        <f t="shared" si="14"/>
        <v>100</v>
      </c>
      <c r="X30" s="3031"/>
      <c r="Y30" s="3278"/>
      <c r="Z30" s="3033">
        <f t="shared" si="18"/>
        <v>111</v>
      </c>
      <c r="AA30" s="3034">
        <f t="shared" si="15"/>
        <v>1</v>
      </c>
      <c r="AB30" s="3034">
        <f t="shared" si="16"/>
        <v>1</v>
      </c>
      <c r="AC30" s="3034">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3"/>
      <c r="Q31" s="3032">
        <f t="shared" si="11"/>
        <v>111</v>
      </c>
      <c r="R31" s="774" t="s">
        <v>17</v>
      </c>
      <c r="S31" s="775">
        <f t="shared" si="12"/>
        <v>100</v>
      </c>
      <c r="T31" s="774" t="s">
        <v>17</v>
      </c>
      <c r="U31" s="775">
        <f t="shared" si="13"/>
        <v>100</v>
      </c>
      <c r="V31" s="774" t="s">
        <v>17</v>
      </c>
      <c r="W31" s="775">
        <f t="shared" si="14"/>
        <v>100</v>
      </c>
      <c r="X31" s="3031"/>
      <c r="Y31" s="3278"/>
      <c r="Z31" s="3033">
        <f t="shared" si="18"/>
        <v>111</v>
      </c>
      <c r="AA31" s="3034">
        <f t="shared" si="15"/>
        <v>1</v>
      </c>
      <c r="AB31" s="3034">
        <f t="shared" si="16"/>
        <v>1</v>
      </c>
      <c r="AC31" s="3034">
        <f t="shared" si="17"/>
        <v>1</v>
      </c>
    </row>
    <row r="32" spans="1:29" ht="15">
      <c r="A32" s="440" t="s">
        <v>2551</v>
      </c>
      <c r="B32" s="71" t="s">
        <v>2552</v>
      </c>
      <c r="C32" s="2616" t="s">
        <v>3186</v>
      </c>
      <c r="D32" s="467">
        <v>100</v>
      </c>
      <c r="E32" s="2617" t="s">
        <v>3186</v>
      </c>
      <c r="F32" s="461">
        <f>SUMIF(100:100,E32,101:101)-SUMIF(100:100,C32,101:101)+100</f>
        <v>100</v>
      </c>
      <c r="G32" s="2616" t="s">
        <v>3186</v>
      </c>
      <c r="H32" s="467">
        <f>SUMIF(100:100,G32,101:101)-SUMIF(100:100,C32,101:101)+100</f>
        <v>100</v>
      </c>
      <c r="I32" s="2617" t="s">
        <v>3186</v>
      </c>
      <c r="J32" s="435">
        <f>SUMIF(100:100,I32,101:101)-SUMIF(100:100,C32,101:101)+100</f>
        <v>100</v>
      </c>
      <c r="K32" s="426">
        <v>10</v>
      </c>
      <c r="L32" s="1140"/>
      <c r="M32" s="1131"/>
      <c r="N32" s="1131"/>
      <c r="O32" s="1131"/>
      <c r="P32" s="3328" t="s">
        <v>2553</v>
      </c>
      <c r="Q32" s="3032" t="str">
        <f t="shared" si="11"/>
        <v>建筑类型</v>
      </c>
      <c r="R32" s="774" t="s">
        <v>17</v>
      </c>
      <c r="S32" s="775">
        <f t="shared" si="12"/>
        <v>100</v>
      </c>
      <c r="T32" s="774" t="s">
        <v>17</v>
      </c>
      <c r="U32" s="775">
        <f t="shared" si="13"/>
        <v>100</v>
      </c>
      <c r="V32" s="774" t="s">
        <v>17</v>
      </c>
      <c r="W32" s="775">
        <f t="shared" si="14"/>
        <v>100</v>
      </c>
      <c r="X32" s="3031"/>
      <c r="Y32" s="3280" t="s">
        <v>2553</v>
      </c>
      <c r="Z32" s="3033" t="str">
        <f t="shared" si="18"/>
        <v>建筑类型</v>
      </c>
      <c r="AA32" s="3034">
        <f t="shared" si="15"/>
        <v>1</v>
      </c>
      <c r="AB32" s="3034">
        <f t="shared" si="16"/>
        <v>1</v>
      </c>
      <c r="AC32" s="3034">
        <f t="shared" si="17"/>
        <v>1</v>
      </c>
    </row>
    <row r="33" spans="1:29" s="471" customFormat="1" ht="15">
      <c r="A33" s="468"/>
      <c r="B33" s="3030"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29"/>
      <c r="Q33" s="776" t="str">
        <f t="shared" si="11"/>
        <v>项目建筑规模</v>
      </c>
      <c r="R33" s="777" t="s">
        <v>17</v>
      </c>
      <c r="S33" s="778">
        <f t="shared" si="12"/>
        <v>104</v>
      </c>
      <c r="T33" s="777" t="s">
        <v>17</v>
      </c>
      <c r="U33" s="778">
        <f t="shared" si="13"/>
        <v>102</v>
      </c>
      <c r="V33" s="777" t="s">
        <v>17</v>
      </c>
      <c r="W33" s="778">
        <f t="shared" si="14"/>
        <v>102</v>
      </c>
      <c r="X33" s="779"/>
      <c r="Y33" s="3280"/>
      <c r="Z33" s="780" t="str">
        <f t="shared" si="18"/>
        <v>项目建筑规模</v>
      </c>
      <c r="AA33" s="3034">
        <f t="shared" si="15"/>
        <v>0.96153846153846156</v>
      </c>
      <c r="AB33" s="3034">
        <f t="shared" si="16"/>
        <v>0.98039215686274506</v>
      </c>
      <c r="AC33" s="3034">
        <f t="shared" si="17"/>
        <v>0.98039215686274506</v>
      </c>
    </row>
    <row r="34" spans="1:29" ht="15">
      <c r="A34" s="472"/>
      <c r="B34" s="3030"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29"/>
      <c r="Q34" s="3032" t="str">
        <f t="shared" si="11"/>
        <v>建筑结构</v>
      </c>
      <c r="R34" s="774" t="s">
        <v>17</v>
      </c>
      <c r="S34" s="775">
        <f t="shared" si="12"/>
        <v>100</v>
      </c>
      <c r="T34" s="774" t="s">
        <v>17</v>
      </c>
      <c r="U34" s="775">
        <f t="shared" si="13"/>
        <v>100</v>
      </c>
      <c r="V34" s="774" t="s">
        <v>17</v>
      </c>
      <c r="W34" s="775">
        <f t="shared" si="14"/>
        <v>100</v>
      </c>
      <c r="X34" s="3031"/>
      <c r="Y34" s="3280"/>
      <c r="Z34" s="3033" t="str">
        <f t="shared" si="18"/>
        <v>建筑结构</v>
      </c>
      <c r="AA34" s="3034">
        <f t="shared" si="15"/>
        <v>1</v>
      </c>
      <c r="AB34" s="3034">
        <f t="shared" si="16"/>
        <v>1</v>
      </c>
      <c r="AC34" s="3034">
        <f t="shared" si="17"/>
        <v>1</v>
      </c>
    </row>
    <row r="35" spans="1:29" ht="15">
      <c r="A35" s="472"/>
      <c r="B35" s="3030" t="s">
        <v>2556</v>
      </c>
      <c r="C35" s="2612" t="s">
        <v>3655</v>
      </c>
      <c r="D35" s="435">
        <v>100</v>
      </c>
      <c r="E35" s="2612" t="s">
        <v>3655</v>
      </c>
      <c r="F35" s="461">
        <f>SUMIF(107:107,E35,108:108)-SUMIF(107:107,C35,108:108)+100</f>
        <v>100</v>
      </c>
      <c r="G35" s="2612" t="s">
        <v>3655</v>
      </c>
      <c r="H35" s="435">
        <f>SUMIF(107:107,G35,108:108)-SUMIF(107:107,C35,108:108)+100</f>
        <v>100</v>
      </c>
      <c r="I35" s="2612" t="s">
        <v>3655</v>
      </c>
      <c r="J35" s="435">
        <f>SUMIF(107:107,I35,108:108)-SUMIF(107:107,C35,108:108)+100</f>
        <v>100</v>
      </c>
      <c r="K35" s="426">
        <v>2</v>
      </c>
      <c r="L35" s="1140"/>
      <c r="M35" s="1131"/>
      <c r="N35" s="1131"/>
      <c r="O35" s="1131"/>
      <c r="P35" s="3329"/>
      <c r="Q35" s="3032" t="str">
        <f t="shared" si="11"/>
        <v>建筑品质</v>
      </c>
      <c r="R35" s="774" t="s">
        <v>17</v>
      </c>
      <c r="S35" s="775">
        <f t="shared" si="12"/>
        <v>100</v>
      </c>
      <c r="T35" s="774" t="s">
        <v>17</v>
      </c>
      <c r="U35" s="775">
        <f t="shared" si="13"/>
        <v>100</v>
      </c>
      <c r="V35" s="774" t="s">
        <v>17</v>
      </c>
      <c r="W35" s="775">
        <f t="shared" si="14"/>
        <v>100</v>
      </c>
      <c r="X35" s="3031"/>
      <c r="Y35" s="3280"/>
      <c r="Z35" s="3033" t="str">
        <f t="shared" si="18"/>
        <v>建筑品质</v>
      </c>
      <c r="AA35" s="3034">
        <f t="shared" si="15"/>
        <v>1</v>
      </c>
      <c r="AB35" s="3034">
        <f t="shared" si="16"/>
        <v>1</v>
      </c>
      <c r="AC35" s="3034">
        <f t="shared" si="17"/>
        <v>1</v>
      </c>
    </row>
    <row r="36" spans="1:29" ht="15">
      <c r="A36" s="472"/>
      <c r="B36" s="3030" t="s">
        <v>2557</v>
      </c>
      <c r="C36" s="2612" t="s">
        <v>3658</v>
      </c>
      <c r="D36" s="435">
        <v>100</v>
      </c>
      <c r="E36" s="2612" t="s">
        <v>3658</v>
      </c>
      <c r="F36" s="461">
        <f>SUMIF(109:109,E36,110:110)-SUMIF(109:109,C36,110:110)+100</f>
        <v>100</v>
      </c>
      <c r="G36" s="2612" t="s">
        <v>3658</v>
      </c>
      <c r="H36" s="435">
        <f>SUMIF(109:109,G36,110:110)-SUMIF(109:109,C36,110:110)+100</f>
        <v>100</v>
      </c>
      <c r="I36" s="2612" t="s">
        <v>3658</v>
      </c>
      <c r="J36" s="435">
        <f>SUMIF(109:109,I36,110:110)-SUMIF(109:109,C36,110:110)+100</f>
        <v>100</v>
      </c>
      <c r="K36" s="426">
        <v>3</v>
      </c>
      <c r="L36" s="1140"/>
      <c r="M36" s="1131"/>
      <c r="N36" s="1131"/>
      <c r="O36" s="1131"/>
      <c r="P36" s="3329"/>
      <c r="Q36" s="3032" t="str">
        <f t="shared" si="11"/>
        <v>公共部分装修</v>
      </c>
      <c r="R36" s="774" t="s">
        <v>17</v>
      </c>
      <c r="S36" s="775">
        <f t="shared" si="12"/>
        <v>100</v>
      </c>
      <c r="T36" s="774" t="s">
        <v>17</v>
      </c>
      <c r="U36" s="775">
        <f t="shared" si="13"/>
        <v>100</v>
      </c>
      <c r="V36" s="774" t="s">
        <v>17</v>
      </c>
      <c r="W36" s="775">
        <f t="shared" si="14"/>
        <v>100</v>
      </c>
      <c r="X36" s="3031"/>
      <c r="Y36" s="3280"/>
      <c r="Z36" s="3033" t="str">
        <f t="shared" si="18"/>
        <v>公共部分装修</v>
      </c>
      <c r="AA36" s="3034">
        <f t="shared" si="15"/>
        <v>1</v>
      </c>
      <c r="AB36" s="3034">
        <f t="shared" si="16"/>
        <v>1</v>
      </c>
      <c r="AC36" s="3034">
        <f t="shared" si="17"/>
        <v>1</v>
      </c>
    </row>
    <row r="37" spans="1:29" s="117" customFormat="1" ht="15">
      <c r="A37" s="473"/>
      <c r="B37" s="3030"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29"/>
      <c r="Q37" s="3028" t="str">
        <f t="shared" si="11"/>
        <v>成新度</v>
      </c>
      <c r="R37" s="770" t="s">
        <v>17</v>
      </c>
      <c r="S37" s="771">
        <f t="shared" si="12"/>
        <v>100</v>
      </c>
      <c r="T37" s="770" t="s">
        <v>17</v>
      </c>
      <c r="U37" s="771">
        <f t="shared" si="13"/>
        <v>100</v>
      </c>
      <c r="V37" s="770" t="s">
        <v>17</v>
      </c>
      <c r="W37" s="771">
        <f t="shared" si="14"/>
        <v>100</v>
      </c>
      <c r="X37" s="772"/>
      <c r="Y37" s="3280"/>
      <c r="Z37" s="3029" t="str">
        <f t="shared" si="18"/>
        <v>成新度</v>
      </c>
      <c r="AA37" s="773">
        <f t="shared" si="15"/>
        <v>1</v>
      </c>
      <c r="AB37" s="773">
        <f t="shared" si="16"/>
        <v>1</v>
      </c>
      <c r="AC37" s="773">
        <f t="shared" si="17"/>
        <v>1</v>
      </c>
    </row>
    <row r="38" spans="1:29" ht="15">
      <c r="A38" s="472"/>
      <c r="B38" s="3030" t="s">
        <v>2559</v>
      </c>
      <c r="C38" s="2612" t="s">
        <v>3664</v>
      </c>
      <c r="D38" s="435">
        <v>100</v>
      </c>
      <c r="E38" s="2612" t="s">
        <v>3664</v>
      </c>
      <c r="F38" s="461">
        <f>SUMIF(114:114,E38,115:115)-SUMIF(114:114,C38,115:115)+100</f>
        <v>100</v>
      </c>
      <c r="G38" s="2612" t="s">
        <v>3664</v>
      </c>
      <c r="H38" s="435">
        <f>SUMIF(114:114,G38,115:115)-SUMIF(114:114,C38,115:115)+100</f>
        <v>100</v>
      </c>
      <c r="I38" s="2612" t="s">
        <v>3664</v>
      </c>
      <c r="J38" s="435">
        <f>SUMIF(114:114,I38,115:115)-SUMIF(114:114,C38,115:115)+100</f>
        <v>100</v>
      </c>
      <c r="K38" s="426">
        <v>2</v>
      </c>
      <c r="L38" s="1140"/>
      <c r="M38" s="1131"/>
      <c r="N38" s="1131"/>
      <c r="O38" s="1131"/>
      <c r="P38" s="3329" t="s">
        <v>2553</v>
      </c>
      <c r="Q38" s="3032" t="str">
        <f t="shared" si="11"/>
        <v>物业管理</v>
      </c>
      <c r="R38" s="774" t="s">
        <v>17</v>
      </c>
      <c r="S38" s="775">
        <f t="shared" si="12"/>
        <v>100</v>
      </c>
      <c r="T38" s="774" t="s">
        <v>17</v>
      </c>
      <c r="U38" s="775">
        <f t="shared" si="13"/>
        <v>100</v>
      </c>
      <c r="V38" s="774" t="s">
        <v>17</v>
      </c>
      <c r="W38" s="775">
        <f t="shared" si="14"/>
        <v>100</v>
      </c>
      <c r="X38" s="3031"/>
      <c r="Y38" s="3280" t="s">
        <v>2553</v>
      </c>
      <c r="Z38" s="3033" t="str">
        <f t="shared" si="18"/>
        <v>物业管理</v>
      </c>
      <c r="AA38" s="3034">
        <f t="shared" si="15"/>
        <v>1</v>
      </c>
      <c r="AB38" s="3034">
        <f t="shared" si="16"/>
        <v>1</v>
      </c>
      <c r="AC38" s="3034">
        <f t="shared" si="17"/>
        <v>1</v>
      </c>
    </row>
    <row r="39" spans="1:29" ht="15">
      <c r="A39" s="472"/>
      <c r="B39" s="3030"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29"/>
      <c r="Q39" s="3032" t="str">
        <f t="shared" si="11"/>
        <v>市政基础设施</v>
      </c>
      <c r="R39" s="774" t="s">
        <v>17</v>
      </c>
      <c r="S39" s="775">
        <f t="shared" si="12"/>
        <v>100</v>
      </c>
      <c r="T39" s="774" t="s">
        <v>17</v>
      </c>
      <c r="U39" s="775">
        <f t="shared" si="13"/>
        <v>100</v>
      </c>
      <c r="V39" s="774" t="s">
        <v>17</v>
      </c>
      <c r="W39" s="775">
        <f t="shared" si="14"/>
        <v>100</v>
      </c>
      <c r="X39" s="3031"/>
      <c r="Y39" s="3280"/>
      <c r="Z39" s="3033" t="str">
        <f t="shared" si="18"/>
        <v>市政基础设施</v>
      </c>
      <c r="AA39" s="3034">
        <f t="shared" si="15"/>
        <v>1</v>
      </c>
      <c r="AB39" s="3034">
        <f t="shared" si="16"/>
        <v>1</v>
      </c>
      <c r="AC39" s="3034">
        <f t="shared" si="17"/>
        <v>1</v>
      </c>
    </row>
    <row r="40" spans="1:29" ht="15" hidden="1">
      <c r="A40" s="472"/>
      <c r="B40" s="3030"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29"/>
      <c r="Q40" s="3032" t="str">
        <f t="shared" si="11"/>
        <v>房型</v>
      </c>
      <c r="R40" s="774" t="s">
        <v>17</v>
      </c>
      <c r="S40" s="775">
        <f t="shared" si="12"/>
        <v>100</v>
      </c>
      <c r="T40" s="774" t="s">
        <v>17</v>
      </c>
      <c r="U40" s="775">
        <f t="shared" si="13"/>
        <v>100</v>
      </c>
      <c r="V40" s="774" t="s">
        <v>17</v>
      </c>
      <c r="W40" s="775">
        <f t="shared" si="14"/>
        <v>100</v>
      </c>
      <c r="X40" s="3031"/>
      <c r="Y40" s="3280"/>
      <c r="Z40" s="3033" t="str">
        <f t="shared" si="18"/>
        <v>房型</v>
      </c>
      <c r="AA40" s="3034">
        <f t="shared" si="15"/>
        <v>1</v>
      </c>
      <c r="AB40" s="3034">
        <f t="shared" si="16"/>
        <v>1</v>
      </c>
      <c r="AC40" s="3034">
        <f t="shared" si="17"/>
        <v>1</v>
      </c>
    </row>
    <row r="41" spans="1:29" s="471" customFormat="1" ht="28.5" hidden="1">
      <c r="A41" s="468"/>
      <c r="B41" s="3030"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29"/>
      <c r="Q41" s="776" t="str">
        <f t="shared" si="11"/>
        <v>单套/主力户型建筑面积</v>
      </c>
      <c r="R41" s="777" t="s">
        <v>17</v>
      </c>
      <c r="S41" s="778">
        <f t="shared" si="12"/>
        <v>100</v>
      </c>
      <c r="T41" s="777" t="s">
        <v>17</v>
      </c>
      <c r="U41" s="778">
        <f t="shared" si="13"/>
        <v>100</v>
      </c>
      <c r="V41" s="777" t="s">
        <v>17</v>
      </c>
      <c r="W41" s="778">
        <f t="shared" si="14"/>
        <v>100</v>
      </c>
      <c r="X41" s="779"/>
      <c r="Y41" s="3280"/>
      <c r="Z41" s="780" t="str">
        <f t="shared" si="18"/>
        <v>单套/主力户型建筑面积</v>
      </c>
      <c r="AA41" s="3034">
        <f t="shared" si="15"/>
        <v>1</v>
      </c>
      <c r="AB41" s="3034">
        <f t="shared" si="16"/>
        <v>1</v>
      </c>
      <c r="AC41" s="3034">
        <f t="shared" si="17"/>
        <v>1</v>
      </c>
    </row>
    <row r="42" spans="1:29" ht="15.75" thickBot="1">
      <c r="A42" s="472"/>
      <c r="B42" s="3030" t="s">
        <v>2563</v>
      </c>
      <c r="C42" s="2612" t="s">
        <v>3662</v>
      </c>
      <c r="D42" s="435">
        <v>100</v>
      </c>
      <c r="E42" s="2612" t="s">
        <v>3662</v>
      </c>
      <c r="F42" s="461">
        <f>SUMIF(122:122,E42,123:123)-SUMIF(122:122,C42,123:123)+100</f>
        <v>100</v>
      </c>
      <c r="G42" s="2612" t="s">
        <v>3662</v>
      </c>
      <c r="H42" s="435">
        <f>SUMIF(122:122,G42,123:123)-SUMIF(122:122,C42,123:123)+100</f>
        <v>100</v>
      </c>
      <c r="I42" s="2612" t="s">
        <v>3662</v>
      </c>
      <c r="J42" s="435">
        <f>SUMIF(122:122,I42,123:123)-SUMIF(122:122,C42,123:123)+100</f>
        <v>100</v>
      </c>
      <c r="K42" s="426">
        <v>3</v>
      </c>
      <c r="L42" s="1140"/>
      <c r="M42" s="1131"/>
      <c r="N42" s="1131"/>
      <c r="O42" s="1131"/>
      <c r="P42" s="3329"/>
      <c r="Q42" s="3032" t="str">
        <f t="shared" si="11"/>
        <v>内部装修</v>
      </c>
      <c r="R42" s="774" t="s">
        <v>17</v>
      </c>
      <c r="S42" s="775">
        <f t="shared" si="12"/>
        <v>100</v>
      </c>
      <c r="T42" s="774" t="s">
        <v>17</v>
      </c>
      <c r="U42" s="775">
        <f t="shared" si="13"/>
        <v>100</v>
      </c>
      <c r="V42" s="774" t="s">
        <v>17</v>
      </c>
      <c r="W42" s="775">
        <f t="shared" si="14"/>
        <v>100</v>
      </c>
      <c r="X42" s="3031"/>
      <c r="Y42" s="3280"/>
      <c r="Z42" s="3033" t="str">
        <f t="shared" si="18"/>
        <v>内部装修</v>
      </c>
      <c r="AA42" s="3034">
        <f t="shared" si="15"/>
        <v>1</v>
      </c>
      <c r="AB42" s="3034">
        <f t="shared" si="16"/>
        <v>1</v>
      </c>
      <c r="AC42" s="3034">
        <f t="shared" si="17"/>
        <v>1</v>
      </c>
    </row>
    <row r="43" spans="1:29" ht="15.75" hidden="1" thickBot="1">
      <c r="A43" s="472"/>
      <c r="B43" s="3030"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29"/>
      <c r="Q43" s="3032" t="str">
        <f t="shared" si="11"/>
        <v>内部装修维护情况</v>
      </c>
      <c r="R43" s="774" t="s">
        <v>17</v>
      </c>
      <c r="S43" s="775">
        <f t="shared" si="12"/>
        <v>100</v>
      </c>
      <c r="T43" s="774" t="s">
        <v>17</v>
      </c>
      <c r="U43" s="775">
        <f t="shared" si="13"/>
        <v>100</v>
      </c>
      <c r="V43" s="774" t="s">
        <v>17</v>
      </c>
      <c r="W43" s="775">
        <f t="shared" si="14"/>
        <v>100</v>
      </c>
      <c r="X43" s="3031"/>
      <c r="Y43" s="3280"/>
      <c r="Z43" s="3033" t="str">
        <f t="shared" si="18"/>
        <v>内部装修维护情况</v>
      </c>
      <c r="AA43" s="3034">
        <f t="shared" si="15"/>
        <v>1</v>
      </c>
      <c r="AB43" s="3034">
        <f t="shared" si="16"/>
        <v>1</v>
      </c>
      <c r="AC43" s="3034">
        <f t="shared" si="17"/>
        <v>1</v>
      </c>
    </row>
    <row r="44" spans="1:29" s="117" customFormat="1" ht="15.75"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29"/>
      <c r="Q44" s="3028">
        <f t="shared" si="11"/>
        <v>111</v>
      </c>
      <c r="R44" s="770" t="s">
        <v>17</v>
      </c>
      <c r="S44" s="771">
        <f t="shared" si="12"/>
        <v>100</v>
      </c>
      <c r="T44" s="770" t="s">
        <v>17</v>
      </c>
      <c r="U44" s="771">
        <f t="shared" si="13"/>
        <v>100</v>
      </c>
      <c r="V44" s="770" t="s">
        <v>17</v>
      </c>
      <c r="W44" s="771">
        <f t="shared" si="14"/>
        <v>100</v>
      </c>
      <c r="X44" s="772"/>
      <c r="Y44" s="3280"/>
      <c r="Z44" s="3029">
        <f t="shared" si="18"/>
        <v>111</v>
      </c>
      <c r="AA44" s="773">
        <f t="shared" si="15"/>
        <v>1</v>
      </c>
      <c r="AB44" s="773">
        <f t="shared" si="16"/>
        <v>1</v>
      </c>
      <c r="AC44" s="773">
        <f t="shared" si="17"/>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29"/>
      <c r="Q45" s="3032">
        <f t="shared" si="11"/>
        <v>111</v>
      </c>
      <c r="R45" s="774" t="s">
        <v>17</v>
      </c>
      <c r="S45" s="775">
        <f t="shared" si="12"/>
        <v>100</v>
      </c>
      <c r="T45" s="774" t="s">
        <v>17</v>
      </c>
      <c r="U45" s="775">
        <f t="shared" si="13"/>
        <v>100</v>
      </c>
      <c r="V45" s="774" t="s">
        <v>17</v>
      </c>
      <c r="W45" s="775">
        <f t="shared" si="14"/>
        <v>100</v>
      </c>
      <c r="X45" s="3031"/>
      <c r="Y45" s="3280"/>
      <c r="Z45" s="3033">
        <f t="shared" si="18"/>
        <v>111</v>
      </c>
      <c r="AA45" s="3034">
        <f t="shared" si="15"/>
        <v>1</v>
      </c>
      <c r="AB45" s="3034">
        <f t="shared" si="16"/>
        <v>1</v>
      </c>
      <c r="AC45" s="3034">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0"/>
      <c r="Q46" s="3032">
        <f t="shared" si="11"/>
        <v>111</v>
      </c>
      <c r="R46" s="774" t="s">
        <v>20</v>
      </c>
      <c r="S46" s="775">
        <f t="shared" si="12"/>
        <v>100</v>
      </c>
      <c r="T46" s="774" t="s">
        <v>20</v>
      </c>
      <c r="U46" s="775">
        <f t="shared" si="13"/>
        <v>100</v>
      </c>
      <c r="V46" s="774" t="s">
        <v>20</v>
      </c>
      <c r="W46" s="775">
        <f t="shared" si="14"/>
        <v>100</v>
      </c>
      <c r="X46" s="3031"/>
      <c r="Y46" s="3331"/>
      <c r="Z46" s="3033">
        <f t="shared" si="18"/>
        <v>111</v>
      </c>
      <c r="AA46" s="3034">
        <f t="shared" si="15"/>
        <v>1</v>
      </c>
      <c r="AB46" s="3034">
        <f t="shared" si="16"/>
        <v>1</v>
      </c>
      <c r="AC46" s="3034">
        <f t="shared" si="17"/>
        <v>1</v>
      </c>
    </row>
    <row r="47" spans="1:29" ht="15">
      <c r="A47" s="479" t="s">
        <v>2565</v>
      </c>
      <c r="B47" s="480"/>
      <c r="C47" s="1407" t="s">
        <v>1</v>
      </c>
      <c r="D47" s="1408"/>
      <c r="E47" s="1409">
        <f>宁波市调!D19</f>
        <v>13500</v>
      </c>
      <c r="F47" s="1410"/>
      <c r="G47" s="1411">
        <f>宁波市调!D20</f>
        <v>12000</v>
      </c>
      <c r="H47" s="1412"/>
      <c r="I47" s="1409">
        <f>宁波市调!D21</f>
        <v>13000</v>
      </c>
      <c r="J47" s="1412"/>
      <c r="K47" s="2619"/>
      <c r="L47" s="1143"/>
      <c r="M47" s="1144"/>
      <c r="N47" s="1131"/>
      <c r="O47" s="1144"/>
      <c r="P47" s="3262" t="str">
        <f>A47</f>
        <v>成交单价（元/平方米）</v>
      </c>
      <c r="Q47" s="3262"/>
      <c r="R47" s="3327">
        <f>E47</f>
        <v>13500</v>
      </c>
      <c r="S47" s="3327"/>
      <c r="T47" s="3327">
        <f>G47</f>
        <v>12000</v>
      </c>
      <c r="U47" s="3327"/>
      <c r="V47" s="3327">
        <f>I47</f>
        <v>13000</v>
      </c>
      <c r="W47" s="3327"/>
      <c r="X47" s="759"/>
      <c r="Y47" s="781"/>
      <c r="Z47" s="759"/>
      <c r="AA47" s="759"/>
      <c r="AB47" s="759"/>
      <c r="AC47" s="759"/>
    </row>
    <row r="48" spans="1:29" ht="15.75" thickBot="1">
      <c r="A48" s="486" t="s">
        <v>2566</v>
      </c>
      <c r="B48" s="487"/>
      <c r="C48" s="1413">
        <f>R49</f>
        <v>12960</v>
      </c>
      <c r="D48" s="1414"/>
      <c r="E48" s="1415">
        <f>R48</f>
        <v>13246</v>
      </c>
      <c r="F48" s="1415"/>
      <c r="G48" s="1413">
        <f>T48</f>
        <v>12629</v>
      </c>
      <c r="H48" s="1414"/>
      <c r="I48" s="1415">
        <f>V48</f>
        <v>13005</v>
      </c>
      <c r="J48" s="1414"/>
      <c r="K48" s="2620"/>
      <c r="L48" s="1143"/>
      <c r="M48" s="1144"/>
      <c r="N48" s="1144"/>
      <c r="O48" s="1144"/>
      <c r="P48" s="3262" t="str">
        <f>A48</f>
        <v>比较价值（元/平方米）</v>
      </c>
      <c r="Q48" s="3262"/>
      <c r="R48" s="3327">
        <f>IF(F1="售价",ROUND(PRODUCT(R47,AA7:AA46),0),ROUND(PRODUCT(R47,AA7:AA46),1))</f>
        <v>13246</v>
      </c>
      <c r="S48" s="3327"/>
      <c r="T48" s="3327">
        <f>IF(F1="售价",ROUND(PRODUCT(T47,AB7:AB46),0),ROUND(PRODUCT(T47,AB7:AB46),1))</f>
        <v>12629</v>
      </c>
      <c r="U48" s="3327"/>
      <c r="V48" s="3327">
        <f>IF(F1="售价",ROUND(PRODUCT(V47,AC7:AC46),0),ROUND(PRODUCT(V47,AC7:AC46),1))</f>
        <v>13005</v>
      </c>
      <c r="W48" s="3327"/>
      <c r="X48" s="759"/>
      <c r="Y48" s="759"/>
      <c r="Z48" s="759"/>
      <c r="AA48" s="759"/>
      <c r="AB48" s="759"/>
      <c r="AC48" s="759"/>
    </row>
    <row r="49" spans="1:29" ht="15.75" thickBot="1">
      <c r="A49" s="492" t="s">
        <v>3695</v>
      </c>
      <c r="B49" s="493"/>
      <c r="C49" s="1416">
        <f>R49</f>
        <v>12960</v>
      </c>
      <c r="D49" s="1417"/>
      <c r="E49" s="1417"/>
      <c r="F49" s="1417"/>
      <c r="G49" s="1417"/>
      <c r="H49" s="1417"/>
      <c r="I49" s="1417"/>
      <c r="J49" s="1417"/>
      <c r="K49" s="2621"/>
      <c r="L49" s="1143"/>
      <c r="M49" s="1144"/>
      <c r="N49" s="1144"/>
      <c r="O49" s="1144"/>
      <c r="P49" s="3282" t="str">
        <f>A49</f>
        <v>估价对象洋房比较价值（楼面单价，元/平方米）</v>
      </c>
      <c r="Q49" s="3283"/>
      <c r="R49" s="3326">
        <f>IF(F1="售价",ROUND(AVERAGE(R48:V48),0),ROUND(AVERAGE(R48:V48),1))</f>
        <v>12960</v>
      </c>
      <c r="S49" s="3326"/>
      <c r="T49" s="3326"/>
      <c r="U49" s="3326"/>
      <c r="V49" s="3326"/>
      <c r="W49" s="33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1.9175600181186692E-2</v>
      </c>
      <c r="F52" s="500" t="str">
        <f>IF(OR(E52&gt;=0.3,E52&lt;=-0.3),"超过30%","")</f>
        <v/>
      </c>
      <c r="G52" s="499">
        <f>IF(G47&lt;G48,G48/G47-1,G47/G48-1)</f>
        <v>5.2416666666666556E-2</v>
      </c>
      <c r="H52" s="500" t="str">
        <f>IF(OR(G52&gt;=0.3,G52&lt;=-0.3),"超过30%","")</f>
        <v/>
      </c>
      <c r="I52" s="499">
        <f>IF(I47&lt;I48,I48/I47-1,I47/I48-1)</f>
        <v>3.8461538461542766E-4</v>
      </c>
      <c r="J52" s="500" t="str">
        <f>IF(OR(I52&gt;=0.3,I52&lt;=-0.3),"超过30%","")</f>
        <v/>
      </c>
      <c r="K52" s="1105"/>
      <c r="L52" s="1106"/>
      <c r="M52" s="1144"/>
      <c r="N52" s="1144"/>
      <c r="O52" s="1144"/>
    </row>
    <row r="53" spans="1:29" ht="13.5" customHeight="1">
      <c r="A53" s="1144"/>
      <c r="B53" s="1144"/>
      <c r="C53" s="497" t="s">
        <v>2568</v>
      </c>
      <c r="D53" s="501"/>
      <c r="E53" s="499">
        <f>IF(E48&lt;G48,G48/E48-1,E48/G48-1)</f>
        <v>4.8855808060812356E-2</v>
      </c>
      <c r="F53" s="500" t="str">
        <f>IF(OR(E53&gt;=0.2,E53&lt;=-0.2),"超过20%","")</f>
        <v/>
      </c>
      <c r="G53" s="499">
        <f>IF(G48&lt;I48,I48/G48-1,G48/I48-1)</f>
        <v>2.9772745268825673E-2</v>
      </c>
      <c r="H53" s="500" t="str">
        <f>IF(OR(G53&gt;=0.2,G53&lt;=-0.2),"超过20%","")</f>
        <v/>
      </c>
      <c r="I53" s="499">
        <f>IF(I48&lt;E48,E48/I48-1,I48/E48-1)</f>
        <v>1.8531334102268371E-2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0.125</v>
      </c>
      <c r="F54" s="500" t="str">
        <f>IF(OR(E54&gt;=0.3,E54&lt;=-0.3),"超过30%","")</f>
        <v/>
      </c>
      <c r="G54" s="499">
        <f>IF(G47&lt;I47,I47/G47-1,G47/I47-1)</f>
        <v>8.3333333333333259E-2</v>
      </c>
      <c r="H54" s="500" t="str">
        <f>IF(OR(G54&gt;=0.3,G54&lt;=-0.3),"超过30%","")</f>
        <v/>
      </c>
      <c r="I54" s="499">
        <f>IF(I47&lt;E47,E47/I47-1,I47/E47-1)</f>
        <v>3.8461538461538547E-2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6.5" hidden="1" thickTop="1" thickBot="1">
      <c r="A70" s="553"/>
      <c r="B70" s="538">
        <f>B12</f>
        <v>111</v>
      </c>
      <c r="C70" s="554"/>
      <c r="D70" s="554"/>
      <c r="E70" s="554"/>
      <c r="F70" s="554"/>
      <c r="G70" s="554"/>
      <c r="H70" s="555"/>
      <c r="I70" s="555"/>
      <c r="J70" s="555"/>
      <c r="K70" s="555"/>
      <c r="L70" s="556"/>
      <c r="M70" s="557"/>
      <c r="N70" s="1154"/>
      <c r="O70" s="1154"/>
      <c r="P70" s="2629"/>
      <c r="Q70" s="559"/>
    </row>
    <row r="71" spans="1:17" s="471" customFormat="1" ht="16.5" hidden="1" thickTop="1" thickBot="1">
      <c r="A71" s="553"/>
      <c r="B71" s="543"/>
      <c r="C71" s="560"/>
      <c r="D71" s="536"/>
      <c r="E71" s="536"/>
      <c r="F71" s="536"/>
      <c r="G71" s="536"/>
      <c r="H71" s="536"/>
      <c r="I71" s="536"/>
      <c r="J71" s="536"/>
      <c r="K71" s="536"/>
      <c r="L71" s="536"/>
      <c r="M71" s="537"/>
      <c r="N71" s="1153"/>
      <c r="O71" s="1153"/>
      <c r="P71" s="2629"/>
      <c r="Q71" s="559"/>
    </row>
    <row r="72" spans="1:17" s="471" customFormat="1" ht="16.5" hidden="1" thickTop="1" thickBot="1">
      <c r="A72" s="553"/>
      <c r="B72" s="538">
        <f>B13</f>
        <v>111</v>
      </c>
      <c r="C72" s="554"/>
      <c r="D72" s="554"/>
      <c r="E72" s="554"/>
      <c r="F72" s="554"/>
      <c r="G72" s="554"/>
      <c r="H72" s="555"/>
      <c r="I72" s="555"/>
      <c r="J72" s="555"/>
      <c r="K72" s="555"/>
      <c r="L72" s="556"/>
      <c r="M72" s="557"/>
      <c r="N72" s="1154"/>
      <c r="O72" s="1154"/>
      <c r="P72" s="2630"/>
      <c r="Q72" s="561"/>
    </row>
    <row r="73" spans="1:17" s="471" customFormat="1" ht="16.5" hidden="1" thickTop="1" thickBot="1">
      <c r="A73" s="553"/>
      <c r="B73" s="543"/>
      <c r="C73" s="560"/>
      <c r="D73" s="560"/>
      <c r="E73" s="560"/>
      <c r="F73" s="560"/>
      <c r="G73" s="560"/>
      <c r="H73" s="562"/>
      <c r="I73" s="562"/>
      <c r="J73" s="562"/>
      <c r="K73" s="562"/>
      <c r="L73" s="562"/>
      <c r="M73" s="563"/>
      <c r="N73" s="1154"/>
      <c r="O73" s="1154"/>
      <c r="P73" s="2629"/>
      <c r="Q73" s="559"/>
    </row>
    <row r="74" spans="1:17" s="471" customFormat="1" ht="16.5" hidden="1" thickTop="1" thickBot="1">
      <c r="A74" s="553"/>
      <c r="B74" s="546">
        <f>B14</f>
        <v>111</v>
      </c>
      <c r="C74" s="554"/>
      <c r="D74" s="554"/>
      <c r="E74" s="554"/>
      <c r="F74" s="554"/>
      <c r="G74" s="523"/>
      <c r="H74" s="564"/>
      <c r="I74" s="564"/>
      <c r="J74" s="564"/>
      <c r="K74" s="564"/>
      <c r="L74" s="565"/>
      <c r="M74" s="566"/>
      <c r="N74" s="1154"/>
      <c r="O74" s="1154"/>
      <c r="P74" s="2631"/>
      <c r="Q74" s="559"/>
    </row>
    <row r="75" spans="1:17" s="471" customFormat="1" ht="16.5" hidden="1" thickTop="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6.5" hidden="1" thickTop="1" thickBot="1">
      <c r="A86" s="579"/>
      <c r="B86" s="538" t="s">
        <v>2597</v>
      </c>
      <c r="C86" s="554"/>
      <c r="D86" s="554"/>
      <c r="E86" s="554"/>
      <c r="F86" s="554"/>
      <c r="G86" s="554"/>
      <c r="H86" s="554"/>
      <c r="I86" s="554"/>
      <c r="J86" s="554"/>
      <c r="K86" s="554"/>
      <c r="L86" s="580"/>
      <c r="M86" s="581"/>
      <c r="N86" s="1151"/>
      <c r="O86" s="1151"/>
      <c r="P86" s="2628"/>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6.5" hidden="1" thickTop="1" thickBot="1">
      <c r="A88" s="579"/>
      <c r="B88" s="538" t="s">
        <v>2598</v>
      </c>
      <c r="C88" s="554"/>
      <c r="D88" s="554"/>
      <c r="E88" s="554"/>
      <c r="F88" s="2633"/>
      <c r="G88" s="554"/>
      <c r="H88" s="554"/>
      <c r="I88" s="554"/>
      <c r="J88" s="554"/>
      <c r="K88" s="554"/>
      <c r="L88" s="554"/>
      <c r="M88" s="581"/>
      <c r="N88" s="1151"/>
      <c r="O88" s="1151"/>
      <c r="P88" s="2628"/>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6.5" hidden="1" thickTop="1" thickBot="1">
      <c r="A90" s="553"/>
      <c r="B90" s="538">
        <f>B27</f>
        <v>111</v>
      </c>
      <c r="C90" s="554"/>
      <c r="D90" s="554"/>
      <c r="E90" s="554"/>
      <c r="F90" s="554"/>
      <c r="G90" s="554"/>
      <c r="H90" s="555"/>
      <c r="I90" s="555"/>
      <c r="J90" s="555"/>
      <c r="K90" s="555"/>
      <c r="L90" s="556"/>
      <c r="M90" s="557"/>
      <c r="N90" s="1154"/>
      <c r="O90" s="1154"/>
      <c r="P90" s="2629"/>
      <c r="Q90" s="559"/>
    </row>
    <row r="91" spans="1:17" s="471" customFormat="1" ht="16.5" hidden="1" thickTop="1" thickBot="1">
      <c r="A91" s="553"/>
      <c r="B91" s="543"/>
      <c r="C91" s="560"/>
      <c r="D91" s="560"/>
      <c r="E91" s="560"/>
      <c r="F91" s="560"/>
      <c r="G91" s="560"/>
      <c r="H91" s="562"/>
      <c r="I91" s="562"/>
      <c r="J91" s="562"/>
      <c r="K91" s="562"/>
      <c r="L91" s="562"/>
      <c r="M91" s="563"/>
      <c r="N91" s="1154"/>
      <c r="O91" s="1154"/>
      <c r="P91" s="2629"/>
      <c r="Q91" s="559"/>
    </row>
    <row r="92" spans="1:17" ht="16.5" hidden="1" thickTop="1" thickBot="1">
      <c r="A92" s="534"/>
      <c r="B92" s="538">
        <f>B28</f>
        <v>111</v>
      </c>
      <c r="C92" s="554"/>
      <c r="D92" s="554"/>
      <c r="E92" s="554"/>
      <c r="F92" s="554"/>
      <c r="G92" s="583"/>
      <c r="H92" s="583"/>
      <c r="I92" s="583"/>
      <c r="J92" s="583"/>
      <c r="K92" s="584"/>
      <c r="L92" s="585"/>
      <c r="M92" s="586"/>
      <c r="N92" s="1152"/>
      <c r="O92" s="1152"/>
      <c r="P92" s="2628"/>
      <c r="Q92" s="504"/>
    </row>
    <row r="93" spans="1:17" ht="16.5" hidden="1" thickTop="1" thickBot="1">
      <c r="A93" s="534"/>
      <c r="B93" s="543"/>
      <c r="C93" s="560"/>
      <c r="D93" s="536"/>
      <c r="E93" s="536"/>
      <c r="F93" s="536"/>
      <c r="G93" s="536"/>
      <c r="H93" s="536"/>
      <c r="I93" s="536"/>
      <c r="J93" s="536"/>
      <c r="K93" s="536"/>
      <c r="L93" s="536"/>
      <c r="M93" s="537"/>
      <c r="N93" s="1153"/>
      <c r="O93" s="1153"/>
      <c r="P93" s="2628"/>
      <c r="Q93" s="504"/>
    </row>
    <row r="94" spans="1:17" ht="16.5" hidden="1" thickTop="1" thickBot="1">
      <c r="A94" s="534"/>
      <c r="B94" s="538">
        <f>B29</f>
        <v>111</v>
      </c>
      <c r="C94" s="554"/>
      <c r="D94" s="554"/>
      <c r="E94" s="554"/>
      <c r="F94" s="554"/>
      <c r="G94" s="583"/>
      <c r="H94" s="583"/>
      <c r="I94" s="583"/>
      <c r="J94" s="583"/>
      <c r="K94" s="584"/>
      <c r="L94" s="585"/>
      <c r="M94" s="586"/>
      <c r="N94" s="1152"/>
      <c r="O94" s="1152"/>
      <c r="P94" s="2628"/>
      <c r="Q94" s="504"/>
    </row>
    <row r="95" spans="1:17" ht="16.5" hidden="1" thickTop="1" thickBot="1">
      <c r="A95" s="534"/>
      <c r="B95" s="543"/>
      <c r="C95" s="560"/>
      <c r="D95" s="560"/>
      <c r="E95" s="560"/>
      <c r="F95" s="560"/>
      <c r="G95" s="536"/>
      <c r="H95" s="536"/>
      <c r="I95" s="536"/>
      <c r="J95" s="536"/>
      <c r="K95" s="536"/>
      <c r="L95" s="536"/>
      <c r="M95" s="537"/>
      <c r="N95" s="1153"/>
      <c r="O95" s="1153"/>
      <c r="P95" s="2628"/>
      <c r="Q95" s="504"/>
    </row>
    <row r="96" spans="1:17" ht="16.5" hidden="1" thickTop="1" thickBot="1">
      <c r="A96" s="534"/>
      <c r="B96" s="538">
        <f>B30</f>
        <v>111</v>
      </c>
      <c r="C96" s="554"/>
      <c r="D96" s="554"/>
      <c r="E96" s="554"/>
      <c r="F96" s="554"/>
      <c r="G96" s="583"/>
      <c r="H96" s="583"/>
      <c r="I96" s="583"/>
      <c r="J96" s="583"/>
      <c r="K96" s="584"/>
      <c r="L96" s="585"/>
      <c r="M96" s="586"/>
      <c r="N96" s="1152"/>
      <c r="O96" s="1152"/>
      <c r="P96" s="2628"/>
      <c r="Q96" s="504"/>
    </row>
    <row r="97" spans="1:17" ht="16.5" hidden="1" thickTop="1" thickBot="1">
      <c r="A97" s="534"/>
      <c r="B97" s="543"/>
      <c r="C97" s="570"/>
      <c r="D97" s="570"/>
      <c r="E97" s="570"/>
      <c r="F97" s="570"/>
      <c r="G97" s="536"/>
      <c r="H97" s="536"/>
      <c r="I97" s="536"/>
      <c r="J97" s="536"/>
      <c r="K97" s="536"/>
      <c r="L97" s="536"/>
      <c r="M97" s="537"/>
      <c r="N97" s="1153"/>
      <c r="O97" s="1153"/>
      <c r="P97" s="2628"/>
      <c r="Q97" s="504"/>
    </row>
    <row r="98" spans="1:17" ht="16.5" hidden="1" thickTop="1" thickBot="1">
      <c r="A98" s="534"/>
      <c r="B98" s="546">
        <f>B31</f>
        <v>111</v>
      </c>
      <c r="C98" s="587"/>
      <c r="D98" s="587"/>
      <c r="E98" s="587"/>
      <c r="F98" s="587"/>
      <c r="G98" s="587"/>
      <c r="H98" s="587"/>
      <c r="I98" s="587"/>
      <c r="J98" s="587"/>
      <c r="K98" s="588"/>
      <c r="L98" s="589"/>
      <c r="M98" s="590"/>
      <c r="N98" s="1152"/>
      <c r="O98" s="1152"/>
      <c r="P98" s="2628"/>
      <c r="Q98" s="504"/>
    </row>
    <row r="99" spans="1:17" ht="16.5" hidden="1" thickTop="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3647</v>
      </c>
      <c r="D100" s="2982" t="s">
        <v>3648</v>
      </c>
      <c r="E100" s="2982" t="s">
        <v>3649</v>
      </c>
      <c r="F100" s="2982" t="s">
        <v>3650</v>
      </c>
      <c r="G100" s="2982" t="s">
        <v>3651</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3652</v>
      </c>
      <c r="D105" s="2983" t="s">
        <v>3653</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3654</v>
      </c>
      <c r="D107" s="2984" t="s">
        <v>3656</v>
      </c>
      <c r="E107" s="2984" t="s">
        <v>3657</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3659</v>
      </c>
      <c r="D109" s="2983" t="s">
        <v>3660</v>
      </c>
      <c r="E109" s="2983" t="s">
        <v>3661</v>
      </c>
      <c r="F109" s="2984" t="s">
        <v>3663</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3665</v>
      </c>
      <c r="D114" s="2983" t="s">
        <v>3666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75" hidden="1" thickTop="1" thickBot="1">
      <c r="A118" s="599"/>
      <c r="B118" s="538" t="s">
        <v>2606</v>
      </c>
      <c r="C118" s="583"/>
      <c r="D118" s="583"/>
      <c r="E118" s="583"/>
      <c r="F118" s="583"/>
      <c r="G118" s="583"/>
      <c r="H118" s="583"/>
      <c r="I118" s="583"/>
      <c r="J118" s="583"/>
      <c r="K118" s="584"/>
      <c r="L118" s="585"/>
      <c r="M118" s="586"/>
      <c r="N118" s="1152"/>
      <c r="O118" s="1152"/>
      <c r="P118" s="2628"/>
      <c r="Q118" s="504"/>
    </row>
    <row r="119" spans="1:17" ht="16.5" hidden="1" thickTop="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25" hidden="1" thickTop="1" thickBot="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6.5" hidden="1" thickTop="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3659</v>
      </c>
      <c r="D122" s="2983" t="s">
        <v>3660</v>
      </c>
      <c r="E122" s="2983" t="s">
        <v>3661</v>
      </c>
      <c r="F122" s="2984" t="s">
        <v>3663</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2629</v>
      </c>
      <c r="C1" s="1633" t="s">
        <v>2518</v>
      </c>
      <c r="D1" s="1620"/>
      <c r="E1" s="2655"/>
      <c r="F1" s="2583"/>
      <c r="G1" s="1630" t="s">
        <v>2630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75" t="s">
        <v>2635</v>
      </c>
      <c r="AC4" s="3245" t="s">
        <v>2636</v>
      </c>
    </row>
    <row r="5" spans="1:29" ht="15">
      <c r="A5" s="404"/>
      <c r="B5" s="405"/>
      <c r="C5" s="3336" t="s">
        <v>2530</v>
      </c>
      <c r="D5" s="3337"/>
      <c r="E5" s="3334" t="s">
        <v>2531</v>
      </c>
      <c r="F5" s="3335"/>
      <c r="G5" s="3336" t="s">
        <v>2532</v>
      </c>
      <c r="H5" s="3337"/>
      <c r="I5" s="3336" t="s">
        <v>2533</v>
      </c>
      <c r="J5" s="3337"/>
      <c r="K5" s="610"/>
      <c r="L5" s="1130"/>
      <c r="M5" s="1131"/>
      <c r="N5" s="1131"/>
      <c r="O5" s="1131"/>
      <c r="P5" s="3269"/>
      <c r="Q5" s="3270"/>
      <c r="R5" s="3252"/>
      <c r="S5" s="3253"/>
      <c r="T5" s="3252"/>
      <c r="U5" s="3253"/>
      <c r="V5" s="3275"/>
      <c r="W5" s="3275"/>
      <c r="X5" s="1812"/>
      <c r="Y5" s="3252"/>
      <c r="Z5" s="3253"/>
      <c r="AA5" s="3246"/>
      <c r="AB5" s="3275"/>
      <c r="AC5" s="3246"/>
    </row>
    <row r="6" spans="1:29" ht="15.75" thickBot="1">
      <c r="A6" s="406"/>
      <c r="B6" s="407"/>
      <c r="C6" s="3338" t="s">
        <v>2534</v>
      </c>
      <c r="D6" s="3339"/>
      <c r="E6" s="3340" t="s">
        <v>2534</v>
      </c>
      <c r="F6" s="3341"/>
      <c r="G6" s="3338" t="s">
        <v>2534</v>
      </c>
      <c r="H6" s="3339"/>
      <c r="I6" s="3338" t="s">
        <v>2534</v>
      </c>
      <c r="J6" s="3339"/>
      <c r="K6" s="610" t="s">
        <v>2535</v>
      </c>
      <c r="L6" s="1130"/>
      <c r="M6" s="1131"/>
      <c r="N6" s="1131"/>
      <c r="O6" s="1131"/>
      <c r="P6" s="3271"/>
      <c r="Q6" s="3272"/>
      <c r="R6" s="3252"/>
      <c r="S6" s="3253"/>
      <c r="T6" s="3273"/>
      <c r="U6" s="3274"/>
      <c r="V6" s="3275"/>
      <c r="W6" s="3275"/>
      <c r="X6" s="1812"/>
      <c r="Y6" s="3273"/>
      <c r="Z6" s="3274"/>
      <c r="AA6" s="3247"/>
      <c r="AB6" s="3275"/>
      <c r="AC6" s="3247"/>
    </row>
    <row r="7" spans="1:29" s="117" customFormat="1" ht="15.75" thickBot="1">
      <c r="A7" s="408" t="s">
        <v>2536</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8" t="s">
        <v>2537</v>
      </c>
      <c r="Q7" s="3276"/>
      <c r="R7" s="770" t="s">
        <v>17</v>
      </c>
      <c r="S7" s="771">
        <f t="shared" ref="S7:S15" si="0">F7</f>
        <v>0</v>
      </c>
      <c r="T7" s="770" t="s">
        <v>17</v>
      </c>
      <c r="U7" s="771">
        <f t="shared" ref="U7:U15" si="1">H7</f>
        <v>0</v>
      </c>
      <c r="V7" s="770" t="s">
        <v>17</v>
      </c>
      <c r="W7" s="771">
        <f t="shared" ref="W7:W15" si="2">J7</f>
        <v>0</v>
      </c>
      <c r="X7" s="772"/>
      <c r="Y7" s="3248" t="s">
        <v>2537</v>
      </c>
      <c r="Z7" s="3249"/>
      <c r="AA7" s="773" t="e">
        <f>D7/F7</f>
        <v>#DIV/0!</v>
      </c>
      <c r="AB7" s="773" t="e">
        <f>D7/H7</f>
        <v>#DIV/0!</v>
      </c>
      <c r="AC7" s="773" t="e">
        <f>D7/J7</f>
        <v>#DIV/0!</v>
      </c>
    </row>
    <row r="8" spans="1:29" s="117" customFormat="1" ht="15.75" thickBot="1">
      <c r="A8" s="408" t="s">
        <v>2538</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8" t="s">
        <v>2540</v>
      </c>
      <c r="Q8" s="3249"/>
      <c r="R8" s="770" t="s">
        <v>17</v>
      </c>
      <c r="S8" s="771">
        <f t="shared" si="0"/>
        <v>0</v>
      </c>
      <c r="T8" s="770" t="s">
        <v>17</v>
      </c>
      <c r="U8" s="771">
        <f t="shared" si="1"/>
        <v>0</v>
      </c>
      <c r="V8" s="770" t="s">
        <v>17</v>
      </c>
      <c r="W8" s="771">
        <f t="shared" si="2"/>
        <v>0</v>
      </c>
      <c r="X8" s="772"/>
      <c r="Y8" s="3248" t="s">
        <v>2540</v>
      </c>
      <c r="Z8" s="3249"/>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86" t="s">
        <v>2543</v>
      </c>
      <c r="Q9" s="1794" t="str">
        <f t="shared" ref="Q9:Q15" si="6">B9</f>
        <v>用途</v>
      </c>
      <c r="R9" s="770" t="s">
        <v>17</v>
      </c>
      <c r="S9" s="771">
        <f t="shared" si="0"/>
        <v>100</v>
      </c>
      <c r="T9" s="770" t="s">
        <v>17</v>
      </c>
      <c r="U9" s="771">
        <f t="shared" si="1"/>
        <v>100</v>
      </c>
      <c r="V9" s="770" t="s">
        <v>17</v>
      </c>
      <c r="W9" s="771">
        <f t="shared" si="2"/>
        <v>100</v>
      </c>
      <c r="X9" s="772"/>
      <c r="Y9" s="311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86"/>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86"/>
      <c r="Q11" s="1794" t="str">
        <f t="shared" si="6"/>
        <v>容积率</v>
      </c>
      <c r="R11" s="770" t="s">
        <v>17</v>
      </c>
      <c r="S11" s="771" t="e">
        <f t="shared" si="0"/>
        <v>#N/A</v>
      </c>
      <c r="T11" s="770" t="s">
        <v>17</v>
      </c>
      <c r="U11" s="771" t="e">
        <f t="shared" si="1"/>
        <v>#N/A</v>
      </c>
      <c r="V11" s="770" t="s">
        <v>17</v>
      </c>
      <c r="W11" s="771" t="e">
        <f t="shared" si="2"/>
        <v>#N/A</v>
      </c>
      <c r="X11" s="772"/>
      <c r="Y11" s="311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86"/>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86"/>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86"/>
      <c r="Q14" s="1794">
        <f t="shared" si="6"/>
        <v>111</v>
      </c>
      <c r="R14" s="770" t="s">
        <v>17</v>
      </c>
      <c r="S14" s="771">
        <f t="shared" si="0"/>
        <v>100</v>
      </c>
      <c r="T14" s="770" t="s">
        <v>17</v>
      </c>
      <c r="U14" s="771">
        <f t="shared" si="1"/>
        <v>100</v>
      </c>
      <c r="V14" s="770" t="s">
        <v>17</v>
      </c>
      <c r="W14" s="771">
        <f t="shared" si="2"/>
        <v>100</v>
      </c>
      <c r="X14" s="772"/>
      <c r="Y14" s="3117"/>
      <c r="Z14" s="55">
        <f t="shared" si="7"/>
        <v>111</v>
      </c>
      <c r="AA14" s="773">
        <f t="shared" si="3"/>
        <v>1</v>
      </c>
      <c r="AB14" s="773">
        <f t="shared" si="4"/>
        <v>1</v>
      </c>
      <c r="AC14" s="773">
        <f t="shared" si="5"/>
        <v>1</v>
      </c>
    </row>
    <row r="15" spans="1:29" ht="15">
      <c r="A15" s="440" t="s">
        <v>2547</v>
      </c>
      <c r="B15" s="69" t="s">
        <v>2640</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2" t="s">
        <v>2548</v>
      </c>
      <c r="Q15" s="1809" t="str">
        <f t="shared" si="6"/>
        <v>商业繁华度</v>
      </c>
      <c r="R15" s="774" t="s">
        <v>17</v>
      </c>
      <c r="S15" s="775">
        <f t="shared" si="0"/>
        <v>100</v>
      </c>
      <c r="T15" s="774" t="s">
        <v>17</v>
      </c>
      <c r="U15" s="775">
        <f t="shared" si="1"/>
        <v>100</v>
      </c>
      <c r="V15" s="774" t="s">
        <v>17</v>
      </c>
      <c r="W15" s="775">
        <f t="shared" si="2"/>
        <v>100</v>
      </c>
      <c r="X15" s="1812"/>
      <c r="Y15" s="3277"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33"/>
      <c r="Q16" s="1809"/>
      <c r="R16" s="774"/>
      <c r="S16" s="775"/>
      <c r="T16" s="774"/>
      <c r="U16" s="775"/>
      <c r="V16" s="774"/>
      <c r="W16" s="775"/>
      <c r="X16" s="1812"/>
      <c r="Y16" s="3278"/>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33"/>
      <c r="Q17" s="1809" t="str">
        <f>B17</f>
        <v>交通便捷度</v>
      </c>
      <c r="R17" s="774" t="s">
        <v>17</v>
      </c>
      <c r="S17" s="775">
        <f>F17</f>
        <v>100</v>
      </c>
      <c r="T17" s="774" t="s">
        <v>17</v>
      </c>
      <c r="U17" s="775">
        <f>H17</f>
        <v>100</v>
      </c>
      <c r="V17" s="774" t="s">
        <v>17</v>
      </c>
      <c r="W17" s="775">
        <f>J17</f>
        <v>100</v>
      </c>
      <c r="X17" s="1812"/>
      <c r="Y17" s="3278"/>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33"/>
      <c r="Q18" s="1809"/>
      <c r="R18" s="774"/>
      <c r="S18" s="775"/>
      <c r="T18" s="774"/>
      <c r="U18" s="775"/>
      <c r="V18" s="774"/>
      <c r="W18" s="775"/>
      <c r="X18" s="1812"/>
      <c r="Y18" s="3278"/>
      <c r="Z18" s="1813"/>
      <c r="AA18" s="1810">
        <v>1</v>
      </c>
      <c r="AB18" s="1810">
        <v>1</v>
      </c>
      <c r="AC18" s="1810">
        <v>1</v>
      </c>
    </row>
    <row r="19" spans="1:29" ht="15">
      <c r="A19" s="428"/>
      <c r="B19" s="451" t="s">
        <v>2641</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33"/>
      <c r="Q19" s="1809" t="str">
        <f>B19</f>
        <v>公共配套设施</v>
      </c>
      <c r="R19" s="774" t="s">
        <v>17</v>
      </c>
      <c r="S19" s="775">
        <f>F19</f>
        <v>100</v>
      </c>
      <c r="T19" s="774" t="s">
        <v>17</v>
      </c>
      <c r="U19" s="775">
        <f>H19</f>
        <v>100</v>
      </c>
      <c r="V19" s="774" t="s">
        <v>17</v>
      </c>
      <c r="W19" s="775">
        <f>J19</f>
        <v>100</v>
      </c>
      <c r="X19" s="1812"/>
      <c r="Y19" s="3278"/>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33"/>
      <c r="Q20" s="1809"/>
      <c r="R20" s="774"/>
      <c r="S20" s="775"/>
      <c r="T20" s="774"/>
      <c r="U20" s="775"/>
      <c r="V20" s="774"/>
      <c r="W20" s="775"/>
      <c r="X20" s="1812"/>
      <c r="Y20" s="3278"/>
      <c r="Z20" s="1813"/>
      <c r="AA20" s="1810">
        <v>1</v>
      </c>
      <c r="AB20" s="1810">
        <v>1</v>
      </c>
      <c r="AC20" s="1810">
        <v>1</v>
      </c>
    </row>
    <row r="21" spans="1:29" ht="15">
      <c r="A21" s="428"/>
      <c r="B21" s="1384" t="s">
        <v>2642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33"/>
      <c r="Q21" s="1809" t="str">
        <f>B21</f>
        <v>基础设施水平</v>
      </c>
      <c r="R21" s="774" t="s">
        <v>17</v>
      </c>
      <c r="S21" s="775">
        <f>F21</f>
        <v>100</v>
      </c>
      <c r="T21" s="774" t="s">
        <v>17</v>
      </c>
      <c r="U21" s="775">
        <f>H21</f>
        <v>100</v>
      </c>
      <c r="V21" s="774" t="s">
        <v>17</v>
      </c>
      <c r="W21" s="775">
        <f>J21</f>
        <v>100</v>
      </c>
      <c r="X21" s="1812"/>
      <c r="Y21" s="3278"/>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33"/>
      <c r="Q22" s="1809"/>
      <c r="R22" s="774"/>
      <c r="S22" s="775"/>
      <c r="T22" s="774"/>
      <c r="U22" s="775"/>
      <c r="V22" s="774"/>
      <c r="W22" s="775"/>
      <c r="X22" s="1812"/>
      <c r="Y22" s="3278"/>
      <c r="Z22" s="1813"/>
      <c r="AA22" s="1810">
        <v>1</v>
      </c>
      <c r="AB22" s="1810">
        <v>1</v>
      </c>
      <c r="AC22" s="1810">
        <v>1</v>
      </c>
    </row>
    <row r="23" spans="1:29" ht="15">
      <c r="A23" s="428"/>
      <c r="B23" s="451" t="s">
        <v>2093</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33"/>
      <c r="Q23" s="1809" t="str">
        <f>B23</f>
        <v>自然及人文环境</v>
      </c>
      <c r="R23" s="774" t="s">
        <v>17</v>
      </c>
      <c r="S23" s="775">
        <f>F23</f>
        <v>100</v>
      </c>
      <c r="T23" s="774" t="s">
        <v>17</v>
      </c>
      <c r="U23" s="775">
        <f>H23</f>
        <v>100</v>
      </c>
      <c r="V23" s="774" t="s">
        <v>17</v>
      </c>
      <c r="W23" s="775">
        <f>J23</f>
        <v>100</v>
      </c>
      <c r="X23" s="1812"/>
      <c r="Y23" s="3278"/>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33"/>
      <c r="Q24" s="1809"/>
      <c r="R24" s="774"/>
      <c r="S24" s="775"/>
      <c r="T24" s="774"/>
      <c r="U24" s="775"/>
      <c r="V24" s="774"/>
      <c r="W24" s="775"/>
      <c r="X24" s="1812"/>
      <c r="Y24" s="3278"/>
      <c r="Z24" s="1813"/>
      <c r="AA24" s="1810">
        <v>1</v>
      </c>
      <c r="AB24" s="1810">
        <v>1</v>
      </c>
      <c r="AC24" s="1810">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33"/>
      <c r="Q25" s="1809" t="str">
        <f t="shared" ref="Q25:Q46" si="11">B25</f>
        <v>临街状况</v>
      </c>
      <c r="R25" s="774" t="s">
        <v>17</v>
      </c>
      <c r="S25" s="775">
        <f>F25</f>
        <v>100</v>
      </c>
      <c r="T25" s="774" t="s">
        <v>17</v>
      </c>
      <c r="U25" s="775">
        <f>H25</f>
        <v>100</v>
      </c>
      <c r="V25" s="774" t="s">
        <v>17</v>
      </c>
      <c r="W25" s="775">
        <f>J25</f>
        <v>100</v>
      </c>
      <c r="X25" s="1812"/>
      <c r="Y25" s="3278"/>
      <c r="Z25" s="1813" t="str">
        <f>Q25</f>
        <v>临街状况</v>
      </c>
      <c r="AA25" s="1810">
        <f t="shared" si="3"/>
        <v>1</v>
      </c>
      <c r="AB25" s="1810">
        <f t="shared" si="4"/>
        <v>1</v>
      </c>
      <c r="AC25" s="1810">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33"/>
      <c r="Q26" s="1809" t="str">
        <f t="shared" si="11"/>
        <v>平面位置/可视性</v>
      </c>
      <c r="R26" s="774" t="s">
        <v>17</v>
      </c>
      <c r="S26" s="775">
        <f>F26</f>
        <v>100</v>
      </c>
      <c r="T26" s="774" t="s">
        <v>17</v>
      </c>
      <c r="U26" s="775">
        <f>H26</f>
        <v>100</v>
      </c>
      <c r="V26" s="774" t="s">
        <v>17</v>
      </c>
      <c r="W26" s="775">
        <f>J26</f>
        <v>100</v>
      </c>
      <c r="X26" s="1812"/>
      <c r="Y26" s="3278"/>
      <c r="Z26" s="1813" t="str">
        <f>Q26</f>
        <v>平面位置/可视性</v>
      </c>
      <c r="AA26" s="1810">
        <f t="shared" si="3"/>
        <v>1</v>
      </c>
      <c r="AB26" s="1810">
        <f t="shared" si="4"/>
        <v>1</v>
      </c>
      <c r="AC26" s="1810">
        <f t="shared" si="5"/>
        <v>1</v>
      </c>
    </row>
    <row r="27" spans="1:29" s="117" customFormat="1" ht="15">
      <c r="A27" s="431"/>
      <c r="B27" s="451" t="s">
        <v>2645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33"/>
      <c r="Q27" s="1794" t="str">
        <f t="shared" si="11"/>
        <v>人流量</v>
      </c>
      <c r="R27" s="770" t="s">
        <v>17</v>
      </c>
      <c r="S27" s="771">
        <f>F27</f>
        <v>100</v>
      </c>
      <c r="T27" s="770" t="s">
        <v>17</v>
      </c>
      <c r="U27" s="771">
        <f>H27</f>
        <v>100</v>
      </c>
      <c r="V27" s="770" t="s">
        <v>17</v>
      </c>
      <c r="W27" s="771">
        <f>J27</f>
        <v>100</v>
      </c>
      <c r="X27" s="772"/>
      <c r="Y27" s="3278"/>
      <c r="Z27" s="55" t="str">
        <f>Q27</f>
        <v>人流量</v>
      </c>
      <c r="AA27" s="1810">
        <f>D27/F27</f>
        <v>1</v>
      </c>
      <c r="AB27" s="1810">
        <f>D27/H27</f>
        <v>1</v>
      </c>
      <c r="AC27" s="1810">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3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33"/>
      <c r="Q29" s="1809">
        <f t="shared" si="11"/>
        <v>111</v>
      </c>
      <c r="R29" s="774" t="s">
        <v>17</v>
      </c>
      <c r="S29" s="775">
        <f t="shared" si="12"/>
        <v>100</v>
      </c>
      <c r="T29" s="774" t="s">
        <v>17</v>
      </c>
      <c r="U29" s="775">
        <f t="shared" si="13"/>
        <v>100</v>
      </c>
      <c r="V29" s="774" t="s">
        <v>17</v>
      </c>
      <c r="W29" s="775">
        <f t="shared" si="14"/>
        <v>100</v>
      </c>
      <c r="X29" s="1812"/>
      <c r="Y29" s="327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33"/>
      <c r="Q30" s="1809">
        <f t="shared" si="11"/>
        <v>111</v>
      </c>
      <c r="R30" s="774" t="s">
        <v>17</v>
      </c>
      <c r="S30" s="775">
        <f t="shared" si="12"/>
        <v>100</v>
      </c>
      <c r="T30" s="774" t="s">
        <v>17</v>
      </c>
      <c r="U30" s="775">
        <f t="shared" si="13"/>
        <v>100</v>
      </c>
      <c r="V30" s="774" t="s">
        <v>17</v>
      </c>
      <c r="W30" s="775">
        <f t="shared" si="14"/>
        <v>100</v>
      </c>
      <c r="X30" s="1812"/>
      <c r="Y30" s="327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33"/>
      <c r="Q31" s="1809">
        <f t="shared" si="11"/>
        <v>111</v>
      </c>
      <c r="R31" s="774" t="s">
        <v>17</v>
      </c>
      <c r="S31" s="775">
        <f t="shared" si="12"/>
        <v>100</v>
      </c>
      <c r="T31" s="774" t="s">
        <v>17</v>
      </c>
      <c r="U31" s="775">
        <f t="shared" si="13"/>
        <v>100</v>
      </c>
      <c r="V31" s="774" t="s">
        <v>17</v>
      </c>
      <c r="W31" s="775">
        <f t="shared" si="14"/>
        <v>100</v>
      </c>
      <c r="X31" s="1812"/>
      <c r="Y31" s="3278"/>
      <c r="Z31" s="1813">
        <f t="shared" si="15"/>
        <v>111</v>
      </c>
      <c r="AA31" s="1810">
        <f t="shared" si="3"/>
        <v>1</v>
      </c>
      <c r="AB31" s="1810">
        <f t="shared" si="4"/>
        <v>1</v>
      </c>
      <c r="AC31" s="1810">
        <f t="shared" si="5"/>
        <v>1</v>
      </c>
    </row>
    <row r="32" spans="1:29" ht="15">
      <c r="A32" s="440" t="s">
        <v>2551</v>
      </c>
      <c r="B32" s="71" t="s">
        <v>2647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28" t="s">
        <v>2553</v>
      </c>
      <c r="Q32" s="1809" t="str">
        <f t="shared" si="11"/>
        <v>商业类型</v>
      </c>
      <c r="R32" s="774" t="s">
        <v>17</v>
      </c>
      <c r="S32" s="775">
        <f t="shared" si="12"/>
        <v>100</v>
      </c>
      <c r="T32" s="774" t="s">
        <v>17</v>
      </c>
      <c r="U32" s="775">
        <f t="shared" si="13"/>
        <v>100</v>
      </c>
      <c r="V32" s="774" t="s">
        <v>17</v>
      </c>
      <c r="W32" s="775">
        <f t="shared" si="14"/>
        <v>100</v>
      </c>
      <c r="X32" s="1812"/>
      <c r="Y32" s="3280"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29"/>
      <c r="Q33" s="776" t="str">
        <f t="shared" si="11"/>
        <v>项目建筑规模</v>
      </c>
      <c r="R33" s="777" t="s">
        <v>17</v>
      </c>
      <c r="S33" s="778" t="e">
        <f t="shared" si="12"/>
        <v>#N/A</v>
      </c>
      <c r="T33" s="777" t="s">
        <v>17</v>
      </c>
      <c r="U33" s="778" t="e">
        <f t="shared" si="13"/>
        <v>#N/A</v>
      </c>
      <c r="V33" s="777" t="s">
        <v>17</v>
      </c>
      <c r="W33" s="778" t="e">
        <f t="shared" si="14"/>
        <v>#N/A</v>
      </c>
      <c r="X33" s="779"/>
      <c r="Y33" s="3280"/>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29"/>
      <c r="Q34" s="1809" t="str">
        <f t="shared" si="11"/>
        <v>建筑结构</v>
      </c>
      <c r="R34" s="774" t="s">
        <v>17</v>
      </c>
      <c r="S34" s="775">
        <f t="shared" si="12"/>
        <v>100</v>
      </c>
      <c r="T34" s="774" t="s">
        <v>17</v>
      </c>
      <c r="U34" s="775">
        <f t="shared" si="13"/>
        <v>100</v>
      </c>
      <c r="V34" s="774" t="s">
        <v>17</v>
      </c>
      <c r="W34" s="775">
        <f t="shared" si="14"/>
        <v>100</v>
      </c>
      <c r="X34" s="1812"/>
      <c r="Y34" s="3280"/>
      <c r="Z34" s="1813" t="str">
        <f t="shared" si="15"/>
        <v>建筑结构</v>
      </c>
      <c r="AA34" s="1810">
        <f t="shared" si="3"/>
        <v>1</v>
      </c>
      <c r="AB34" s="1810">
        <f t="shared" si="4"/>
        <v>1</v>
      </c>
      <c r="AC34" s="1810">
        <f t="shared" si="5"/>
        <v>1</v>
      </c>
    </row>
    <row r="35" spans="1:29" ht="15">
      <c r="A35" s="472"/>
      <c r="B35" s="422" t="s">
        <v>2648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29"/>
      <c r="Q35" s="1809" t="str">
        <f t="shared" si="11"/>
        <v>公共部分装修</v>
      </c>
      <c r="R35" s="774" t="s">
        <v>17</v>
      </c>
      <c r="S35" s="775">
        <f t="shared" si="12"/>
        <v>100</v>
      </c>
      <c r="T35" s="774" t="s">
        <v>17</v>
      </c>
      <c r="U35" s="775">
        <f t="shared" si="13"/>
        <v>100</v>
      </c>
      <c r="V35" s="774" t="s">
        <v>17</v>
      </c>
      <c r="W35" s="775">
        <f t="shared" si="14"/>
        <v>100</v>
      </c>
      <c r="X35" s="1812"/>
      <c r="Y35" s="3280"/>
      <c r="Z35" s="1813" t="str">
        <f t="shared" si="15"/>
        <v>公共部分装修</v>
      </c>
      <c r="AA35" s="1810">
        <f t="shared" si="3"/>
        <v>1</v>
      </c>
      <c r="AB35" s="1810">
        <f t="shared" si="4"/>
        <v>1</v>
      </c>
      <c r="AC35" s="1810">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29"/>
      <c r="Q36" s="1809" t="str">
        <f t="shared" si="11"/>
        <v>成新度</v>
      </c>
      <c r="R36" s="774" t="s">
        <v>17</v>
      </c>
      <c r="S36" s="775" t="e">
        <f t="shared" si="12"/>
        <v>#N/A</v>
      </c>
      <c r="T36" s="774" t="s">
        <v>17</v>
      </c>
      <c r="U36" s="775" t="e">
        <f t="shared" si="13"/>
        <v>#N/A</v>
      </c>
      <c r="V36" s="774" t="s">
        <v>17</v>
      </c>
      <c r="W36" s="775" t="e">
        <f t="shared" si="14"/>
        <v>#N/A</v>
      </c>
      <c r="X36" s="1812"/>
      <c r="Y36" s="3280"/>
      <c r="Z36" s="1813" t="str">
        <f t="shared" si="15"/>
        <v>成新度</v>
      </c>
      <c r="AA36" s="1810" t="e">
        <f t="shared" si="3"/>
        <v>#N/A</v>
      </c>
      <c r="AB36" s="1810" t="e">
        <f t="shared" si="4"/>
        <v>#N/A</v>
      </c>
      <c r="AC36" s="1810" t="e">
        <f t="shared" si="5"/>
        <v>#N/A</v>
      </c>
    </row>
    <row r="37" spans="1:29" s="117" customFormat="1" ht="15">
      <c r="A37" s="473"/>
      <c r="B37" s="422" t="s">
        <v>2650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29"/>
      <c r="Q37" s="1794" t="str">
        <f t="shared" si="11"/>
        <v>市政基础设施</v>
      </c>
      <c r="R37" s="770" t="s">
        <v>17</v>
      </c>
      <c r="S37" s="771">
        <f t="shared" si="12"/>
        <v>100</v>
      </c>
      <c r="T37" s="770" t="s">
        <v>17</v>
      </c>
      <c r="U37" s="771">
        <f t="shared" si="13"/>
        <v>100</v>
      </c>
      <c r="V37" s="770" t="s">
        <v>17</v>
      </c>
      <c r="W37" s="771">
        <f t="shared" si="14"/>
        <v>100</v>
      </c>
      <c r="X37" s="772"/>
      <c r="Y37" s="3280"/>
      <c r="Z37" s="55" t="str">
        <f t="shared" si="15"/>
        <v>市政基础设施</v>
      </c>
      <c r="AA37" s="773">
        <f t="shared" si="3"/>
        <v>1</v>
      </c>
      <c r="AB37" s="773">
        <f t="shared" si="4"/>
        <v>1</v>
      </c>
      <c r="AC37" s="773">
        <f t="shared" si="5"/>
        <v>1</v>
      </c>
    </row>
    <row r="38" spans="1:29" ht="15">
      <c r="A38" s="472"/>
      <c r="B38" s="422" t="s">
        <v>2651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29" t="s">
        <v>2553</v>
      </c>
      <c r="Q38" s="1809" t="str">
        <f t="shared" si="11"/>
        <v>业态</v>
      </c>
      <c r="R38" s="774" t="s">
        <v>17</v>
      </c>
      <c r="S38" s="775">
        <f t="shared" si="12"/>
        <v>100</v>
      </c>
      <c r="T38" s="774" t="s">
        <v>17</v>
      </c>
      <c r="U38" s="775">
        <f t="shared" si="13"/>
        <v>100</v>
      </c>
      <c r="V38" s="774" t="s">
        <v>17</v>
      </c>
      <c r="W38" s="775">
        <f t="shared" si="14"/>
        <v>100</v>
      </c>
      <c r="X38" s="1812"/>
      <c r="Y38" s="3280" t="s">
        <v>2553</v>
      </c>
      <c r="Z38" s="1813" t="str">
        <f t="shared" si="15"/>
        <v>业态</v>
      </c>
      <c r="AA38" s="1810">
        <f t="shared" si="3"/>
        <v>1</v>
      </c>
      <c r="AB38" s="1810">
        <f t="shared" si="4"/>
        <v>1</v>
      </c>
      <c r="AC38" s="1810">
        <f t="shared" si="5"/>
        <v>1</v>
      </c>
    </row>
    <row r="39" spans="1:29" ht="15">
      <c r="A39" s="472"/>
      <c r="B39" s="422" t="s">
        <v>2652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29"/>
      <c r="Q39" s="1809" t="str">
        <f t="shared" si="11"/>
        <v>层高</v>
      </c>
      <c r="R39" s="774" t="s">
        <v>17</v>
      </c>
      <c r="S39" s="775">
        <f t="shared" si="12"/>
        <v>100</v>
      </c>
      <c r="T39" s="774" t="s">
        <v>17</v>
      </c>
      <c r="U39" s="775">
        <f t="shared" si="13"/>
        <v>100</v>
      </c>
      <c r="V39" s="774" t="s">
        <v>17</v>
      </c>
      <c r="W39" s="775">
        <f t="shared" si="14"/>
        <v>100</v>
      </c>
      <c r="X39" s="1812"/>
      <c r="Y39" s="3280"/>
      <c r="Z39" s="1813" t="str">
        <f t="shared" si="15"/>
        <v>层高</v>
      </c>
      <c r="AA39" s="1810">
        <f t="shared" si="3"/>
        <v>1</v>
      </c>
      <c r="AB39" s="1810">
        <f t="shared" si="4"/>
        <v>1</v>
      </c>
      <c r="AC39" s="1810">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29"/>
      <c r="Q40" s="1809" t="str">
        <f t="shared" si="11"/>
        <v>单套建筑面积</v>
      </c>
      <c r="R40" s="774" t="s">
        <v>17</v>
      </c>
      <c r="S40" s="775">
        <f t="shared" si="12"/>
        <v>100</v>
      </c>
      <c r="T40" s="774" t="s">
        <v>17</v>
      </c>
      <c r="U40" s="775">
        <f t="shared" si="13"/>
        <v>100</v>
      </c>
      <c r="V40" s="774" t="s">
        <v>17</v>
      </c>
      <c r="W40" s="775">
        <f t="shared" si="14"/>
        <v>100</v>
      </c>
      <c r="X40" s="1812"/>
      <c r="Y40" s="3280"/>
      <c r="Z40" s="1813" t="str">
        <f t="shared" si="15"/>
        <v>单套建筑面积</v>
      </c>
      <c r="AA40" s="1810">
        <f t="shared" si="3"/>
        <v>1</v>
      </c>
      <c r="AB40" s="1810">
        <f t="shared" si="4"/>
        <v>1</v>
      </c>
      <c r="AC40" s="1810">
        <f t="shared" si="5"/>
        <v>1</v>
      </c>
    </row>
    <row r="41" spans="1:29" s="471" customFormat="1" ht="15">
      <c r="A41" s="468"/>
      <c r="B41" s="1811"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29"/>
      <c r="Q41" s="776" t="str">
        <f t="shared" si="11"/>
        <v>进深比</v>
      </c>
      <c r="R41" s="777" t="s">
        <v>17</v>
      </c>
      <c r="S41" s="778">
        <f t="shared" si="12"/>
        <v>100</v>
      </c>
      <c r="T41" s="777" t="s">
        <v>17</v>
      </c>
      <c r="U41" s="778">
        <f t="shared" si="13"/>
        <v>100</v>
      </c>
      <c r="V41" s="777" t="s">
        <v>17</v>
      </c>
      <c r="W41" s="778">
        <f t="shared" si="14"/>
        <v>100</v>
      </c>
      <c r="X41" s="779"/>
      <c r="Y41" s="3280"/>
      <c r="Z41" s="780" t="str">
        <f t="shared" si="15"/>
        <v>进深比</v>
      </c>
      <c r="AA41" s="1810">
        <f t="shared" si="3"/>
        <v>1</v>
      </c>
      <c r="AB41" s="1810">
        <f t="shared" si="4"/>
        <v>1</v>
      </c>
      <c r="AC41" s="1810">
        <f t="shared" si="5"/>
        <v>1</v>
      </c>
    </row>
    <row r="42" spans="1:29" ht="15">
      <c r="A42" s="472"/>
      <c r="B42" s="422" t="s">
        <v>2655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29"/>
      <c r="Q42" s="1809" t="str">
        <f t="shared" si="11"/>
        <v>内部装修</v>
      </c>
      <c r="R42" s="774" t="s">
        <v>17</v>
      </c>
      <c r="S42" s="775">
        <f t="shared" si="12"/>
        <v>100</v>
      </c>
      <c r="T42" s="774" t="s">
        <v>17</v>
      </c>
      <c r="U42" s="775">
        <f t="shared" si="13"/>
        <v>100</v>
      </c>
      <c r="V42" s="774" t="s">
        <v>17</v>
      </c>
      <c r="W42" s="775">
        <f t="shared" si="14"/>
        <v>100</v>
      </c>
      <c r="X42" s="1812"/>
      <c r="Y42" s="3280"/>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29"/>
      <c r="Q43" s="1809" t="str">
        <f t="shared" si="11"/>
        <v>内部装修维护情况</v>
      </c>
      <c r="R43" s="774" t="s">
        <v>17</v>
      </c>
      <c r="S43" s="775">
        <f t="shared" si="12"/>
        <v>100</v>
      </c>
      <c r="T43" s="774" t="s">
        <v>17</v>
      </c>
      <c r="U43" s="775">
        <f t="shared" si="13"/>
        <v>100</v>
      </c>
      <c r="V43" s="774" t="s">
        <v>17</v>
      </c>
      <c r="W43" s="775">
        <f t="shared" si="14"/>
        <v>100</v>
      </c>
      <c r="X43" s="1812"/>
      <c r="Y43" s="328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29"/>
      <c r="Q44" s="1794">
        <f t="shared" si="11"/>
        <v>111</v>
      </c>
      <c r="R44" s="770" t="s">
        <v>17</v>
      </c>
      <c r="S44" s="771">
        <f t="shared" si="12"/>
        <v>100</v>
      </c>
      <c r="T44" s="770" t="s">
        <v>17</v>
      </c>
      <c r="U44" s="771">
        <f t="shared" si="13"/>
        <v>100</v>
      </c>
      <c r="V44" s="770" t="s">
        <v>17</v>
      </c>
      <c r="W44" s="771">
        <f t="shared" si="14"/>
        <v>100</v>
      </c>
      <c r="X44" s="772"/>
      <c r="Y44" s="32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29"/>
      <c r="Q45" s="1809">
        <f t="shared" si="11"/>
        <v>111</v>
      </c>
      <c r="R45" s="774" t="s">
        <v>17</v>
      </c>
      <c r="S45" s="775">
        <f t="shared" si="12"/>
        <v>100</v>
      </c>
      <c r="T45" s="774" t="s">
        <v>17</v>
      </c>
      <c r="U45" s="775">
        <f t="shared" si="13"/>
        <v>100</v>
      </c>
      <c r="V45" s="774" t="s">
        <v>17</v>
      </c>
      <c r="W45" s="775">
        <f t="shared" si="14"/>
        <v>100</v>
      </c>
      <c r="X45" s="1812"/>
      <c r="Y45" s="3280"/>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0"/>
      <c r="Q46" s="1809">
        <f t="shared" si="11"/>
        <v>111</v>
      </c>
      <c r="R46" s="774" t="s">
        <v>17</v>
      </c>
      <c r="S46" s="775">
        <f t="shared" si="12"/>
        <v>100</v>
      </c>
      <c r="T46" s="774" t="s">
        <v>17</v>
      </c>
      <c r="U46" s="775">
        <f t="shared" si="13"/>
        <v>100</v>
      </c>
      <c r="V46" s="774" t="s">
        <v>17</v>
      </c>
      <c r="W46" s="775">
        <f t="shared" si="14"/>
        <v>100</v>
      </c>
      <c r="X46" s="1812"/>
      <c r="Y46" s="3331"/>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62" t="str">
        <f>A47</f>
        <v>成交单价（元/平方米）</v>
      </c>
      <c r="Q47" s="3262"/>
      <c r="R47" s="3275">
        <f>E47</f>
        <v>0</v>
      </c>
      <c r="S47" s="3275"/>
      <c r="T47" s="3275">
        <f>G47</f>
        <v>0</v>
      </c>
      <c r="U47" s="3275"/>
      <c r="V47" s="3275">
        <f>I47</f>
        <v>0</v>
      </c>
      <c r="W47" s="3275"/>
      <c r="X47" s="759"/>
      <c r="Y47" s="781"/>
      <c r="Z47" s="759"/>
      <c r="AA47" s="759"/>
      <c r="AB47" s="759"/>
      <c r="AC47" s="759"/>
    </row>
    <row r="48" spans="1:29" ht="15.7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62" t="str">
        <f>A48</f>
        <v>比较价值（元/平方米）</v>
      </c>
      <c r="Q48" s="3262"/>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59"/>
      <c r="Y48" s="759"/>
      <c r="Z48" s="759"/>
      <c r="AA48" s="759"/>
      <c r="AB48" s="759"/>
      <c r="AC48" s="759"/>
    </row>
    <row r="49" spans="1:29" ht="15.75" thickBot="1">
      <c r="A49" s="492" t="s">
        <v>2657</v>
      </c>
      <c r="B49" s="493"/>
      <c r="C49" s="1417" t="e">
        <f>R49</f>
        <v>#DIV/0!</v>
      </c>
      <c r="D49" s="1417"/>
      <c r="E49" s="1417"/>
      <c r="F49" s="1417"/>
      <c r="G49" s="1417"/>
      <c r="H49" s="1417"/>
      <c r="I49" s="1417"/>
      <c r="J49" s="1417"/>
      <c r="K49" s="785"/>
      <c r="L49" s="1143"/>
      <c r="M49" s="1144"/>
      <c r="N49" s="1131"/>
      <c r="O49" s="1144"/>
      <c r="P49" s="3282" t="str">
        <f>A49</f>
        <v>估价对象XX用房的比较价值（楼面单价，元/平方米）</v>
      </c>
      <c r="Q49" s="3283"/>
      <c r="R49" s="3326" t="e">
        <f>IF(F1="售价",ROUND(AVERAGE(R48:V48),0),ROUND(AVERAGE(R48:V48),1))</f>
        <v>#DIV/0!</v>
      </c>
      <c r="S49" s="3326"/>
      <c r="T49" s="3326"/>
      <c r="U49" s="3326"/>
      <c r="V49" s="3326"/>
      <c r="W49" s="33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2536</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2642</v>
      </c>
      <c r="C82" s="660" t="s">
        <v>2662</v>
      </c>
      <c r="D82" s="660" t="s">
        <v>2663</v>
      </c>
      <c r="E82" s="660" t="s">
        <v>2664</v>
      </c>
      <c r="F82" s="660" t="s">
        <v>2665</v>
      </c>
      <c r="G82" s="660" t="s">
        <v>2666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2551</v>
      </c>
      <c r="B100" s="528" t="s">
        <v>2668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2673</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348" t="s">
        <v>2638</v>
      </c>
      <c r="Q4" s="3349"/>
      <c r="R4" s="3343" t="s">
        <v>2634</v>
      </c>
      <c r="S4" s="3344"/>
      <c r="T4" s="3343" t="s">
        <v>2635</v>
      </c>
      <c r="U4" s="3344"/>
      <c r="V4" s="3352" t="s">
        <v>2636</v>
      </c>
      <c r="W4" s="3352"/>
      <c r="X4" s="2668"/>
      <c r="Y4" s="3343" t="s">
        <v>2638</v>
      </c>
      <c r="Z4" s="3344"/>
      <c r="AA4" s="3342" t="s">
        <v>2634</v>
      </c>
      <c r="AB4" s="3342" t="s">
        <v>2635</v>
      </c>
      <c r="AC4" s="3345" t="s">
        <v>2636</v>
      </c>
    </row>
    <row r="5" spans="1:29" ht="15">
      <c r="A5" s="404"/>
      <c r="B5" s="405"/>
      <c r="C5" s="3336" t="s">
        <v>2530</v>
      </c>
      <c r="D5" s="3337"/>
      <c r="E5" s="3334" t="s">
        <v>2531</v>
      </c>
      <c r="F5" s="3335"/>
      <c r="G5" s="3336" t="s">
        <v>2532</v>
      </c>
      <c r="H5" s="3337"/>
      <c r="I5" s="3336" t="s">
        <v>2533</v>
      </c>
      <c r="J5" s="3337"/>
      <c r="K5" s="610"/>
      <c r="L5" s="1130"/>
      <c r="M5" s="1131"/>
      <c r="N5" s="1131"/>
      <c r="O5" s="1131"/>
      <c r="P5" s="3350"/>
      <c r="Q5" s="3270"/>
      <c r="R5" s="3252"/>
      <c r="S5" s="3253"/>
      <c r="T5" s="3252"/>
      <c r="U5" s="3253"/>
      <c r="V5" s="3275"/>
      <c r="W5" s="3275"/>
      <c r="X5" s="1812"/>
      <c r="Y5" s="3252"/>
      <c r="Z5" s="3253"/>
      <c r="AA5" s="3246"/>
      <c r="AB5" s="3246"/>
      <c r="AC5" s="3346"/>
    </row>
    <row r="6" spans="1:29" ht="15.75" thickBot="1">
      <c r="A6" s="406"/>
      <c r="B6" s="407"/>
      <c r="C6" s="3338" t="s">
        <v>2534</v>
      </c>
      <c r="D6" s="3339"/>
      <c r="E6" s="3340" t="s">
        <v>2534</v>
      </c>
      <c r="F6" s="3341"/>
      <c r="G6" s="3338" t="s">
        <v>2534</v>
      </c>
      <c r="H6" s="3339"/>
      <c r="I6" s="3338" t="s">
        <v>2534</v>
      </c>
      <c r="J6" s="3339"/>
      <c r="K6" s="610" t="s">
        <v>2535</v>
      </c>
      <c r="L6" s="1130"/>
      <c r="M6" s="1131"/>
      <c r="N6" s="1131"/>
      <c r="O6" s="1131"/>
      <c r="P6" s="3351"/>
      <c r="Q6" s="3272"/>
      <c r="R6" s="3252"/>
      <c r="S6" s="3253"/>
      <c r="T6" s="3273"/>
      <c r="U6" s="3274"/>
      <c r="V6" s="3275"/>
      <c r="W6" s="3275"/>
      <c r="X6" s="1812"/>
      <c r="Y6" s="3273"/>
      <c r="Z6" s="3274"/>
      <c r="AA6" s="3247"/>
      <c r="AB6" s="3247"/>
      <c r="AC6" s="3347"/>
    </row>
    <row r="7" spans="1:29" s="117" customFormat="1" ht="15.75" thickBot="1">
      <c r="A7" s="408" t="s">
        <v>2536</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3" t="s">
        <v>2537</v>
      </c>
      <c r="Q7" s="3276"/>
      <c r="R7" s="770" t="s">
        <v>17</v>
      </c>
      <c r="S7" s="771">
        <f t="shared" ref="S7:S15" si="0">F7</f>
        <v>0</v>
      </c>
      <c r="T7" s="770" t="s">
        <v>17</v>
      </c>
      <c r="U7" s="771">
        <f t="shared" ref="U7:U15" si="1">H7</f>
        <v>0</v>
      </c>
      <c r="V7" s="770" t="s">
        <v>17</v>
      </c>
      <c r="W7" s="771">
        <f t="shared" ref="W7:W15" si="2">J7</f>
        <v>0</v>
      </c>
      <c r="X7" s="772"/>
      <c r="Y7" s="3248" t="s">
        <v>2537</v>
      </c>
      <c r="Z7" s="3249"/>
      <c r="AA7" s="773" t="e">
        <f>D7/F7</f>
        <v>#DIV/0!</v>
      </c>
      <c r="AB7" s="773" t="e">
        <f>D7/H7</f>
        <v>#DIV/0!</v>
      </c>
      <c r="AC7" s="2669" t="e">
        <f>D7/J7</f>
        <v>#DIV/0!</v>
      </c>
    </row>
    <row r="8" spans="1:29" s="117" customFormat="1" ht="15.75" thickBot="1">
      <c r="A8" s="408" t="s">
        <v>2538</v>
      </c>
      <c r="B8" s="409"/>
      <c r="C8" s="414" t="s">
        <v>2639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3" t="s">
        <v>2540</v>
      </c>
      <c r="Q8" s="3249"/>
      <c r="R8" s="770" t="s">
        <v>17</v>
      </c>
      <c r="S8" s="771">
        <f t="shared" si="0"/>
        <v>0</v>
      </c>
      <c r="T8" s="770" t="s">
        <v>17</v>
      </c>
      <c r="U8" s="771">
        <f t="shared" si="1"/>
        <v>0</v>
      </c>
      <c r="V8" s="770" t="s">
        <v>17</v>
      </c>
      <c r="W8" s="771">
        <f t="shared" si="2"/>
        <v>0</v>
      </c>
      <c r="X8" s="772"/>
      <c r="Y8" s="3248" t="s">
        <v>2540</v>
      </c>
      <c r="Z8" s="3249"/>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86" t="s">
        <v>2543</v>
      </c>
      <c r="Q9" s="1794" t="str">
        <f t="shared" ref="Q9:Q15" si="6">B9</f>
        <v>用途</v>
      </c>
      <c r="R9" s="770" t="s">
        <v>17</v>
      </c>
      <c r="S9" s="771">
        <f t="shared" si="0"/>
        <v>100</v>
      </c>
      <c r="T9" s="770" t="s">
        <v>17</v>
      </c>
      <c r="U9" s="771">
        <f t="shared" si="1"/>
        <v>100</v>
      </c>
      <c r="V9" s="770" t="s">
        <v>17</v>
      </c>
      <c r="W9" s="771">
        <f t="shared" si="2"/>
        <v>100</v>
      </c>
      <c r="X9" s="772"/>
      <c r="Y9" s="3117"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86"/>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86"/>
      <c r="Q11" s="1794" t="str">
        <f t="shared" si="6"/>
        <v>容积率</v>
      </c>
      <c r="R11" s="770" t="s">
        <v>17</v>
      </c>
      <c r="S11" s="771" t="e">
        <f t="shared" si="0"/>
        <v>#N/A</v>
      </c>
      <c r="T11" s="770" t="s">
        <v>17</v>
      </c>
      <c r="U11" s="771" t="e">
        <f t="shared" si="1"/>
        <v>#N/A</v>
      </c>
      <c r="V11" s="770" t="s">
        <v>17</v>
      </c>
      <c r="W11" s="771" t="e">
        <f t="shared" si="2"/>
        <v>#N/A</v>
      </c>
      <c r="X11" s="772"/>
      <c r="Y11" s="3117"/>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86"/>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86"/>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86"/>
      <c r="Q14" s="1794">
        <f t="shared" si="6"/>
        <v>111</v>
      </c>
      <c r="R14" s="770" t="s">
        <v>17</v>
      </c>
      <c r="S14" s="771">
        <f t="shared" si="0"/>
        <v>100</v>
      </c>
      <c r="T14" s="770" t="s">
        <v>17</v>
      </c>
      <c r="U14" s="771">
        <f t="shared" si="1"/>
        <v>100</v>
      </c>
      <c r="V14" s="770" t="s">
        <v>17</v>
      </c>
      <c r="W14" s="771">
        <f t="shared" si="2"/>
        <v>100</v>
      </c>
      <c r="X14" s="772"/>
      <c r="Y14" s="3117"/>
      <c r="Z14" s="55">
        <f t="shared" si="7"/>
        <v>111</v>
      </c>
      <c r="AA14" s="773">
        <f t="shared" si="3"/>
        <v>1</v>
      </c>
      <c r="AB14" s="773">
        <f t="shared" si="4"/>
        <v>1</v>
      </c>
      <c r="AC14" s="2669">
        <f t="shared" si="5"/>
        <v>1</v>
      </c>
    </row>
    <row r="15" spans="1:29" ht="15">
      <c r="A15" s="440" t="s">
        <v>2547</v>
      </c>
      <c r="B15" s="629" t="s">
        <v>2674</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2" t="s">
        <v>2548</v>
      </c>
      <c r="Q15" s="1809" t="str">
        <f t="shared" si="6"/>
        <v>办公集聚程度</v>
      </c>
      <c r="R15" s="774" t="s">
        <v>17</v>
      </c>
      <c r="S15" s="775">
        <f t="shared" si="0"/>
        <v>100</v>
      </c>
      <c r="T15" s="774" t="s">
        <v>17</v>
      </c>
      <c r="U15" s="775">
        <f t="shared" si="1"/>
        <v>100</v>
      </c>
      <c r="V15" s="774" t="s">
        <v>17</v>
      </c>
      <c r="W15" s="775">
        <f t="shared" si="2"/>
        <v>100</v>
      </c>
      <c r="X15" s="1812"/>
      <c r="Y15" s="3277" t="s">
        <v>2548</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33"/>
      <c r="Q16" s="1809"/>
      <c r="R16" s="774"/>
      <c r="S16" s="775"/>
      <c r="T16" s="774"/>
      <c r="U16" s="775"/>
      <c r="V16" s="774"/>
      <c r="W16" s="775"/>
      <c r="X16" s="1812"/>
      <c r="Y16" s="3278"/>
      <c r="Z16" s="1813"/>
      <c r="AA16" s="1810">
        <v>1</v>
      </c>
      <c r="AB16" s="1810">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33"/>
      <c r="Q17" s="1809" t="str">
        <f>B17</f>
        <v>交通便捷度</v>
      </c>
      <c r="R17" s="774" t="s">
        <v>17</v>
      </c>
      <c r="S17" s="775">
        <f>F17</f>
        <v>100</v>
      </c>
      <c r="T17" s="774" t="s">
        <v>17</v>
      </c>
      <c r="U17" s="775">
        <f>H17</f>
        <v>100</v>
      </c>
      <c r="V17" s="774" t="s">
        <v>17</v>
      </c>
      <c r="W17" s="775">
        <f>J17</f>
        <v>100</v>
      </c>
      <c r="X17" s="1812"/>
      <c r="Y17" s="3278"/>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33"/>
      <c r="Q18" s="1809"/>
      <c r="R18" s="774"/>
      <c r="S18" s="775"/>
      <c r="T18" s="774"/>
      <c r="U18" s="775"/>
      <c r="V18" s="774"/>
      <c r="W18" s="775"/>
      <c r="X18" s="1812"/>
      <c r="Y18" s="3278"/>
      <c r="Z18" s="1813"/>
      <c r="AA18" s="1810">
        <v>1</v>
      </c>
      <c r="AB18" s="1810">
        <v>1</v>
      </c>
      <c r="AC18" s="2672">
        <v>1</v>
      </c>
    </row>
    <row r="19" spans="1:29" ht="15">
      <c r="A19" s="428"/>
      <c r="B19" s="631" t="s">
        <v>2675</v>
      </c>
      <c r="C19" s="2673"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33"/>
      <c r="Q19" s="1809" t="str">
        <f>B19</f>
        <v>公共配套设施</v>
      </c>
      <c r="R19" s="774" t="s">
        <v>17</v>
      </c>
      <c r="S19" s="775">
        <f>F19</f>
        <v>100</v>
      </c>
      <c r="T19" s="774" t="s">
        <v>17</v>
      </c>
      <c r="U19" s="775">
        <f>H19</f>
        <v>100</v>
      </c>
      <c r="V19" s="774" t="s">
        <v>17</v>
      </c>
      <c r="W19" s="775">
        <f>J19</f>
        <v>100</v>
      </c>
      <c r="X19" s="1812"/>
      <c r="Y19" s="3278"/>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33"/>
      <c r="Q20" s="1809"/>
      <c r="R20" s="774"/>
      <c r="S20" s="775"/>
      <c r="T20" s="774"/>
      <c r="U20" s="775"/>
      <c r="V20" s="774"/>
      <c r="W20" s="775"/>
      <c r="X20" s="1812"/>
      <c r="Y20" s="3278"/>
      <c r="Z20" s="1813"/>
      <c r="AA20" s="1810">
        <v>1</v>
      </c>
      <c r="AB20" s="1810">
        <v>1</v>
      </c>
      <c r="AC20" s="2672">
        <v>1</v>
      </c>
    </row>
    <row r="21" spans="1:29" ht="15">
      <c r="A21" s="428"/>
      <c r="B21" s="633" t="s">
        <v>2676</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33"/>
      <c r="Q21" s="1809" t="str">
        <f>B21</f>
        <v>基础设施水平</v>
      </c>
      <c r="R21" s="774" t="s">
        <v>17</v>
      </c>
      <c r="S21" s="775">
        <f>F21</f>
        <v>100</v>
      </c>
      <c r="T21" s="774" t="s">
        <v>17</v>
      </c>
      <c r="U21" s="775">
        <f>H21</f>
        <v>100</v>
      </c>
      <c r="V21" s="774" t="s">
        <v>17</v>
      </c>
      <c r="W21" s="775">
        <f>J21</f>
        <v>100</v>
      </c>
      <c r="X21" s="1812"/>
      <c r="Y21" s="3278"/>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33"/>
      <c r="Q22" s="1809"/>
      <c r="R22" s="774"/>
      <c r="S22" s="775"/>
      <c r="T22" s="774"/>
      <c r="U22" s="775"/>
      <c r="V22" s="774"/>
      <c r="W22" s="775"/>
      <c r="X22" s="1812"/>
      <c r="Y22" s="3278"/>
      <c r="Z22" s="1813"/>
      <c r="AA22" s="1810">
        <v>1</v>
      </c>
      <c r="AB22" s="1810">
        <v>1</v>
      </c>
      <c r="AC22" s="2672">
        <v>1</v>
      </c>
    </row>
    <row r="23" spans="1:29" ht="15">
      <c r="A23" s="428"/>
      <c r="B23" s="631" t="s">
        <v>2677</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33"/>
      <c r="Q23" s="1809" t="str">
        <f>B23</f>
        <v>环境质量</v>
      </c>
      <c r="R23" s="774" t="s">
        <v>17</v>
      </c>
      <c r="S23" s="775">
        <f>F23</f>
        <v>100</v>
      </c>
      <c r="T23" s="774" t="s">
        <v>17</v>
      </c>
      <c r="U23" s="775">
        <f>H23</f>
        <v>100</v>
      </c>
      <c r="V23" s="774" t="s">
        <v>17</v>
      </c>
      <c r="W23" s="775">
        <f>J23</f>
        <v>100</v>
      </c>
      <c r="X23" s="1812"/>
      <c r="Y23" s="3278"/>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33"/>
      <c r="Q24" s="1809"/>
      <c r="R24" s="774"/>
      <c r="S24" s="775"/>
      <c r="T24" s="774"/>
      <c r="U24" s="775"/>
      <c r="V24" s="774"/>
      <c r="W24" s="775"/>
      <c r="X24" s="1812"/>
      <c r="Y24" s="3278"/>
      <c r="Z24" s="1813"/>
      <c r="AA24" s="1810">
        <v>1</v>
      </c>
      <c r="AB24" s="1810">
        <v>1</v>
      </c>
      <c r="AC24" s="2672">
        <v>1</v>
      </c>
    </row>
    <row r="25" spans="1:29" ht="27">
      <c r="A25" s="404"/>
      <c r="B25" s="631" t="s">
        <v>2678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33"/>
      <c r="Q25" s="1809" t="str">
        <f>B25</f>
        <v>毗邻道路的类型与等级</v>
      </c>
      <c r="R25" s="774" t="s">
        <v>17</v>
      </c>
      <c r="S25" s="775">
        <f>F25</f>
        <v>100</v>
      </c>
      <c r="T25" s="774" t="s">
        <v>17</v>
      </c>
      <c r="U25" s="775">
        <f>H25</f>
        <v>100</v>
      </c>
      <c r="V25" s="774" t="s">
        <v>17</v>
      </c>
      <c r="W25" s="775">
        <f>J25</f>
        <v>100</v>
      </c>
      <c r="X25" s="1812"/>
      <c r="Y25" s="3278"/>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33"/>
      <c r="Q26" s="1809"/>
      <c r="R26" s="774"/>
      <c r="S26" s="775"/>
      <c r="T26" s="774"/>
      <c r="U26" s="775"/>
      <c r="V26" s="774"/>
      <c r="W26" s="775"/>
      <c r="X26" s="1812"/>
      <c r="Y26" s="3278"/>
      <c r="Z26" s="1813"/>
      <c r="AA26" s="1810">
        <v>1</v>
      </c>
      <c r="AB26" s="1810">
        <v>1</v>
      </c>
      <c r="AC26" s="2672">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33"/>
      <c r="Q27" s="1809" t="str">
        <f t="shared" ref="Q27:Q47" si="11">B27</f>
        <v>楼层</v>
      </c>
      <c r="R27" s="774" t="s">
        <v>17</v>
      </c>
      <c r="S27" s="775">
        <f>F27</f>
        <v>100</v>
      </c>
      <c r="T27" s="774" t="s">
        <v>17</v>
      </c>
      <c r="U27" s="775">
        <f>H27</f>
        <v>100</v>
      </c>
      <c r="V27" s="774" t="s">
        <v>17</v>
      </c>
      <c r="W27" s="775">
        <f>J27</f>
        <v>100</v>
      </c>
      <c r="X27" s="1812"/>
      <c r="Y27" s="3278"/>
      <c r="Z27" s="1813" t="str">
        <f>Q27</f>
        <v>楼层</v>
      </c>
      <c r="AA27" s="1810">
        <f t="shared" si="3"/>
        <v>1</v>
      </c>
      <c r="AB27" s="1810">
        <f t="shared" si="4"/>
        <v>1</v>
      </c>
      <c r="AC27" s="2672">
        <f t="shared" si="5"/>
        <v>1</v>
      </c>
    </row>
    <row r="28" spans="1:29" s="117" customFormat="1" ht="15">
      <c r="A28" s="431"/>
      <c r="B28" s="631" t="s">
        <v>2679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33"/>
      <c r="Q28" s="1794" t="str">
        <f t="shared" si="11"/>
        <v>朝向</v>
      </c>
      <c r="R28" s="770" t="s">
        <v>17</v>
      </c>
      <c r="S28" s="771">
        <f>F28</f>
        <v>100</v>
      </c>
      <c r="T28" s="770" t="s">
        <v>17</v>
      </c>
      <c r="U28" s="771">
        <f>H28</f>
        <v>100</v>
      </c>
      <c r="V28" s="770" t="s">
        <v>17</v>
      </c>
      <c r="W28" s="771">
        <f>J28</f>
        <v>100</v>
      </c>
      <c r="X28" s="772"/>
      <c r="Y28" s="3278"/>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33"/>
      <c r="Q29" s="1809">
        <f t="shared" si="11"/>
        <v>111</v>
      </c>
      <c r="R29" s="774" t="s">
        <v>17</v>
      </c>
      <c r="S29" s="775">
        <f t="shared" ref="S29:S47" si="12">F29</f>
        <v>100</v>
      </c>
      <c r="T29" s="774" t="s">
        <v>17</v>
      </c>
      <c r="U29" s="775">
        <f t="shared" ref="U29:U47" si="13">H29</f>
        <v>100</v>
      </c>
      <c r="V29" s="774" t="s">
        <v>17</v>
      </c>
      <c r="W29" s="775">
        <f t="shared" ref="W29:W47" si="14">J29</f>
        <v>100</v>
      </c>
      <c r="X29" s="1812"/>
      <c r="Y29" s="3278"/>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33"/>
      <c r="Q30" s="1809">
        <f t="shared" si="11"/>
        <v>111</v>
      </c>
      <c r="R30" s="774" t="s">
        <v>17</v>
      </c>
      <c r="S30" s="775">
        <f t="shared" si="12"/>
        <v>100</v>
      </c>
      <c r="T30" s="774" t="s">
        <v>17</v>
      </c>
      <c r="U30" s="775">
        <f t="shared" si="13"/>
        <v>100</v>
      </c>
      <c r="V30" s="774" t="s">
        <v>17</v>
      </c>
      <c r="W30" s="775">
        <f t="shared" si="14"/>
        <v>100</v>
      </c>
      <c r="X30" s="1812"/>
      <c r="Y30" s="3278"/>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33"/>
      <c r="Q31" s="1809">
        <f t="shared" si="11"/>
        <v>111</v>
      </c>
      <c r="R31" s="774" t="s">
        <v>17</v>
      </c>
      <c r="S31" s="775">
        <f t="shared" si="12"/>
        <v>100</v>
      </c>
      <c r="T31" s="774" t="s">
        <v>17</v>
      </c>
      <c r="U31" s="775">
        <f t="shared" si="13"/>
        <v>100</v>
      </c>
      <c r="V31" s="774" t="s">
        <v>17</v>
      </c>
      <c r="W31" s="775">
        <f t="shared" si="14"/>
        <v>100</v>
      </c>
      <c r="X31" s="1812"/>
      <c r="Y31" s="3278"/>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33"/>
      <c r="Q32" s="1809">
        <f t="shared" si="11"/>
        <v>111</v>
      </c>
      <c r="R32" s="774" t="s">
        <v>17</v>
      </c>
      <c r="S32" s="775">
        <f t="shared" si="12"/>
        <v>100</v>
      </c>
      <c r="T32" s="774" t="s">
        <v>17</v>
      </c>
      <c r="U32" s="775">
        <f t="shared" si="13"/>
        <v>100</v>
      </c>
      <c r="V32" s="774" t="s">
        <v>17</v>
      </c>
      <c r="W32" s="775">
        <f t="shared" si="14"/>
        <v>100</v>
      </c>
      <c r="X32" s="1812"/>
      <c r="Y32" s="3278"/>
      <c r="Z32" s="1813">
        <f t="shared" si="15"/>
        <v>111</v>
      </c>
      <c r="AA32" s="1810">
        <f t="shared" si="3"/>
        <v>1</v>
      </c>
      <c r="AB32" s="1810">
        <f t="shared" si="4"/>
        <v>1</v>
      </c>
      <c r="AC32" s="2672">
        <f t="shared" si="5"/>
        <v>1</v>
      </c>
    </row>
    <row r="33" spans="1:29" ht="15">
      <c r="A33" s="440" t="s">
        <v>2551</v>
      </c>
      <c r="B33" s="71" t="s">
        <v>2680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28" t="s">
        <v>2553</v>
      </c>
      <c r="Q33" s="1809" t="str">
        <f t="shared" si="11"/>
        <v>建筑类型</v>
      </c>
      <c r="R33" s="774" t="s">
        <v>17</v>
      </c>
      <c r="S33" s="775">
        <f t="shared" si="12"/>
        <v>100</v>
      </c>
      <c r="T33" s="774" t="s">
        <v>17</v>
      </c>
      <c r="U33" s="775">
        <f t="shared" si="13"/>
        <v>100</v>
      </c>
      <c r="V33" s="774" t="s">
        <v>17</v>
      </c>
      <c r="W33" s="775">
        <f t="shared" si="14"/>
        <v>100</v>
      </c>
      <c r="X33" s="1812"/>
      <c r="Y33" s="3280" t="s">
        <v>2553</v>
      </c>
      <c r="Z33" s="1813" t="str">
        <f t="shared" si="15"/>
        <v>建筑类型</v>
      </c>
      <c r="AA33" s="1810">
        <f t="shared" si="3"/>
        <v>1</v>
      </c>
      <c r="AB33" s="1810">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29"/>
      <c r="Q34" s="776" t="str">
        <f t="shared" si="11"/>
        <v>项目建筑规模</v>
      </c>
      <c r="R34" s="777" t="s">
        <v>17</v>
      </c>
      <c r="S34" s="778" t="e">
        <f t="shared" si="12"/>
        <v>#N/A</v>
      </c>
      <c r="T34" s="777" t="s">
        <v>17</v>
      </c>
      <c r="U34" s="778" t="e">
        <f t="shared" si="13"/>
        <v>#N/A</v>
      </c>
      <c r="V34" s="777" t="s">
        <v>17</v>
      </c>
      <c r="W34" s="778" t="e">
        <f t="shared" si="14"/>
        <v>#N/A</v>
      </c>
      <c r="X34" s="779"/>
      <c r="Y34" s="3280"/>
      <c r="Z34" s="780" t="str">
        <f t="shared" si="15"/>
        <v>项目建筑规模</v>
      </c>
      <c r="AA34" s="1810" t="e">
        <f t="shared" si="3"/>
        <v>#N/A</v>
      </c>
      <c r="AB34" s="1810"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29"/>
      <c r="Q35" s="1809" t="str">
        <f t="shared" si="11"/>
        <v>建筑结构</v>
      </c>
      <c r="R35" s="774" t="s">
        <v>17</v>
      </c>
      <c r="S35" s="775">
        <f t="shared" si="12"/>
        <v>100</v>
      </c>
      <c r="T35" s="774" t="s">
        <v>17</v>
      </c>
      <c r="U35" s="775">
        <f t="shared" si="13"/>
        <v>100</v>
      </c>
      <c r="V35" s="774" t="s">
        <v>17</v>
      </c>
      <c r="W35" s="775">
        <f t="shared" si="14"/>
        <v>100</v>
      </c>
      <c r="X35" s="1812"/>
      <c r="Y35" s="3280"/>
      <c r="Z35" s="1813" t="str">
        <f t="shared" si="15"/>
        <v>建筑结构</v>
      </c>
      <c r="AA35" s="1810">
        <f t="shared" si="3"/>
        <v>1</v>
      </c>
      <c r="AB35" s="1810">
        <f t="shared" si="4"/>
        <v>1</v>
      </c>
      <c r="AC35" s="2672">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29"/>
      <c r="Q36" s="1809" t="str">
        <f t="shared" si="11"/>
        <v>公共部分装修</v>
      </c>
      <c r="R36" s="774" t="s">
        <v>17</v>
      </c>
      <c r="S36" s="775">
        <f t="shared" si="12"/>
        <v>100</v>
      </c>
      <c r="T36" s="774" t="s">
        <v>17</v>
      </c>
      <c r="U36" s="775">
        <f t="shared" si="13"/>
        <v>100</v>
      </c>
      <c r="V36" s="774" t="s">
        <v>17</v>
      </c>
      <c r="W36" s="775">
        <f t="shared" si="14"/>
        <v>100</v>
      </c>
      <c r="X36" s="1812"/>
      <c r="Y36" s="3280"/>
      <c r="Z36" s="1813" t="str">
        <f t="shared" si="15"/>
        <v>公共部分装修</v>
      </c>
      <c r="AA36" s="1810">
        <f t="shared" si="3"/>
        <v>1</v>
      </c>
      <c r="AB36" s="1810">
        <f t="shared" si="4"/>
        <v>1</v>
      </c>
      <c r="AC36" s="2672">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29"/>
      <c r="Q37" s="1809" t="str">
        <f t="shared" si="11"/>
        <v>成新度</v>
      </c>
      <c r="R37" s="774" t="s">
        <v>17</v>
      </c>
      <c r="S37" s="775" t="e">
        <f t="shared" si="12"/>
        <v>#N/A</v>
      </c>
      <c r="T37" s="774" t="s">
        <v>17</v>
      </c>
      <c r="U37" s="775" t="e">
        <f t="shared" si="13"/>
        <v>#N/A</v>
      </c>
      <c r="V37" s="774" t="s">
        <v>17</v>
      </c>
      <c r="W37" s="775" t="e">
        <f t="shared" si="14"/>
        <v>#N/A</v>
      </c>
      <c r="X37" s="1812"/>
      <c r="Y37" s="3280"/>
      <c r="Z37" s="1813" t="str">
        <f t="shared" si="15"/>
        <v>成新度</v>
      </c>
      <c r="AA37" s="1810" t="e">
        <f t="shared" si="3"/>
        <v>#N/A</v>
      </c>
      <c r="AB37" s="1810" t="e">
        <f t="shared" si="4"/>
        <v>#N/A</v>
      </c>
      <c r="AC37" s="2672"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29"/>
      <c r="Q38" s="1794" t="str">
        <f t="shared" si="11"/>
        <v>写字楼等级</v>
      </c>
      <c r="R38" s="770" t="s">
        <v>17</v>
      </c>
      <c r="S38" s="771">
        <f t="shared" si="12"/>
        <v>100</v>
      </c>
      <c r="T38" s="770" t="s">
        <v>17</v>
      </c>
      <c r="U38" s="771">
        <f t="shared" si="13"/>
        <v>100</v>
      </c>
      <c r="V38" s="770" t="s">
        <v>17</v>
      </c>
      <c r="W38" s="771">
        <f t="shared" si="14"/>
        <v>100</v>
      </c>
      <c r="X38" s="772"/>
      <c r="Y38" s="3280"/>
      <c r="Z38" s="55" t="str">
        <f t="shared" si="15"/>
        <v>写字楼等级</v>
      </c>
      <c r="AA38" s="773">
        <f t="shared" si="3"/>
        <v>1</v>
      </c>
      <c r="AB38" s="773">
        <f t="shared" si="4"/>
        <v>1</v>
      </c>
      <c r="AC38" s="2669">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29" t="s">
        <v>2553</v>
      </c>
      <c r="Q39" s="1809" t="str">
        <f t="shared" si="11"/>
        <v>物业管理</v>
      </c>
      <c r="R39" s="774" t="s">
        <v>17</v>
      </c>
      <c r="S39" s="775">
        <f t="shared" si="12"/>
        <v>100</v>
      </c>
      <c r="T39" s="774" t="s">
        <v>17</v>
      </c>
      <c r="U39" s="775">
        <f t="shared" si="13"/>
        <v>100</v>
      </c>
      <c r="V39" s="774" t="s">
        <v>17</v>
      </c>
      <c r="W39" s="775">
        <f t="shared" si="14"/>
        <v>100</v>
      </c>
      <c r="X39" s="1812"/>
      <c r="Y39" s="3280" t="s">
        <v>2553</v>
      </c>
      <c r="Z39" s="1813" t="str">
        <f t="shared" si="15"/>
        <v>物业管理</v>
      </c>
      <c r="AA39" s="1810">
        <f t="shared" si="3"/>
        <v>1</v>
      </c>
      <c r="AB39" s="1810">
        <f t="shared" si="4"/>
        <v>1</v>
      </c>
      <c r="AC39" s="2672">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29"/>
      <c r="Q40" s="1809" t="str">
        <f t="shared" si="11"/>
        <v>市政基础设施</v>
      </c>
      <c r="R40" s="774" t="s">
        <v>17</v>
      </c>
      <c r="S40" s="775">
        <f t="shared" si="12"/>
        <v>100</v>
      </c>
      <c r="T40" s="774" t="s">
        <v>17</v>
      </c>
      <c r="U40" s="775">
        <f t="shared" si="13"/>
        <v>100</v>
      </c>
      <c r="V40" s="774" t="s">
        <v>17</v>
      </c>
      <c r="W40" s="775">
        <f t="shared" si="14"/>
        <v>100</v>
      </c>
      <c r="X40" s="1812"/>
      <c r="Y40" s="3280"/>
      <c r="Z40" s="1813" t="str">
        <f t="shared" si="15"/>
        <v>市政基础设施</v>
      </c>
      <c r="AA40" s="1810">
        <f t="shared" si="3"/>
        <v>1</v>
      </c>
      <c r="AB40" s="1810">
        <f t="shared" si="4"/>
        <v>1</v>
      </c>
      <c r="AC40" s="2672">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29"/>
      <c r="Q41" s="1809" t="str">
        <f t="shared" si="11"/>
        <v>层高</v>
      </c>
      <c r="R41" s="774" t="s">
        <v>17</v>
      </c>
      <c r="S41" s="775">
        <f t="shared" si="12"/>
        <v>100</v>
      </c>
      <c r="T41" s="774" t="s">
        <v>17</v>
      </c>
      <c r="U41" s="775">
        <f t="shared" si="13"/>
        <v>100</v>
      </c>
      <c r="V41" s="774" t="s">
        <v>17</v>
      </c>
      <c r="W41" s="775">
        <f t="shared" si="14"/>
        <v>100</v>
      </c>
      <c r="X41" s="1812"/>
      <c r="Y41" s="3280"/>
      <c r="Z41" s="1813" t="str">
        <f t="shared" si="15"/>
        <v>层高</v>
      </c>
      <c r="AA41" s="1810">
        <f t="shared" si="3"/>
        <v>1</v>
      </c>
      <c r="AB41" s="1810">
        <f t="shared" si="4"/>
        <v>1</v>
      </c>
      <c r="AC41" s="2672">
        <f t="shared" si="5"/>
        <v>1</v>
      </c>
    </row>
    <row r="42" spans="1:29" s="471" customFormat="1" ht="15">
      <c r="A42" s="468"/>
      <c r="B42" s="1811"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29"/>
      <c r="Q42" s="776" t="str">
        <f t="shared" si="11"/>
        <v>单套建筑面积</v>
      </c>
      <c r="R42" s="777" t="s">
        <v>17</v>
      </c>
      <c r="S42" s="778">
        <f t="shared" si="12"/>
        <v>100</v>
      </c>
      <c r="T42" s="777" t="s">
        <v>17</v>
      </c>
      <c r="U42" s="778">
        <f t="shared" si="13"/>
        <v>100</v>
      </c>
      <c r="V42" s="777" t="s">
        <v>17</v>
      </c>
      <c r="W42" s="778">
        <f t="shared" si="14"/>
        <v>100</v>
      </c>
      <c r="X42" s="779"/>
      <c r="Y42" s="3280"/>
      <c r="Z42" s="780" t="str">
        <f t="shared" si="15"/>
        <v>单套建筑面积</v>
      </c>
      <c r="AA42" s="1810">
        <f t="shared" si="3"/>
        <v>1</v>
      </c>
      <c r="AB42" s="1810">
        <f t="shared" si="4"/>
        <v>1</v>
      </c>
      <c r="AC42" s="2672">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29"/>
      <c r="Q43" s="1809" t="str">
        <f t="shared" si="11"/>
        <v>内部装修</v>
      </c>
      <c r="R43" s="774" t="s">
        <v>17</v>
      </c>
      <c r="S43" s="775">
        <f t="shared" si="12"/>
        <v>100</v>
      </c>
      <c r="T43" s="774" t="s">
        <v>17</v>
      </c>
      <c r="U43" s="775">
        <f t="shared" si="13"/>
        <v>100</v>
      </c>
      <c r="V43" s="774" t="s">
        <v>17</v>
      </c>
      <c r="W43" s="775">
        <f t="shared" si="14"/>
        <v>100</v>
      </c>
      <c r="X43" s="1812"/>
      <c r="Y43" s="3280"/>
      <c r="Z43" s="1813" t="str">
        <f t="shared" si="15"/>
        <v>内部装修</v>
      </c>
      <c r="AA43" s="1810">
        <f t="shared" si="3"/>
        <v>1</v>
      </c>
      <c r="AB43" s="1810">
        <f t="shared" si="4"/>
        <v>1</v>
      </c>
      <c r="AC43" s="2672">
        <f t="shared" si="5"/>
        <v>1</v>
      </c>
    </row>
    <row r="44" spans="1:29" ht="15">
      <c r="A44" s="472"/>
      <c r="B44" s="422" t="s">
        <v>2564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29"/>
      <c r="Q44" s="1809" t="str">
        <f t="shared" si="11"/>
        <v>内部装修维护情况</v>
      </c>
      <c r="R44" s="774" t="s">
        <v>17</v>
      </c>
      <c r="S44" s="775">
        <f t="shared" si="12"/>
        <v>100</v>
      </c>
      <c r="T44" s="774" t="s">
        <v>17</v>
      </c>
      <c r="U44" s="775">
        <f t="shared" si="13"/>
        <v>100</v>
      </c>
      <c r="V44" s="774" t="s">
        <v>17</v>
      </c>
      <c r="W44" s="775">
        <f t="shared" si="14"/>
        <v>100</v>
      </c>
      <c r="X44" s="1812"/>
      <c r="Y44" s="3280"/>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29"/>
      <c r="Q45" s="1794">
        <f t="shared" si="11"/>
        <v>111</v>
      </c>
      <c r="R45" s="770" t="s">
        <v>17</v>
      </c>
      <c r="S45" s="771">
        <f t="shared" si="12"/>
        <v>100</v>
      </c>
      <c r="T45" s="770" t="s">
        <v>17</v>
      </c>
      <c r="U45" s="771">
        <f t="shared" si="13"/>
        <v>100</v>
      </c>
      <c r="V45" s="770" t="s">
        <v>17</v>
      </c>
      <c r="W45" s="771">
        <f t="shared" si="14"/>
        <v>100</v>
      </c>
      <c r="X45" s="772"/>
      <c r="Y45" s="328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29"/>
      <c r="Q46" s="1809">
        <f t="shared" si="11"/>
        <v>111</v>
      </c>
      <c r="R46" s="774" t="s">
        <v>17</v>
      </c>
      <c r="S46" s="775">
        <f t="shared" si="12"/>
        <v>100</v>
      </c>
      <c r="T46" s="774" t="s">
        <v>17</v>
      </c>
      <c r="U46" s="775">
        <f t="shared" si="13"/>
        <v>100</v>
      </c>
      <c r="V46" s="774" t="s">
        <v>17</v>
      </c>
      <c r="W46" s="775">
        <f t="shared" si="14"/>
        <v>100</v>
      </c>
      <c r="X46" s="1812"/>
      <c r="Y46" s="3280"/>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0"/>
      <c r="Q47" s="1809">
        <f t="shared" si="11"/>
        <v>111</v>
      </c>
      <c r="R47" s="774" t="s">
        <v>17</v>
      </c>
      <c r="S47" s="775">
        <f t="shared" si="12"/>
        <v>100</v>
      </c>
      <c r="T47" s="774" t="s">
        <v>17</v>
      </c>
      <c r="U47" s="775">
        <f t="shared" si="13"/>
        <v>100</v>
      </c>
      <c r="V47" s="774" t="s">
        <v>17</v>
      </c>
      <c r="W47" s="775">
        <f t="shared" si="14"/>
        <v>100</v>
      </c>
      <c r="X47" s="1812"/>
      <c r="Y47" s="3331"/>
      <c r="Z47" s="1813">
        <f t="shared" si="15"/>
        <v>111</v>
      </c>
      <c r="AA47" s="1810">
        <f t="shared" si="3"/>
        <v>1</v>
      </c>
      <c r="AB47" s="1810">
        <f t="shared" si="4"/>
        <v>1</v>
      </c>
      <c r="AC47" s="2672">
        <f t="shared" si="5"/>
        <v>1</v>
      </c>
    </row>
    <row r="48" spans="1:29" ht="15">
      <c r="A48" s="479" t="s">
        <v>2565</v>
      </c>
      <c r="B48" s="480"/>
      <c r="C48" s="1407" t="s">
        <v>1</v>
      </c>
      <c r="D48" s="1408"/>
      <c r="E48" s="1409"/>
      <c r="F48" s="1410"/>
      <c r="G48" s="1411"/>
      <c r="H48" s="1412"/>
      <c r="I48" s="1409"/>
      <c r="J48" s="485"/>
      <c r="K48" s="783"/>
      <c r="L48" s="1143"/>
      <c r="M48" s="1131"/>
      <c r="N48" s="1131"/>
      <c r="O48" s="1131"/>
      <c r="P48" s="3286" t="str">
        <f>A48</f>
        <v>成交单价（元/平方米）</v>
      </c>
      <c r="Q48" s="3262"/>
      <c r="R48" s="3327">
        <f>E48</f>
        <v>0</v>
      </c>
      <c r="S48" s="3327"/>
      <c r="T48" s="3327">
        <f>G48</f>
        <v>0</v>
      </c>
      <c r="U48" s="3327"/>
      <c r="V48" s="3327">
        <f>I48</f>
        <v>0</v>
      </c>
      <c r="W48" s="3327"/>
      <c r="X48" s="446"/>
      <c r="Y48" s="781"/>
      <c r="Z48" s="446"/>
      <c r="AA48" s="446"/>
      <c r="AB48" s="446"/>
      <c r="AC48" s="630"/>
    </row>
    <row r="49" spans="1:29" ht="15.75" thickBot="1">
      <c r="A49" s="486" t="s">
        <v>2656</v>
      </c>
      <c r="B49" s="487"/>
      <c r="C49" s="1413" t="e">
        <f>R50</f>
        <v>#DIV/0!</v>
      </c>
      <c r="D49" s="1414"/>
      <c r="E49" s="1415" t="e">
        <f>R49</f>
        <v>#DIV/0!</v>
      </c>
      <c r="F49" s="1415"/>
      <c r="G49" s="1413" t="e">
        <f>T49</f>
        <v>#DIV/0!</v>
      </c>
      <c r="H49" s="1414"/>
      <c r="I49" s="1415" t="e">
        <f>V49</f>
        <v>#DIV/0!</v>
      </c>
      <c r="J49" s="489"/>
      <c r="K49" s="784"/>
      <c r="L49" s="1143"/>
      <c r="M49" s="1131"/>
      <c r="N49" s="1131"/>
      <c r="O49" s="1131"/>
      <c r="P49" s="3286" t="str">
        <f>A49</f>
        <v>比较价值（元/平方米）</v>
      </c>
      <c r="Q49" s="3262"/>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46"/>
      <c r="Y49" s="446"/>
      <c r="Z49" s="446"/>
      <c r="AA49" s="446"/>
      <c r="AB49" s="446"/>
      <c r="AC49" s="630"/>
    </row>
    <row r="50" spans="1:29" ht="15.75" thickBot="1">
      <c r="A50" s="492" t="s">
        <v>2657</v>
      </c>
      <c r="B50" s="493"/>
      <c r="C50" s="1417" t="e">
        <f>R50</f>
        <v>#DIV/0!</v>
      </c>
      <c r="D50" s="1417"/>
      <c r="E50" s="1417"/>
      <c r="F50" s="1417"/>
      <c r="G50" s="1417"/>
      <c r="H50" s="1417"/>
      <c r="I50" s="1417"/>
      <c r="J50" s="494"/>
      <c r="K50" s="785"/>
      <c r="L50" s="1143"/>
      <c r="M50" s="1131"/>
      <c r="N50" s="1131"/>
      <c r="O50" s="1131"/>
      <c r="P50" s="3354" t="str">
        <f>A50</f>
        <v>估价对象XX用房的比较价值（楼面单价，元/平方米）</v>
      </c>
      <c r="Q50" s="3355"/>
      <c r="R50" s="3356" t="e">
        <f>IF(F1="售价",ROUND(AVERAGE(R49:V49),0),ROUND(AVERAGE(R49:V49),1))</f>
        <v>#DIV/0!</v>
      </c>
      <c r="S50" s="3356"/>
      <c r="T50" s="3356"/>
      <c r="U50" s="3356"/>
      <c r="V50" s="3356"/>
      <c r="W50" s="335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2661</v>
      </c>
      <c r="B58" s="759"/>
      <c r="C58" s="764"/>
      <c r="D58" s="764"/>
      <c r="E58" s="764"/>
      <c r="F58" s="765"/>
      <c r="G58" s="765"/>
      <c r="H58" s="764"/>
      <c r="I58" s="764"/>
      <c r="J58" s="764"/>
      <c r="K58" s="766"/>
      <c r="L58" s="1161"/>
      <c r="M58" s="1159"/>
      <c r="N58" s="1159"/>
      <c r="O58" s="1159"/>
      <c r="P58" s="2679"/>
      <c r="Q58" s="504"/>
    </row>
    <row r="59" spans="1:29" s="508" customFormat="1" ht="15">
      <c r="A59" s="505" t="s">
        <v>2536</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2572</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2639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2575</v>
      </c>
      <c r="B64" s="528" t="s">
        <v>2542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2545</v>
      </c>
      <c r="C66" s="539" t="s">
        <v>2576</v>
      </c>
      <c r="D66" s="539" t="s">
        <v>2577</v>
      </c>
      <c r="E66" s="539" t="s">
        <v>2578</v>
      </c>
      <c r="F66" s="539" t="s">
        <v>2579</v>
      </c>
      <c r="G66" s="539" t="s">
        <v>2580</v>
      </c>
      <c r="H66" s="539" t="s">
        <v>2581</v>
      </c>
      <c r="I66" s="539" t="s">
        <v>2582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2547</v>
      </c>
      <c r="B77" s="528" t="s">
        <v>2684</v>
      </c>
      <c r="C77" s="573" t="s">
        <v>2584</v>
      </c>
      <c r="D77" s="573" t="s">
        <v>2585</v>
      </c>
      <c r="E77" s="573" t="s">
        <v>2586</v>
      </c>
      <c r="F77" s="573" t="s">
        <v>2587</v>
      </c>
      <c r="G77" s="573" t="s">
        <v>2588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2676</v>
      </c>
      <c r="C83" s="660" t="s">
        <v>2662</v>
      </c>
      <c r="D83" s="660" t="s">
        <v>2663</v>
      </c>
      <c r="E83" s="660" t="s">
        <v>2664</v>
      </c>
      <c r="F83" s="660" t="s">
        <v>2665</v>
      </c>
      <c r="G83" s="660" t="s">
        <v>2666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2551</v>
      </c>
      <c r="B101" s="528" t="s">
        <v>2599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2689</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5"/>
      <c r="D2" s="1124"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2631</v>
      </c>
      <c r="D3" s="399">
        <f>IF(D1="",'数据-汇总表'!E3,SUMIF('数据-汇总表'!$C19:$C33,D1,'数据-汇总表'!$E19:$E33))</f>
        <v>23293.309999999998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46" t="s">
        <v>2635</v>
      </c>
      <c r="AC4" s="3245" t="s">
        <v>2636</v>
      </c>
    </row>
    <row r="5" spans="1:29" ht="15">
      <c r="A5" s="404"/>
      <c r="B5" s="405"/>
      <c r="C5" s="3336" t="s">
        <v>2530</v>
      </c>
      <c r="D5" s="3337"/>
      <c r="E5" s="3334" t="s">
        <v>2531</v>
      </c>
      <c r="F5" s="3335"/>
      <c r="G5" s="3336" t="s">
        <v>2532</v>
      </c>
      <c r="H5" s="3337"/>
      <c r="I5" s="3336" t="s">
        <v>2533</v>
      </c>
      <c r="J5" s="3337"/>
      <c r="K5" s="610"/>
      <c r="L5" s="1130"/>
      <c r="M5" s="1131"/>
      <c r="N5" s="1131"/>
      <c r="O5" s="1131"/>
      <c r="P5" s="3269"/>
      <c r="Q5" s="3270"/>
      <c r="R5" s="3252"/>
      <c r="S5" s="3253"/>
      <c r="T5" s="3252"/>
      <c r="U5" s="3253"/>
      <c r="V5" s="3275"/>
      <c r="W5" s="3275"/>
      <c r="X5" s="1812"/>
      <c r="Y5" s="3252"/>
      <c r="Z5" s="3253"/>
      <c r="AA5" s="3246"/>
      <c r="AB5" s="3246"/>
      <c r="AC5" s="3246"/>
    </row>
    <row r="6" spans="1:29" ht="15.75" thickBot="1">
      <c r="A6" s="406"/>
      <c r="B6" s="407"/>
      <c r="C6" s="3338" t="s">
        <v>2534</v>
      </c>
      <c r="D6" s="3339"/>
      <c r="E6" s="3340" t="s">
        <v>2534</v>
      </c>
      <c r="F6" s="3341"/>
      <c r="G6" s="3338" t="s">
        <v>2534</v>
      </c>
      <c r="H6" s="3339"/>
      <c r="I6" s="3338" t="s">
        <v>2534</v>
      </c>
      <c r="J6" s="3339"/>
      <c r="K6" s="610" t="s">
        <v>2535</v>
      </c>
      <c r="L6" s="1130"/>
      <c r="M6" s="1131"/>
      <c r="N6" s="1131"/>
      <c r="O6" s="1131"/>
      <c r="P6" s="3271"/>
      <c r="Q6" s="3272"/>
      <c r="R6" s="3252"/>
      <c r="S6" s="3253"/>
      <c r="T6" s="3273"/>
      <c r="U6" s="3274"/>
      <c r="V6" s="3275"/>
      <c r="W6" s="3275"/>
      <c r="X6" s="1812"/>
      <c r="Y6" s="3273"/>
      <c r="Z6" s="3274"/>
      <c r="AA6" s="3247"/>
      <c r="AB6" s="3247"/>
      <c r="AC6" s="3247"/>
    </row>
    <row r="7" spans="1:29" s="117" customFormat="1" ht="15.75" thickBot="1">
      <c r="A7" s="408" t="s">
        <v>2536</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8" t="s">
        <v>2537</v>
      </c>
      <c r="Q7" s="3276"/>
      <c r="R7" s="770" t="s">
        <v>17</v>
      </c>
      <c r="S7" s="771">
        <f t="shared" ref="S7:S15" si="0">F7</f>
        <v>0</v>
      </c>
      <c r="T7" s="770" t="s">
        <v>17</v>
      </c>
      <c r="U7" s="771">
        <f t="shared" ref="U7:U15" si="1">H7</f>
        <v>0</v>
      </c>
      <c r="V7" s="770" t="s">
        <v>17</v>
      </c>
      <c r="W7" s="771">
        <f t="shared" ref="W7:W15" si="2">J7</f>
        <v>0</v>
      </c>
      <c r="X7" s="772"/>
      <c r="Y7" s="3248" t="s">
        <v>2537</v>
      </c>
      <c r="Z7" s="3249"/>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8" t="s">
        <v>2540</v>
      </c>
      <c r="Q8" s="3249"/>
      <c r="R8" s="770" t="s">
        <v>17</v>
      </c>
      <c r="S8" s="771">
        <f t="shared" si="0"/>
        <v>0</v>
      </c>
      <c r="T8" s="770" t="s">
        <v>17</v>
      </c>
      <c r="U8" s="771">
        <f t="shared" si="1"/>
        <v>0</v>
      </c>
      <c r="V8" s="770" t="s">
        <v>17</v>
      </c>
      <c r="W8" s="771">
        <f t="shared" si="2"/>
        <v>0</v>
      </c>
      <c r="X8" s="772"/>
      <c r="Y8" s="3248" t="s">
        <v>2540</v>
      </c>
      <c r="Z8" s="3249"/>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2" t="s">
        <v>2543</v>
      </c>
      <c r="Q9" s="1794" t="str">
        <f t="shared" ref="Q9:Q15" si="6">B9</f>
        <v>用途</v>
      </c>
      <c r="R9" s="770" t="s">
        <v>17</v>
      </c>
      <c r="S9" s="771">
        <f t="shared" si="0"/>
        <v>100</v>
      </c>
      <c r="T9" s="770" t="s">
        <v>17</v>
      </c>
      <c r="U9" s="771">
        <f t="shared" si="1"/>
        <v>100</v>
      </c>
      <c r="V9" s="770" t="s">
        <v>17</v>
      </c>
      <c r="W9" s="771">
        <f t="shared" si="2"/>
        <v>100</v>
      </c>
      <c r="X9" s="772"/>
      <c r="Y9" s="311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2"/>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2"/>
      <c r="Q11" s="1794" t="str">
        <f t="shared" si="6"/>
        <v>容积率</v>
      </c>
      <c r="R11" s="770" t="s">
        <v>17</v>
      </c>
      <c r="S11" s="771" t="e">
        <f t="shared" si="0"/>
        <v>#N/A</v>
      </c>
      <c r="T11" s="770" t="s">
        <v>17</v>
      </c>
      <c r="U11" s="771" t="e">
        <f t="shared" si="1"/>
        <v>#N/A</v>
      </c>
      <c r="V11" s="770" t="s">
        <v>17</v>
      </c>
      <c r="W11" s="771" t="e">
        <f t="shared" si="2"/>
        <v>#N/A</v>
      </c>
      <c r="X11" s="772"/>
      <c r="Y11" s="311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2"/>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2"/>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2"/>
      <c r="Q14" s="1794">
        <f t="shared" si="6"/>
        <v>111</v>
      </c>
      <c r="R14" s="770" t="s">
        <v>17</v>
      </c>
      <c r="S14" s="771">
        <f t="shared" si="0"/>
        <v>100</v>
      </c>
      <c r="T14" s="770" t="s">
        <v>17</v>
      </c>
      <c r="U14" s="771">
        <f t="shared" si="1"/>
        <v>100</v>
      </c>
      <c r="V14" s="770" t="s">
        <v>17</v>
      </c>
      <c r="W14" s="771">
        <f t="shared" si="2"/>
        <v>100</v>
      </c>
      <c r="X14" s="772"/>
      <c r="Y14" s="3117"/>
      <c r="Z14" s="55">
        <f t="shared" si="7"/>
        <v>111</v>
      </c>
      <c r="AA14" s="773">
        <f t="shared" si="3"/>
        <v>1</v>
      </c>
      <c r="AB14" s="773">
        <f t="shared" si="4"/>
        <v>1</v>
      </c>
      <c r="AC14" s="773">
        <f t="shared" si="5"/>
        <v>1</v>
      </c>
    </row>
    <row r="15" spans="1:29" ht="15">
      <c r="A15" s="440" t="s">
        <v>2547</v>
      </c>
      <c r="B15" s="69" t="s">
        <v>2690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7" t="s">
        <v>2548</v>
      </c>
      <c r="Q15" s="1809" t="str">
        <f t="shared" si="6"/>
        <v>产业集聚程度</v>
      </c>
      <c r="R15" s="774" t="s">
        <v>17</v>
      </c>
      <c r="S15" s="775">
        <f t="shared" si="0"/>
        <v>100</v>
      </c>
      <c r="T15" s="774" t="s">
        <v>17</v>
      </c>
      <c r="U15" s="775">
        <f t="shared" si="1"/>
        <v>100</v>
      </c>
      <c r="V15" s="774" t="s">
        <v>17</v>
      </c>
      <c r="W15" s="775">
        <f t="shared" si="2"/>
        <v>100</v>
      </c>
      <c r="X15" s="1812"/>
      <c r="Y15" s="3277"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8"/>
      <c r="Q16" s="1809"/>
      <c r="R16" s="774"/>
      <c r="S16" s="775"/>
      <c r="T16" s="774"/>
      <c r="U16" s="775"/>
      <c r="V16" s="774"/>
      <c r="W16" s="775"/>
      <c r="X16" s="1812"/>
      <c r="Y16" s="3278"/>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8"/>
      <c r="Q17" s="1809" t="str">
        <f>B17</f>
        <v>交通便捷度</v>
      </c>
      <c r="R17" s="774" t="s">
        <v>17</v>
      </c>
      <c r="S17" s="775">
        <f>F17</f>
        <v>100</v>
      </c>
      <c r="T17" s="774" t="s">
        <v>17</v>
      </c>
      <c r="U17" s="775">
        <f>H17</f>
        <v>100</v>
      </c>
      <c r="V17" s="774" t="s">
        <v>17</v>
      </c>
      <c r="W17" s="775">
        <f>J17</f>
        <v>100</v>
      </c>
      <c r="X17" s="1812"/>
      <c r="Y17" s="3278"/>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78"/>
      <c r="Q18" s="1809"/>
      <c r="R18" s="774"/>
      <c r="S18" s="775"/>
      <c r="T18" s="774"/>
      <c r="U18" s="775"/>
      <c r="V18" s="774"/>
      <c r="W18" s="775"/>
      <c r="X18" s="1812"/>
      <c r="Y18" s="3278"/>
      <c r="Z18" s="1813"/>
      <c r="AA18" s="1810">
        <v>1</v>
      </c>
      <c r="AB18" s="1810">
        <v>1</v>
      </c>
      <c r="AC18" s="1810">
        <v>1</v>
      </c>
    </row>
    <row r="19" spans="1:29" ht="15">
      <c r="A19" s="428"/>
      <c r="B19" s="451" t="s">
        <v>2675</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8"/>
      <c r="Q19" s="1809" t="str">
        <f>B19</f>
        <v>公共配套设施</v>
      </c>
      <c r="R19" s="774" t="s">
        <v>17</v>
      </c>
      <c r="S19" s="775">
        <f>F19</f>
        <v>100</v>
      </c>
      <c r="T19" s="774" t="s">
        <v>17</v>
      </c>
      <c r="U19" s="775">
        <f>H19</f>
        <v>100</v>
      </c>
      <c r="V19" s="774" t="s">
        <v>17</v>
      </c>
      <c r="W19" s="775">
        <f>J19</f>
        <v>100</v>
      </c>
      <c r="X19" s="1812"/>
      <c r="Y19" s="3278"/>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78"/>
      <c r="Q20" s="1809"/>
      <c r="R20" s="774"/>
      <c r="S20" s="775"/>
      <c r="T20" s="774"/>
      <c r="U20" s="775"/>
      <c r="V20" s="774"/>
      <c r="W20" s="775"/>
      <c r="X20" s="1812"/>
      <c r="Y20" s="3278"/>
      <c r="Z20" s="1813"/>
      <c r="AA20" s="1810">
        <v>1</v>
      </c>
      <c r="AB20" s="1810">
        <v>1</v>
      </c>
      <c r="AC20" s="1810">
        <v>1</v>
      </c>
    </row>
    <row r="21" spans="1:29" ht="15">
      <c r="A21" s="428"/>
      <c r="B21" s="1384" t="s">
        <v>2676</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8"/>
      <c r="Q21" s="1809" t="str">
        <f>B21</f>
        <v>基础设施水平</v>
      </c>
      <c r="R21" s="774" t="s">
        <v>17</v>
      </c>
      <c r="S21" s="775">
        <f>F21</f>
        <v>100</v>
      </c>
      <c r="T21" s="774" t="s">
        <v>17</v>
      </c>
      <c r="U21" s="775">
        <f>H21</f>
        <v>100</v>
      </c>
      <c r="V21" s="774" t="s">
        <v>17</v>
      </c>
      <c r="W21" s="775">
        <f>J21</f>
        <v>100</v>
      </c>
      <c r="X21" s="1812"/>
      <c r="Y21" s="3278"/>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78"/>
      <c r="Q22" s="1809"/>
      <c r="R22" s="774"/>
      <c r="S22" s="775"/>
      <c r="T22" s="774"/>
      <c r="U22" s="775"/>
      <c r="V22" s="774"/>
      <c r="W22" s="775"/>
      <c r="X22" s="1812"/>
      <c r="Y22" s="3278"/>
      <c r="Z22" s="1813"/>
      <c r="AA22" s="1810">
        <v>1</v>
      </c>
      <c r="AB22" s="1810">
        <v>1</v>
      </c>
      <c r="AC22" s="1810">
        <v>1</v>
      </c>
    </row>
    <row r="23" spans="1:29" ht="15">
      <c r="A23" s="428"/>
      <c r="B23" s="451" t="s">
        <v>2677</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8"/>
      <c r="Q23" s="1809" t="str">
        <f>B23</f>
        <v>环境质量</v>
      </c>
      <c r="R23" s="774" t="s">
        <v>17</v>
      </c>
      <c r="S23" s="775">
        <f>F23</f>
        <v>100</v>
      </c>
      <c r="T23" s="774" t="s">
        <v>17</v>
      </c>
      <c r="U23" s="775">
        <f>H23</f>
        <v>100</v>
      </c>
      <c r="V23" s="774" t="s">
        <v>17</v>
      </c>
      <c r="W23" s="775">
        <f>J23</f>
        <v>100</v>
      </c>
      <c r="X23" s="1812"/>
      <c r="Y23" s="3278"/>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78"/>
      <c r="Q24" s="1809"/>
      <c r="R24" s="774"/>
      <c r="S24" s="775"/>
      <c r="T24" s="774"/>
      <c r="U24" s="775"/>
      <c r="V24" s="774"/>
      <c r="W24" s="775"/>
      <c r="X24" s="1812"/>
      <c r="Y24" s="327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8"/>
      <c r="Q25" s="1809">
        <f>B25</f>
        <v>111</v>
      </c>
      <c r="R25" s="774" t="s">
        <v>17</v>
      </c>
      <c r="S25" s="775">
        <f>F25</f>
        <v>100</v>
      </c>
      <c r="T25" s="774" t="s">
        <v>17</v>
      </c>
      <c r="U25" s="775">
        <f>H25</f>
        <v>100</v>
      </c>
      <c r="V25" s="774" t="s">
        <v>17</v>
      </c>
      <c r="W25" s="775">
        <f>J25</f>
        <v>100</v>
      </c>
      <c r="X25" s="1812"/>
      <c r="Y25" s="327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8"/>
      <c r="Q26" s="1809">
        <f t="shared" ref="Q26:Q40" si="11">B26</f>
        <v>111</v>
      </c>
      <c r="R26" s="774" t="s">
        <v>17</v>
      </c>
      <c r="S26" s="775">
        <f>F26</f>
        <v>100</v>
      </c>
      <c r="T26" s="774" t="s">
        <v>17</v>
      </c>
      <c r="U26" s="775">
        <f>H26</f>
        <v>100</v>
      </c>
      <c r="V26" s="774" t="s">
        <v>17</v>
      </c>
      <c r="W26" s="775">
        <f>J26</f>
        <v>100</v>
      </c>
      <c r="X26" s="1812"/>
      <c r="Y26" s="327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8"/>
      <c r="Q27" s="1794">
        <f t="shared" si="11"/>
        <v>111</v>
      </c>
      <c r="R27" s="770" t="s">
        <v>17</v>
      </c>
      <c r="S27" s="771">
        <f>F27</f>
        <v>100</v>
      </c>
      <c r="T27" s="770" t="s">
        <v>17</v>
      </c>
      <c r="U27" s="771">
        <f>H27</f>
        <v>100</v>
      </c>
      <c r="V27" s="770" t="s">
        <v>17</v>
      </c>
      <c r="W27" s="771">
        <f>J27</f>
        <v>100</v>
      </c>
      <c r="X27" s="772"/>
      <c r="Y27" s="327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8"/>
      <c r="Q28" s="1809">
        <f t="shared" si="11"/>
        <v>111</v>
      </c>
      <c r="R28" s="774" t="s">
        <v>17</v>
      </c>
      <c r="S28" s="775">
        <f t="shared" ref="S28:S40" si="12">F28</f>
        <v>100</v>
      </c>
      <c r="T28" s="774" t="s">
        <v>17</v>
      </c>
      <c r="U28" s="775">
        <f t="shared" ref="U28:U40" si="13">H28</f>
        <v>100</v>
      </c>
      <c r="V28" s="774" t="s">
        <v>17</v>
      </c>
      <c r="W28" s="775">
        <f t="shared" ref="W28:W40" si="14">J28</f>
        <v>100</v>
      </c>
      <c r="X28" s="1812"/>
      <c r="Y28" s="3278"/>
      <c r="Z28" s="1813">
        <f t="shared" ref="Z28:Z40" si="15">Q28</f>
        <v>111</v>
      </c>
      <c r="AA28" s="1810">
        <f t="shared" si="3"/>
        <v>1</v>
      </c>
      <c r="AB28" s="1810">
        <f t="shared" si="4"/>
        <v>1</v>
      </c>
      <c r="AC28" s="1810">
        <f t="shared" si="5"/>
        <v>1</v>
      </c>
    </row>
    <row r="29" spans="1:29" ht="28.5">
      <c r="A29" s="466" t="s">
        <v>2551</v>
      </c>
      <c r="B29" s="71" t="s">
        <v>2680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79" t="s">
        <v>2553</v>
      </c>
      <c r="Q29" s="1809" t="str">
        <f t="shared" si="11"/>
        <v>建筑类型</v>
      </c>
      <c r="R29" s="774" t="s">
        <v>17</v>
      </c>
      <c r="S29" s="775">
        <f t="shared" si="12"/>
        <v>100</v>
      </c>
      <c r="T29" s="774" t="s">
        <v>17</v>
      </c>
      <c r="U29" s="775">
        <f t="shared" si="13"/>
        <v>100</v>
      </c>
      <c r="V29" s="774" t="s">
        <v>17</v>
      </c>
      <c r="W29" s="775">
        <f t="shared" si="14"/>
        <v>100</v>
      </c>
      <c r="X29" s="1812"/>
      <c r="Y29" s="3280"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0"/>
      <c r="Q30" s="776" t="str">
        <f t="shared" si="11"/>
        <v>项目建筑规模</v>
      </c>
      <c r="R30" s="777" t="s">
        <v>17</v>
      </c>
      <c r="S30" s="778" t="e">
        <f t="shared" si="12"/>
        <v>#N/A</v>
      </c>
      <c r="T30" s="777" t="s">
        <v>17</v>
      </c>
      <c r="U30" s="778" t="e">
        <f t="shared" si="13"/>
        <v>#N/A</v>
      </c>
      <c r="V30" s="777" t="s">
        <v>17</v>
      </c>
      <c r="W30" s="778" t="e">
        <f t="shared" si="14"/>
        <v>#N/A</v>
      </c>
      <c r="X30" s="779"/>
      <c r="Y30" s="3280"/>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0"/>
      <c r="Q31" s="1809" t="str">
        <f t="shared" si="11"/>
        <v>建筑结构</v>
      </c>
      <c r="R31" s="774" t="s">
        <v>17</v>
      </c>
      <c r="S31" s="775">
        <f t="shared" si="12"/>
        <v>100</v>
      </c>
      <c r="T31" s="774" t="s">
        <v>17</v>
      </c>
      <c r="U31" s="775">
        <f t="shared" si="13"/>
        <v>100</v>
      </c>
      <c r="V31" s="774" t="s">
        <v>17</v>
      </c>
      <c r="W31" s="775">
        <f t="shared" si="14"/>
        <v>100</v>
      </c>
      <c r="X31" s="1812"/>
      <c r="Y31" s="3280"/>
      <c r="Z31" s="1813" t="str">
        <f t="shared" si="15"/>
        <v>建筑结构</v>
      </c>
      <c r="AA31" s="1810">
        <f t="shared" si="3"/>
        <v>1</v>
      </c>
      <c r="AB31" s="1810">
        <f t="shared" si="4"/>
        <v>1</v>
      </c>
      <c r="AC31" s="1810">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0"/>
      <c r="Q32" s="1809" t="str">
        <f t="shared" si="11"/>
        <v>公共部分装修</v>
      </c>
      <c r="R32" s="774" t="s">
        <v>17</v>
      </c>
      <c r="S32" s="775">
        <f t="shared" si="12"/>
        <v>100</v>
      </c>
      <c r="T32" s="774" t="s">
        <v>17</v>
      </c>
      <c r="U32" s="775">
        <f t="shared" si="13"/>
        <v>100</v>
      </c>
      <c r="V32" s="774" t="s">
        <v>17</v>
      </c>
      <c r="W32" s="775">
        <f t="shared" si="14"/>
        <v>100</v>
      </c>
      <c r="X32" s="1812"/>
      <c r="Y32" s="3280"/>
      <c r="Z32" s="1813" t="str">
        <f t="shared" si="15"/>
        <v>公共部分装修</v>
      </c>
      <c r="AA32" s="1810">
        <f t="shared" si="3"/>
        <v>1</v>
      </c>
      <c r="AB32" s="1810">
        <f t="shared" si="4"/>
        <v>1</v>
      </c>
      <c r="AC32" s="1810">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0"/>
      <c r="Q33" s="1809" t="str">
        <f t="shared" si="11"/>
        <v>成新度</v>
      </c>
      <c r="R33" s="774" t="s">
        <v>17</v>
      </c>
      <c r="S33" s="775" t="e">
        <f t="shared" si="12"/>
        <v>#N/A</v>
      </c>
      <c r="T33" s="774" t="s">
        <v>17</v>
      </c>
      <c r="U33" s="775" t="e">
        <f t="shared" si="13"/>
        <v>#N/A</v>
      </c>
      <c r="V33" s="774" t="s">
        <v>17</v>
      </c>
      <c r="W33" s="775" t="e">
        <f t="shared" si="14"/>
        <v>#N/A</v>
      </c>
      <c r="X33" s="1812"/>
      <c r="Y33" s="3280"/>
      <c r="Z33" s="1813" t="str">
        <f t="shared" si="15"/>
        <v>成新度</v>
      </c>
      <c r="AA33" s="1810" t="e">
        <f t="shared" si="3"/>
        <v>#N/A</v>
      </c>
      <c r="AB33" s="1810" t="e">
        <f t="shared" si="4"/>
        <v>#N/A</v>
      </c>
      <c r="AC33" s="1810"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0"/>
      <c r="Q34" s="1794" t="str">
        <f t="shared" si="11"/>
        <v>物业管理</v>
      </c>
      <c r="R34" s="770" t="s">
        <v>17</v>
      </c>
      <c r="S34" s="771">
        <f t="shared" si="12"/>
        <v>100</v>
      </c>
      <c r="T34" s="770" t="s">
        <v>17</v>
      </c>
      <c r="U34" s="771">
        <f t="shared" si="13"/>
        <v>100</v>
      </c>
      <c r="V34" s="770" t="s">
        <v>17</v>
      </c>
      <c r="W34" s="771">
        <f t="shared" si="14"/>
        <v>100</v>
      </c>
      <c r="X34" s="772"/>
      <c r="Y34" s="328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0" t="s">
        <v>2553</v>
      </c>
      <c r="Q35" s="1809" t="str">
        <f t="shared" si="11"/>
        <v>市政基础设施</v>
      </c>
      <c r="R35" s="774" t="s">
        <v>17</v>
      </c>
      <c r="S35" s="775">
        <f t="shared" si="12"/>
        <v>100</v>
      </c>
      <c r="T35" s="774" t="s">
        <v>17</v>
      </c>
      <c r="U35" s="775">
        <f t="shared" si="13"/>
        <v>100</v>
      </c>
      <c r="V35" s="774" t="s">
        <v>17</v>
      </c>
      <c r="W35" s="775">
        <f t="shared" si="14"/>
        <v>100</v>
      </c>
      <c r="X35" s="1812"/>
      <c r="Y35" s="3280" t="s">
        <v>2553</v>
      </c>
      <c r="Z35" s="1813" t="str">
        <f t="shared" si="15"/>
        <v>市政基础设施</v>
      </c>
      <c r="AA35" s="1810">
        <f t="shared" si="3"/>
        <v>1</v>
      </c>
      <c r="AB35" s="1810">
        <f t="shared" si="4"/>
        <v>1</v>
      </c>
      <c r="AC35" s="1810">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0"/>
      <c r="Q36" s="1809" t="str">
        <f t="shared" si="11"/>
        <v>内部装修</v>
      </c>
      <c r="R36" s="774" t="s">
        <v>17</v>
      </c>
      <c r="S36" s="775">
        <f t="shared" si="12"/>
        <v>100</v>
      </c>
      <c r="T36" s="774" t="s">
        <v>17</v>
      </c>
      <c r="U36" s="775">
        <f t="shared" si="13"/>
        <v>100</v>
      </c>
      <c r="V36" s="774" t="s">
        <v>17</v>
      </c>
      <c r="W36" s="775">
        <f t="shared" si="14"/>
        <v>100</v>
      </c>
      <c r="X36" s="1812"/>
      <c r="Y36" s="3280"/>
      <c r="Z36" s="1813" t="str">
        <f t="shared" si="15"/>
        <v>内部装修</v>
      </c>
      <c r="AA36" s="1810">
        <f t="shared" si="3"/>
        <v>1</v>
      </c>
      <c r="AB36" s="1810">
        <f t="shared" si="4"/>
        <v>1</v>
      </c>
      <c r="AC36" s="1810">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0"/>
      <c r="Q37" s="1809" t="str">
        <f t="shared" si="11"/>
        <v>内部装修状况</v>
      </c>
      <c r="R37" s="774" t="s">
        <v>17</v>
      </c>
      <c r="S37" s="775">
        <f t="shared" si="12"/>
        <v>100</v>
      </c>
      <c r="T37" s="774" t="s">
        <v>17</v>
      </c>
      <c r="U37" s="775">
        <f t="shared" si="13"/>
        <v>100</v>
      </c>
      <c r="V37" s="774" t="s">
        <v>17</v>
      </c>
      <c r="W37" s="775">
        <f t="shared" si="14"/>
        <v>100</v>
      </c>
      <c r="X37" s="1812"/>
      <c r="Y37" s="328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0"/>
      <c r="Q38" s="776">
        <f t="shared" si="11"/>
        <v>111</v>
      </c>
      <c r="R38" s="777" t="s">
        <v>17</v>
      </c>
      <c r="S38" s="778">
        <f t="shared" si="12"/>
        <v>100</v>
      </c>
      <c r="T38" s="777" t="s">
        <v>17</v>
      </c>
      <c r="U38" s="778">
        <f t="shared" si="13"/>
        <v>100</v>
      </c>
      <c r="V38" s="777" t="s">
        <v>17</v>
      </c>
      <c r="W38" s="778">
        <f t="shared" si="14"/>
        <v>100</v>
      </c>
      <c r="X38" s="779"/>
      <c r="Y38" s="328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0"/>
      <c r="Q39" s="1809">
        <f t="shared" si="11"/>
        <v>111</v>
      </c>
      <c r="R39" s="774" t="s">
        <v>17</v>
      </c>
      <c r="S39" s="775">
        <f t="shared" si="12"/>
        <v>100</v>
      </c>
      <c r="T39" s="774" t="s">
        <v>17</v>
      </c>
      <c r="U39" s="775">
        <f t="shared" si="13"/>
        <v>100</v>
      </c>
      <c r="V39" s="774" t="s">
        <v>17</v>
      </c>
      <c r="W39" s="775">
        <f t="shared" si="14"/>
        <v>100</v>
      </c>
      <c r="X39" s="1812"/>
      <c r="Y39" s="3280"/>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1"/>
      <c r="Q40" s="1809">
        <f t="shared" si="11"/>
        <v>111</v>
      </c>
      <c r="R40" s="774" t="s">
        <v>17</v>
      </c>
      <c r="S40" s="775">
        <f t="shared" si="12"/>
        <v>100</v>
      </c>
      <c r="T40" s="774" t="s">
        <v>17</v>
      </c>
      <c r="U40" s="775">
        <f t="shared" si="13"/>
        <v>100</v>
      </c>
      <c r="V40" s="774" t="s">
        <v>17</v>
      </c>
      <c r="W40" s="775">
        <f t="shared" si="14"/>
        <v>100</v>
      </c>
      <c r="X40" s="1812"/>
      <c r="Y40" s="3331"/>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62" t="str">
        <f>A41</f>
        <v>成交单价（元/平方米）</v>
      </c>
      <c r="Q41" s="3262"/>
      <c r="R41" s="3327">
        <f>E41</f>
        <v>0</v>
      </c>
      <c r="S41" s="3327"/>
      <c r="T41" s="3327">
        <f>G41</f>
        <v>0</v>
      </c>
      <c r="U41" s="3327"/>
      <c r="V41" s="3327">
        <f>I41</f>
        <v>0</v>
      </c>
      <c r="W41" s="3327"/>
      <c r="X41" s="759"/>
      <c r="Y41" s="781"/>
      <c r="Z41" s="759"/>
      <c r="AA41" s="759"/>
      <c r="AB41" s="759"/>
      <c r="AC41" s="759"/>
    </row>
    <row r="42" spans="1:29" ht="15.7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62" t="str">
        <f>A42</f>
        <v>比较价值（元/平方米）</v>
      </c>
      <c r="Q42" s="3262"/>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59"/>
      <c r="Y42" s="759"/>
      <c r="Z42" s="759"/>
      <c r="AA42" s="759"/>
      <c r="AB42" s="759"/>
      <c r="AC42" s="759"/>
    </row>
    <row r="43" spans="1:29" ht="15.75" thickBot="1">
      <c r="A43" s="492" t="s">
        <v>2657</v>
      </c>
      <c r="B43" s="493"/>
      <c r="C43" s="1417" t="e">
        <f>R43</f>
        <v>#DIV/0!</v>
      </c>
      <c r="D43" s="1417"/>
      <c r="E43" s="1417"/>
      <c r="F43" s="1417"/>
      <c r="G43" s="1417"/>
      <c r="H43" s="1417"/>
      <c r="I43" s="1417"/>
      <c r="J43" s="1417"/>
      <c r="K43" s="785"/>
      <c r="L43" s="1143"/>
      <c r="M43" s="1144"/>
      <c r="N43" s="1144"/>
      <c r="O43" s="1144"/>
      <c r="P43" s="3282" t="str">
        <f>A43</f>
        <v>估价对象XX用房的比较价值（楼面单价，元/平方米）</v>
      </c>
      <c r="Q43" s="3283"/>
      <c r="R43" s="3326" t="e">
        <f>IF(F1="售价",ROUND(AVERAGE(R42:V42),0),ROUND(AVERAGE(R42:V42),1))</f>
        <v>#DIV/0!</v>
      </c>
      <c r="S43" s="3326"/>
      <c r="T43" s="3326"/>
      <c r="U43" s="3326"/>
      <c r="V43" s="3326"/>
      <c r="W43" s="33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2661</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2639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2575</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2551</v>
      </c>
      <c r="B88" s="528" t="s">
        <v>2599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1"/>
      <c r="F1" s="2583"/>
      <c r="G1" s="1622" t="s">
        <v>2630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46" t="s">
        <v>2635</v>
      </c>
      <c r="AC4" s="3245" t="s">
        <v>2636</v>
      </c>
    </row>
    <row r="5" spans="1:29" ht="15">
      <c r="A5" s="404"/>
      <c r="B5" s="405"/>
      <c r="C5" s="3336" t="s">
        <v>2530</v>
      </c>
      <c r="D5" s="3337"/>
      <c r="E5" s="3334" t="s">
        <v>2531</v>
      </c>
      <c r="F5" s="3335"/>
      <c r="G5" s="3336" t="s">
        <v>2532</v>
      </c>
      <c r="H5" s="3337"/>
      <c r="I5" s="3336" t="s">
        <v>2533</v>
      </c>
      <c r="J5" s="3337"/>
      <c r="K5" s="610"/>
      <c r="L5" s="1130"/>
      <c r="M5" s="1131"/>
      <c r="N5" s="1131"/>
      <c r="O5" s="1131"/>
      <c r="P5" s="3269"/>
      <c r="Q5" s="3270"/>
      <c r="R5" s="3252"/>
      <c r="S5" s="3253"/>
      <c r="T5" s="3252"/>
      <c r="U5" s="3253"/>
      <c r="V5" s="3275"/>
      <c r="W5" s="3275"/>
      <c r="X5" s="1812"/>
      <c r="Y5" s="3252"/>
      <c r="Z5" s="3253"/>
      <c r="AA5" s="3246"/>
      <c r="AB5" s="3246"/>
      <c r="AC5" s="3246"/>
    </row>
    <row r="6" spans="1:29" ht="15.75" thickBot="1">
      <c r="A6" s="406"/>
      <c r="B6" s="407"/>
      <c r="C6" s="3338" t="s">
        <v>2534</v>
      </c>
      <c r="D6" s="3339"/>
      <c r="E6" s="3340" t="s">
        <v>2534</v>
      </c>
      <c r="F6" s="3341"/>
      <c r="G6" s="3338" t="s">
        <v>2534</v>
      </c>
      <c r="H6" s="3339"/>
      <c r="I6" s="3338" t="s">
        <v>2534</v>
      </c>
      <c r="J6" s="3339"/>
      <c r="K6" s="610" t="s">
        <v>2535</v>
      </c>
      <c r="L6" s="1130"/>
      <c r="M6" s="1131"/>
      <c r="N6" s="1131"/>
      <c r="O6" s="1131"/>
      <c r="P6" s="3271"/>
      <c r="Q6" s="3272"/>
      <c r="R6" s="3252"/>
      <c r="S6" s="3253"/>
      <c r="T6" s="3273"/>
      <c r="U6" s="3274"/>
      <c r="V6" s="3275"/>
      <c r="W6" s="3275"/>
      <c r="X6" s="1812"/>
      <c r="Y6" s="3273"/>
      <c r="Z6" s="3274"/>
      <c r="AA6" s="3247"/>
      <c r="AB6" s="3247"/>
      <c r="AC6" s="3247"/>
    </row>
    <row r="7" spans="1:29" s="117" customFormat="1" ht="15.75" thickBot="1">
      <c r="A7" s="408" t="s">
        <v>2536</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8" t="s">
        <v>2537</v>
      </c>
      <c r="Q7" s="3276"/>
      <c r="R7" s="770" t="s">
        <v>17</v>
      </c>
      <c r="S7" s="771">
        <f t="shared" ref="S7:S14" si="0">F7</f>
        <v>0</v>
      </c>
      <c r="T7" s="770" t="s">
        <v>17</v>
      </c>
      <c r="U7" s="771">
        <f t="shared" ref="U7:U14" si="1">H7</f>
        <v>0</v>
      </c>
      <c r="V7" s="770" t="s">
        <v>17</v>
      </c>
      <c r="W7" s="771">
        <f t="shared" ref="W7:W14" si="2">J7</f>
        <v>0</v>
      </c>
      <c r="X7" s="772"/>
      <c r="Y7" s="3248" t="s">
        <v>2537</v>
      </c>
      <c r="Z7" s="3249"/>
      <c r="AA7" s="773" t="e">
        <f>D7/F7</f>
        <v>#DIV/0!</v>
      </c>
      <c r="AB7" s="773" t="e">
        <f>D7/H7</f>
        <v>#DIV/0!</v>
      </c>
      <c r="AC7" s="773" t="e">
        <f>D7/J7</f>
        <v>#DIV/0!</v>
      </c>
    </row>
    <row r="8" spans="1:29" s="117" customFormat="1" ht="15.75" thickBot="1">
      <c r="A8" s="408" t="s">
        <v>2538</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8" t="s">
        <v>2540</v>
      </c>
      <c r="Q8" s="3249"/>
      <c r="R8" s="770" t="s">
        <v>17</v>
      </c>
      <c r="S8" s="771">
        <f t="shared" si="0"/>
        <v>0</v>
      </c>
      <c r="T8" s="770" t="s">
        <v>17</v>
      </c>
      <c r="U8" s="771">
        <f t="shared" si="1"/>
        <v>0</v>
      </c>
      <c r="V8" s="770" t="s">
        <v>17</v>
      </c>
      <c r="W8" s="771">
        <f t="shared" si="2"/>
        <v>0</v>
      </c>
      <c r="X8" s="772"/>
      <c r="Y8" s="3248" t="s">
        <v>2540</v>
      </c>
      <c r="Z8" s="3249"/>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2" t="s">
        <v>2543</v>
      </c>
      <c r="Q9" s="1794" t="str">
        <f t="shared" ref="Q9:Q14" si="6">B9</f>
        <v>用途</v>
      </c>
      <c r="R9" s="770" t="s">
        <v>17</v>
      </c>
      <c r="S9" s="771">
        <f t="shared" si="0"/>
        <v>100</v>
      </c>
      <c r="T9" s="770" t="s">
        <v>17</v>
      </c>
      <c r="U9" s="771">
        <f t="shared" si="1"/>
        <v>100</v>
      </c>
      <c r="V9" s="770" t="s">
        <v>17</v>
      </c>
      <c r="W9" s="771">
        <f t="shared" si="2"/>
        <v>100</v>
      </c>
      <c r="X9" s="772"/>
      <c r="Y9" s="3117"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2"/>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2"/>
      <c r="Q11" s="1794">
        <f t="shared" si="6"/>
        <v>111</v>
      </c>
      <c r="R11" s="770" t="s">
        <v>17</v>
      </c>
      <c r="S11" s="771">
        <f t="shared" si="0"/>
        <v>100</v>
      </c>
      <c r="T11" s="770" t="s">
        <v>17</v>
      </c>
      <c r="U11" s="771">
        <f t="shared" si="1"/>
        <v>100</v>
      </c>
      <c r="V11" s="770" t="s">
        <v>17</v>
      </c>
      <c r="W11" s="771">
        <f t="shared" si="2"/>
        <v>100</v>
      </c>
      <c r="X11" s="772"/>
      <c r="Y11" s="31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2"/>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2"/>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773">
        <f t="shared" si="5"/>
        <v>1</v>
      </c>
    </row>
    <row r="14" spans="1:29" ht="15">
      <c r="A14" s="401" t="s">
        <v>2547</v>
      </c>
      <c r="B14" s="629" t="s">
        <v>2696</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7" t="s">
        <v>2548</v>
      </c>
      <c r="Q14" s="1809" t="str">
        <f t="shared" si="6"/>
        <v>交通便捷度</v>
      </c>
      <c r="R14" s="774" t="s">
        <v>17</v>
      </c>
      <c r="S14" s="775">
        <f t="shared" si="0"/>
        <v>100</v>
      </c>
      <c r="T14" s="774" t="s">
        <v>17</v>
      </c>
      <c r="U14" s="775">
        <f t="shared" si="1"/>
        <v>100</v>
      </c>
      <c r="V14" s="774" t="s">
        <v>17</v>
      </c>
      <c r="W14" s="775">
        <f t="shared" si="2"/>
        <v>100</v>
      </c>
      <c r="X14" s="1812"/>
      <c r="Y14" s="3277"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8"/>
      <c r="Q15" s="1809"/>
      <c r="R15" s="774"/>
      <c r="S15" s="775"/>
      <c r="T15" s="774"/>
      <c r="U15" s="775"/>
      <c r="V15" s="774"/>
      <c r="W15" s="775"/>
      <c r="X15" s="1812"/>
      <c r="Y15" s="3278"/>
      <c r="Z15" s="1813"/>
      <c r="AA15" s="1810">
        <v>1</v>
      </c>
      <c r="AB15" s="1810">
        <v>1</v>
      </c>
      <c r="AC15" s="1810">
        <v>1</v>
      </c>
    </row>
    <row r="16" spans="1:29" ht="15">
      <c r="A16" s="404"/>
      <c r="B16" s="631" t="s">
        <v>2675</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8"/>
      <c r="Q16" s="1809" t="str">
        <f>B16</f>
        <v>公共配套设施</v>
      </c>
      <c r="R16" s="774" t="s">
        <v>17</v>
      </c>
      <c r="S16" s="775">
        <f>F16</f>
        <v>100</v>
      </c>
      <c r="T16" s="774" t="s">
        <v>17</v>
      </c>
      <c r="U16" s="775">
        <f>H16</f>
        <v>100</v>
      </c>
      <c r="V16" s="774" t="s">
        <v>17</v>
      </c>
      <c r="W16" s="775">
        <f>J16</f>
        <v>100</v>
      </c>
      <c r="X16" s="1812"/>
      <c r="Y16" s="3278"/>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78"/>
      <c r="Q17" s="1809"/>
      <c r="R17" s="774"/>
      <c r="S17" s="775"/>
      <c r="T17" s="774"/>
      <c r="U17" s="775"/>
      <c r="V17" s="774"/>
      <c r="W17" s="775"/>
      <c r="X17" s="1812"/>
      <c r="Y17" s="3278"/>
      <c r="Z17" s="1813"/>
      <c r="AA17" s="1810">
        <v>1</v>
      </c>
      <c r="AB17" s="1810">
        <v>1</v>
      </c>
      <c r="AC17" s="1810">
        <v>1</v>
      </c>
    </row>
    <row r="18" spans="1:29" ht="15">
      <c r="A18" s="404"/>
      <c r="B18" s="633" t="s">
        <v>2676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8"/>
      <c r="Q18" s="1809" t="str">
        <f>B18</f>
        <v>基础设施水平</v>
      </c>
      <c r="R18" s="774" t="s">
        <v>17</v>
      </c>
      <c r="S18" s="775">
        <f>F18</f>
        <v>100</v>
      </c>
      <c r="T18" s="774" t="s">
        <v>17</v>
      </c>
      <c r="U18" s="775">
        <f>H18</f>
        <v>100</v>
      </c>
      <c r="V18" s="774" t="s">
        <v>17</v>
      </c>
      <c r="W18" s="775">
        <f>J18</f>
        <v>100</v>
      </c>
      <c r="X18" s="1812"/>
      <c r="Y18" s="3278"/>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78"/>
      <c r="Q19" s="1809"/>
      <c r="R19" s="774"/>
      <c r="S19" s="775"/>
      <c r="T19" s="774"/>
      <c r="U19" s="775"/>
      <c r="V19" s="774"/>
      <c r="W19" s="775"/>
      <c r="X19" s="1812"/>
      <c r="Y19" s="3278"/>
      <c r="Z19" s="1813"/>
      <c r="AA19" s="1810">
        <v>1</v>
      </c>
      <c r="AB19" s="1810">
        <v>1</v>
      </c>
      <c r="AC19" s="1810">
        <v>1</v>
      </c>
    </row>
    <row r="20" spans="1:29" ht="15">
      <c r="A20" s="404"/>
      <c r="B20" s="631" t="s">
        <v>2697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8"/>
      <c r="Q20" s="1809" t="str">
        <f>B20</f>
        <v>自然及人文环境</v>
      </c>
      <c r="R20" s="774" t="s">
        <v>17</v>
      </c>
      <c r="S20" s="775">
        <f>F20</f>
        <v>100</v>
      </c>
      <c r="T20" s="774" t="s">
        <v>17</v>
      </c>
      <c r="U20" s="775">
        <f>H20</f>
        <v>100</v>
      </c>
      <c r="V20" s="774" t="s">
        <v>17</v>
      </c>
      <c r="W20" s="775">
        <f>J20</f>
        <v>100</v>
      </c>
      <c r="X20" s="1812"/>
      <c r="Y20" s="327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8"/>
      <c r="Q21" s="1809"/>
      <c r="R21" s="774"/>
      <c r="S21" s="775"/>
      <c r="T21" s="774"/>
      <c r="U21" s="775"/>
      <c r="V21" s="774"/>
      <c r="W21" s="775"/>
      <c r="X21" s="1812"/>
      <c r="Y21" s="3278"/>
      <c r="Z21" s="1813"/>
      <c r="AA21" s="1810">
        <v>1</v>
      </c>
      <c r="AB21" s="1810">
        <v>1</v>
      </c>
      <c r="AC21" s="1810">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8"/>
      <c r="Q22" s="1809" t="str">
        <f>B22</f>
        <v>楼层</v>
      </c>
      <c r="R22" s="774" t="s">
        <v>17</v>
      </c>
      <c r="S22" s="775">
        <f>F22</f>
        <v>100</v>
      </c>
      <c r="T22" s="774" t="s">
        <v>17</v>
      </c>
      <c r="U22" s="775">
        <f>H22</f>
        <v>100</v>
      </c>
      <c r="V22" s="774" t="s">
        <v>17</v>
      </c>
      <c r="W22" s="775">
        <f>J22</f>
        <v>100</v>
      </c>
      <c r="X22" s="1812"/>
      <c r="Y22" s="327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8"/>
      <c r="Q23" s="1809">
        <f>B23</f>
        <v>111</v>
      </c>
      <c r="R23" s="774" t="s">
        <v>17</v>
      </c>
      <c r="S23" s="775">
        <f>F23</f>
        <v>100</v>
      </c>
      <c r="T23" s="774" t="s">
        <v>17</v>
      </c>
      <c r="U23" s="775">
        <f>H23</f>
        <v>100</v>
      </c>
      <c r="V23" s="774" t="s">
        <v>17</v>
      </c>
      <c r="W23" s="775">
        <f>J23</f>
        <v>100</v>
      </c>
      <c r="X23" s="1812"/>
      <c r="Y23" s="327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8"/>
      <c r="Q24" s="1809">
        <f t="shared" ref="Q24:Q36" si="11">B24</f>
        <v>111</v>
      </c>
      <c r="R24" s="774" t="s">
        <v>17</v>
      </c>
      <c r="S24" s="775">
        <f>F24</f>
        <v>100</v>
      </c>
      <c r="T24" s="774" t="s">
        <v>17</v>
      </c>
      <c r="U24" s="775">
        <f>H24</f>
        <v>100</v>
      </c>
      <c r="V24" s="774" t="s">
        <v>17</v>
      </c>
      <c r="W24" s="775">
        <f>J24</f>
        <v>100</v>
      </c>
      <c r="X24" s="1812"/>
      <c r="Y24" s="327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8"/>
      <c r="Q25" s="1794">
        <f t="shared" si="11"/>
        <v>111</v>
      </c>
      <c r="R25" s="770" t="s">
        <v>17</v>
      </c>
      <c r="S25" s="771">
        <f>F25</f>
        <v>100</v>
      </c>
      <c r="T25" s="770" t="s">
        <v>17</v>
      </c>
      <c r="U25" s="771">
        <f>H25</f>
        <v>100</v>
      </c>
      <c r="V25" s="770" t="s">
        <v>17</v>
      </c>
      <c r="W25" s="771">
        <f>J25</f>
        <v>100</v>
      </c>
      <c r="X25" s="772"/>
      <c r="Y25" s="3278"/>
      <c r="Z25" s="55">
        <f>Q25</f>
        <v>111</v>
      </c>
      <c r="AA25" s="1810">
        <f>D25/F25</f>
        <v>1</v>
      </c>
      <c r="AB25" s="1810">
        <f>D25/H25</f>
        <v>1</v>
      </c>
      <c r="AC25" s="1810">
        <f>D25/J25</f>
        <v>1</v>
      </c>
    </row>
    <row r="26" spans="1:29" ht="28.5">
      <c r="A26" s="652" t="s">
        <v>2551</v>
      </c>
      <c r="B26" s="70" t="s">
        <v>2699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9"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0" t="s">
        <v>2553</v>
      </c>
      <c r="Z26" s="1813" t="str">
        <f t="shared" ref="Z26:Z36" si="15">Q26</f>
        <v>配套类型</v>
      </c>
      <c r="AA26" s="1810">
        <f t="shared" si="3"/>
        <v>1</v>
      </c>
      <c r="AB26" s="1810">
        <f t="shared" si="4"/>
        <v>1</v>
      </c>
      <c r="AC26" s="1810">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0"/>
      <c r="Q27" s="776" t="str">
        <f t="shared" si="11"/>
        <v>项目停车位配比</v>
      </c>
      <c r="R27" s="777" t="s">
        <v>17</v>
      </c>
      <c r="S27" s="778">
        <f t="shared" si="12"/>
        <v>100</v>
      </c>
      <c r="T27" s="777" t="s">
        <v>17</v>
      </c>
      <c r="U27" s="778">
        <f t="shared" si="13"/>
        <v>100</v>
      </c>
      <c r="V27" s="777" t="s">
        <v>17</v>
      </c>
      <c r="W27" s="778">
        <f t="shared" si="14"/>
        <v>100</v>
      </c>
      <c r="X27" s="779"/>
      <c r="Y27" s="3280"/>
      <c r="Z27" s="780" t="str">
        <f t="shared" si="15"/>
        <v>项目停车位配比</v>
      </c>
      <c r="AA27" s="1810">
        <f t="shared" si="3"/>
        <v>1</v>
      </c>
      <c r="AB27" s="1810">
        <f t="shared" si="4"/>
        <v>1</v>
      </c>
      <c r="AC27" s="1810">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0"/>
      <c r="Q28" s="1809" t="str">
        <f t="shared" si="11"/>
        <v>公共部分装修</v>
      </c>
      <c r="R28" s="774" t="s">
        <v>17</v>
      </c>
      <c r="S28" s="775">
        <f t="shared" si="12"/>
        <v>100</v>
      </c>
      <c r="T28" s="774" t="s">
        <v>17</v>
      </c>
      <c r="U28" s="775">
        <f t="shared" si="13"/>
        <v>100</v>
      </c>
      <c r="V28" s="774" t="s">
        <v>17</v>
      </c>
      <c r="W28" s="775">
        <f t="shared" si="14"/>
        <v>100</v>
      </c>
      <c r="X28" s="1812"/>
      <c r="Y28" s="3280"/>
      <c r="Z28" s="1813" t="str">
        <f t="shared" si="15"/>
        <v>公共部分装修</v>
      </c>
      <c r="AA28" s="1810">
        <f t="shared" si="3"/>
        <v>1</v>
      </c>
      <c r="AB28" s="1810">
        <f t="shared" si="4"/>
        <v>1</v>
      </c>
      <c r="AC28" s="1810">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0"/>
      <c r="Q29" s="1809" t="str">
        <f t="shared" si="11"/>
        <v>成新率</v>
      </c>
      <c r="R29" s="774" t="s">
        <v>17</v>
      </c>
      <c r="S29" s="775" t="e">
        <f t="shared" si="12"/>
        <v>#N/A</v>
      </c>
      <c r="T29" s="774" t="s">
        <v>17</v>
      </c>
      <c r="U29" s="775" t="e">
        <f t="shared" si="13"/>
        <v>#N/A</v>
      </c>
      <c r="V29" s="774" t="s">
        <v>17</v>
      </c>
      <c r="W29" s="775" t="e">
        <f t="shared" si="14"/>
        <v>#N/A</v>
      </c>
      <c r="X29" s="1812"/>
      <c r="Y29" s="3280"/>
      <c r="Z29" s="1813" t="str">
        <f t="shared" si="15"/>
        <v>成新率</v>
      </c>
      <c r="AA29" s="1810" t="e">
        <f t="shared" si="3"/>
        <v>#N/A</v>
      </c>
      <c r="AB29" s="1810" t="e">
        <f t="shared" si="4"/>
        <v>#N/A</v>
      </c>
      <c r="AC29" s="1810"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0"/>
      <c r="Q30" s="1809" t="str">
        <f t="shared" si="11"/>
        <v>物业等级</v>
      </c>
      <c r="R30" s="774" t="s">
        <v>17</v>
      </c>
      <c r="S30" s="775">
        <f t="shared" si="12"/>
        <v>100</v>
      </c>
      <c r="T30" s="774" t="s">
        <v>17</v>
      </c>
      <c r="U30" s="775">
        <f t="shared" si="13"/>
        <v>100</v>
      </c>
      <c r="V30" s="774" t="s">
        <v>17</v>
      </c>
      <c r="W30" s="775">
        <f t="shared" si="14"/>
        <v>100</v>
      </c>
      <c r="X30" s="1812"/>
      <c r="Y30" s="3280"/>
      <c r="Z30" s="1813" t="str">
        <f t="shared" si="15"/>
        <v>物业等级</v>
      </c>
      <c r="AA30" s="1810">
        <f t="shared" si="3"/>
        <v>1</v>
      </c>
      <c r="AB30" s="1810">
        <f t="shared" si="4"/>
        <v>1</v>
      </c>
      <c r="AC30" s="1810">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0"/>
      <c r="Q31" s="1794" t="str">
        <f t="shared" si="11"/>
        <v>停车位面积</v>
      </c>
      <c r="R31" s="770" t="s">
        <v>17</v>
      </c>
      <c r="S31" s="771" t="e">
        <f t="shared" si="12"/>
        <v>#N/A</v>
      </c>
      <c r="T31" s="770" t="s">
        <v>17</v>
      </c>
      <c r="U31" s="771" t="e">
        <f t="shared" si="13"/>
        <v>#N/A</v>
      </c>
      <c r="V31" s="770" t="s">
        <v>17</v>
      </c>
      <c r="W31" s="771" t="e">
        <f t="shared" si="14"/>
        <v>#N/A</v>
      </c>
      <c r="X31" s="772"/>
      <c r="Y31" s="328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0" t="s">
        <v>2553</v>
      </c>
      <c r="Q32" s="1809" t="str">
        <f t="shared" si="11"/>
        <v>车位类型</v>
      </c>
      <c r="R32" s="774" t="s">
        <v>17</v>
      </c>
      <c r="S32" s="775">
        <f t="shared" si="12"/>
        <v>100</v>
      </c>
      <c r="T32" s="774" t="s">
        <v>17</v>
      </c>
      <c r="U32" s="775">
        <f t="shared" si="13"/>
        <v>100</v>
      </c>
      <c r="V32" s="774" t="s">
        <v>17</v>
      </c>
      <c r="W32" s="775">
        <f t="shared" si="14"/>
        <v>100</v>
      </c>
      <c r="X32" s="1812"/>
      <c r="Y32" s="3280" t="s">
        <v>2553</v>
      </c>
      <c r="Z32" s="1813" t="str">
        <f t="shared" si="15"/>
        <v>车位类型</v>
      </c>
      <c r="AA32" s="1810">
        <f t="shared" si="3"/>
        <v>1</v>
      </c>
      <c r="AB32" s="1810">
        <f t="shared" si="4"/>
        <v>1</v>
      </c>
      <c r="AC32" s="1810">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0"/>
      <c r="Q33" s="1809" t="str">
        <f t="shared" si="11"/>
        <v>是否直接入户</v>
      </c>
      <c r="R33" s="774" t="s">
        <v>17</v>
      </c>
      <c r="S33" s="775">
        <f t="shared" si="12"/>
        <v>100</v>
      </c>
      <c r="T33" s="774" t="s">
        <v>17</v>
      </c>
      <c r="U33" s="775">
        <f t="shared" si="13"/>
        <v>100</v>
      </c>
      <c r="V33" s="774" t="s">
        <v>17</v>
      </c>
      <c r="W33" s="775">
        <f t="shared" si="14"/>
        <v>100</v>
      </c>
      <c r="X33" s="1812"/>
      <c r="Y33" s="328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0"/>
      <c r="Q34" s="1809">
        <f t="shared" si="11"/>
        <v>111</v>
      </c>
      <c r="R34" s="774" t="s">
        <v>17</v>
      </c>
      <c r="S34" s="775">
        <f t="shared" si="12"/>
        <v>100</v>
      </c>
      <c r="T34" s="774" t="s">
        <v>17</v>
      </c>
      <c r="U34" s="775">
        <f t="shared" si="13"/>
        <v>100</v>
      </c>
      <c r="V34" s="774" t="s">
        <v>17</v>
      </c>
      <c r="W34" s="775">
        <f t="shared" si="14"/>
        <v>100</v>
      </c>
      <c r="X34" s="1812"/>
      <c r="Y34" s="328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0"/>
      <c r="Q35" s="776">
        <f t="shared" si="11"/>
        <v>111</v>
      </c>
      <c r="R35" s="777" t="s">
        <v>17</v>
      </c>
      <c r="S35" s="778">
        <f t="shared" si="12"/>
        <v>100</v>
      </c>
      <c r="T35" s="777" t="s">
        <v>17</v>
      </c>
      <c r="U35" s="778">
        <f t="shared" si="13"/>
        <v>100</v>
      </c>
      <c r="V35" s="777" t="s">
        <v>17</v>
      </c>
      <c r="W35" s="778">
        <f t="shared" si="14"/>
        <v>100</v>
      </c>
      <c r="X35" s="779"/>
      <c r="Y35" s="328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0"/>
      <c r="Q36" s="1809">
        <f t="shared" si="11"/>
        <v>111</v>
      </c>
      <c r="R36" s="774" t="s">
        <v>17</v>
      </c>
      <c r="S36" s="775">
        <f t="shared" si="12"/>
        <v>100</v>
      </c>
      <c r="T36" s="774" t="s">
        <v>17</v>
      </c>
      <c r="U36" s="775">
        <f t="shared" si="13"/>
        <v>100</v>
      </c>
      <c r="V36" s="774" t="s">
        <v>17</v>
      </c>
      <c r="W36" s="775">
        <f t="shared" si="14"/>
        <v>100</v>
      </c>
      <c r="X36" s="1812"/>
      <c r="Y36" s="3280"/>
      <c r="Z36" s="1813">
        <f t="shared" si="15"/>
        <v>111</v>
      </c>
      <c r="AA36" s="1810">
        <f t="shared" si="3"/>
        <v>1</v>
      </c>
      <c r="AB36" s="1810">
        <f t="shared" si="4"/>
        <v>1</v>
      </c>
      <c r="AC36" s="1810">
        <f t="shared" si="5"/>
        <v>1</v>
      </c>
    </row>
    <row r="37" spans="1:29" ht="15">
      <c r="A37" s="479" t="s">
        <v>2707</v>
      </c>
      <c r="B37" s="2693" t="s">
        <v>2708</v>
      </c>
      <c r="C37" s="1407" t="s">
        <v>1</v>
      </c>
      <c r="D37" s="1408"/>
      <c r="E37" s="1409"/>
      <c r="F37" s="1410"/>
      <c r="G37" s="1411"/>
      <c r="H37" s="1412"/>
      <c r="I37" s="1409"/>
      <c r="J37" s="1412"/>
      <c r="K37" s="619"/>
      <c r="L37" s="1143"/>
      <c r="M37" s="1144"/>
      <c r="N37" s="1131"/>
      <c r="O37" s="1144"/>
      <c r="P37" s="3262" t="str">
        <f>A37</f>
        <v>成交单价</v>
      </c>
      <c r="Q37" s="3262"/>
      <c r="R37" s="3327">
        <f>E37</f>
        <v>0</v>
      </c>
      <c r="S37" s="3327"/>
      <c r="T37" s="3327">
        <f>G37</f>
        <v>0</v>
      </c>
      <c r="U37" s="3327"/>
      <c r="V37" s="3327">
        <f>I37</f>
        <v>0</v>
      </c>
      <c r="W37" s="3327"/>
      <c r="X37" s="759"/>
      <c r="Y37" s="781"/>
      <c r="Z37" s="759"/>
      <c r="AA37" s="759"/>
      <c r="AB37" s="759"/>
      <c r="AC37" s="759"/>
    </row>
    <row r="38" spans="1:29" ht="15.7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2" t="str">
        <f>A38</f>
        <v>比较价值（元/平方米）</v>
      </c>
      <c r="Q38" s="3262"/>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59"/>
      <c r="Y38" s="759"/>
      <c r="Z38" s="759"/>
      <c r="AA38" s="759"/>
      <c r="AB38" s="759"/>
      <c r="AC38" s="759"/>
    </row>
    <row r="39" spans="1:29" ht="15.75" thickBot="1">
      <c r="A39" s="492" t="s">
        <v>2710</v>
      </c>
      <c r="B39" s="493"/>
      <c r="C39" s="1417" t="e">
        <f>R39</f>
        <v>#DIV/0!</v>
      </c>
      <c r="D39" s="1417"/>
      <c r="E39" s="1417"/>
      <c r="F39" s="1417"/>
      <c r="G39" s="1417"/>
      <c r="H39" s="1417"/>
      <c r="I39" s="1417"/>
      <c r="J39" s="1417"/>
      <c r="K39" s="621"/>
      <c r="L39" s="1143"/>
      <c r="M39" s="1144"/>
      <c r="N39" s="1144"/>
      <c r="O39" s="1144"/>
      <c r="P39" s="3282" t="str">
        <f>A39</f>
        <v>估价对象XX用房的比较价值（楼面单价，元/平方米）</v>
      </c>
      <c r="Q39" s="3283"/>
      <c r="R39" s="3326" t="e">
        <f>IF(F1="售价",ROUND(AVERAGE(R38:V38),0),ROUND(AVERAGE(R38:V38),1))</f>
        <v>#DIV/0!</v>
      </c>
      <c r="S39" s="3326"/>
      <c r="T39" s="3326"/>
      <c r="U39" s="3326"/>
      <c r="V39" s="3326"/>
      <c r="W39" s="33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2715</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2575</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46" t="s">
        <v>2635</v>
      </c>
      <c r="AC4" s="3245" t="s">
        <v>2636</v>
      </c>
    </row>
    <row r="5" spans="1:29" ht="15">
      <c r="A5" s="404"/>
      <c r="B5" s="405"/>
      <c r="C5" s="3336" t="s">
        <v>2530</v>
      </c>
      <c r="D5" s="3337"/>
      <c r="E5" s="3334" t="s">
        <v>2531</v>
      </c>
      <c r="F5" s="3335"/>
      <c r="G5" s="3336" t="s">
        <v>2532</v>
      </c>
      <c r="H5" s="3337"/>
      <c r="I5" s="3336" t="s">
        <v>2533</v>
      </c>
      <c r="J5" s="3337"/>
      <c r="K5" s="610"/>
      <c r="L5" s="1130"/>
      <c r="M5" s="1131"/>
      <c r="N5" s="1131"/>
      <c r="O5" s="1131"/>
      <c r="P5" s="3269"/>
      <c r="Q5" s="3270"/>
      <c r="R5" s="3252"/>
      <c r="S5" s="3253"/>
      <c r="T5" s="3252"/>
      <c r="U5" s="3253"/>
      <c r="V5" s="3275"/>
      <c r="W5" s="3275"/>
      <c r="X5" s="1812"/>
      <c r="Y5" s="3252"/>
      <c r="Z5" s="3253"/>
      <c r="AA5" s="3246"/>
      <c r="AB5" s="3246"/>
      <c r="AC5" s="3246"/>
    </row>
    <row r="6" spans="1:29" ht="15.75" thickBot="1">
      <c r="A6" s="406"/>
      <c r="B6" s="407"/>
      <c r="C6" s="3338" t="s">
        <v>2534</v>
      </c>
      <c r="D6" s="3339"/>
      <c r="E6" s="3340" t="s">
        <v>2534</v>
      </c>
      <c r="F6" s="3341"/>
      <c r="G6" s="3338" t="s">
        <v>2534</v>
      </c>
      <c r="H6" s="3339"/>
      <c r="I6" s="3338" t="s">
        <v>2534</v>
      </c>
      <c r="J6" s="3339"/>
      <c r="K6" s="610" t="s">
        <v>2535</v>
      </c>
      <c r="L6" s="1130"/>
      <c r="M6" s="1131"/>
      <c r="N6" s="1131"/>
      <c r="O6" s="1131"/>
      <c r="P6" s="3271"/>
      <c r="Q6" s="3272"/>
      <c r="R6" s="3252"/>
      <c r="S6" s="3253"/>
      <c r="T6" s="3273"/>
      <c r="U6" s="3274"/>
      <c r="V6" s="3275"/>
      <c r="W6" s="3275"/>
      <c r="X6" s="1812"/>
      <c r="Y6" s="3273"/>
      <c r="Z6" s="3274"/>
      <c r="AA6" s="3247"/>
      <c r="AB6" s="3247"/>
      <c r="AC6" s="3247"/>
    </row>
    <row r="7" spans="1:29" s="117" customFormat="1" ht="15.75" thickBot="1">
      <c r="A7" s="408" t="s">
        <v>2536</v>
      </c>
      <c r="B7" s="409"/>
      <c r="C7" s="410">
        <f>'数据-取费表'!B2</f>
        <v>43598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48" t="s">
        <v>2537</v>
      </c>
      <c r="Q7" s="3276"/>
      <c r="R7" s="770" t="s">
        <v>17</v>
      </c>
      <c r="S7" s="771">
        <f t="shared" ref="S7:S14" si="0">F7</f>
        <v>0</v>
      </c>
      <c r="T7" s="770" t="s">
        <v>17</v>
      </c>
      <c r="U7" s="771">
        <f t="shared" ref="U7:U14" si="1">H7</f>
        <v>0</v>
      </c>
      <c r="V7" s="770" t="s">
        <v>17</v>
      </c>
      <c r="W7" s="771">
        <f t="shared" ref="W7:W14" si="2">J7</f>
        <v>0</v>
      </c>
      <c r="X7" s="772"/>
      <c r="Y7" s="3248" t="s">
        <v>2537</v>
      </c>
      <c r="Z7" s="3249"/>
      <c r="AA7" s="773" t="e">
        <f>D7/F7</f>
        <v>#DIV/0!</v>
      </c>
      <c r="AB7" s="773" t="e">
        <f>D7/H7</f>
        <v>#DIV/0!</v>
      </c>
      <c r="AC7" s="773" t="e">
        <f>D7/J7</f>
        <v>#DIV/0!</v>
      </c>
    </row>
    <row r="8" spans="1:29" s="117" customFormat="1" ht="15.75" thickBot="1">
      <c r="A8" s="408" t="s">
        <v>2538</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8" t="s">
        <v>2540</v>
      </c>
      <c r="Q8" s="3249"/>
      <c r="R8" s="770" t="s">
        <v>17</v>
      </c>
      <c r="S8" s="771">
        <f t="shared" si="0"/>
        <v>0</v>
      </c>
      <c r="T8" s="770" t="s">
        <v>17</v>
      </c>
      <c r="U8" s="771">
        <f t="shared" si="1"/>
        <v>0</v>
      </c>
      <c r="V8" s="770" t="s">
        <v>17</v>
      </c>
      <c r="W8" s="771">
        <f t="shared" si="2"/>
        <v>0</v>
      </c>
      <c r="X8" s="772"/>
      <c r="Y8" s="3248" t="s">
        <v>2540</v>
      </c>
      <c r="Z8" s="3249"/>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2" t="s">
        <v>2543</v>
      </c>
      <c r="Q9" s="1794" t="str">
        <f t="shared" ref="Q9:Q14" si="6">B9</f>
        <v>用途</v>
      </c>
      <c r="R9" s="770" t="s">
        <v>17</v>
      </c>
      <c r="S9" s="771">
        <f t="shared" si="0"/>
        <v>100</v>
      </c>
      <c r="T9" s="770" t="s">
        <v>17</v>
      </c>
      <c r="U9" s="771">
        <f t="shared" si="1"/>
        <v>100</v>
      </c>
      <c r="V9" s="770" t="s">
        <v>17</v>
      </c>
      <c r="W9" s="771">
        <f t="shared" si="2"/>
        <v>100</v>
      </c>
      <c r="X9" s="772"/>
      <c r="Y9" s="3117"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2"/>
      <c r="Q10" s="1794" t="str">
        <f t="shared" si="6"/>
        <v>土地使用年限（年）</v>
      </c>
      <c r="R10" s="770" t="s">
        <v>17</v>
      </c>
      <c r="S10" s="771">
        <f t="shared" si="0"/>
        <v>100</v>
      </c>
      <c r="T10" s="770" t="s">
        <v>17</v>
      </c>
      <c r="U10" s="771">
        <f t="shared" si="1"/>
        <v>100</v>
      </c>
      <c r="V10" s="770" t="s">
        <v>17</v>
      </c>
      <c r="W10" s="771">
        <f t="shared" si="2"/>
        <v>100</v>
      </c>
      <c r="X10" s="772"/>
      <c r="Y10" s="311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2"/>
      <c r="Q11" s="1794">
        <f t="shared" si="6"/>
        <v>111</v>
      </c>
      <c r="R11" s="770" t="s">
        <v>17</v>
      </c>
      <c r="S11" s="771">
        <f t="shared" si="0"/>
        <v>100</v>
      </c>
      <c r="T11" s="770" t="s">
        <v>17</v>
      </c>
      <c r="U11" s="771">
        <f t="shared" si="1"/>
        <v>100</v>
      </c>
      <c r="V11" s="770" t="s">
        <v>17</v>
      </c>
      <c r="W11" s="771">
        <f t="shared" si="2"/>
        <v>100</v>
      </c>
      <c r="X11" s="772"/>
      <c r="Y11" s="311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2"/>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2"/>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773">
        <f t="shared" si="5"/>
        <v>1</v>
      </c>
    </row>
    <row r="14" spans="1:29" ht="15">
      <c r="A14" s="440" t="s">
        <v>2547</v>
      </c>
      <c r="B14" s="69" t="s">
        <v>2696</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7" t="s">
        <v>2548</v>
      </c>
      <c r="Q14" s="1809" t="str">
        <f t="shared" si="6"/>
        <v>交通便捷度</v>
      </c>
      <c r="R14" s="774" t="s">
        <v>17</v>
      </c>
      <c r="S14" s="775">
        <f t="shared" si="0"/>
        <v>100</v>
      </c>
      <c r="T14" s="774" t="s">
        <v>17</v>
      </c>
      <c r="U14" s="775">
        <f t="shared" si="1"/>
        <v>100</v>
      </c>
      <c r="V14" s="774" t="s">
        <v>17</v>
      </c>
      <c r="W14" s="775">
        <f t="shared" si="2"/>
        <v>100</v>
      </c>
      <c r="X14" s="1812"/>
      <c r="Y14" s="3277"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8"/>
      <c r="Q15" s="1809"/>
      <c r="R15" s="774"/>
      <c r="S15" s="775"/>
      <c r="T15" s="774"/>
      <c r="U15" s="775"/>
      <c r="V15" s="774"/>
      <c r="W15" s="775"/>
      <c r="X15" s="1812"/>
      <c r="Y15" s="3278"/>
      <c r="Z15" s="1813"/>
      <c r="AA15" s="1810">
        <v>1</v>
      </c>
      <c r="AB15" s="1810">
        <v>1</v>
      </c>
      <c r="AC15" s="1810">
        <v>1</v>
      </c>
    </row>
    <row r="16" spans="1:29" ht="15">
      <c r="A16" s="428"/>
      <c r="B16" s="451" t="s">
        <v>2675</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8"/>
      <c r="Q16" s="1809" t="str">
        <f>B16</f>
        <v>公共配套设施</v>
      </c>
      <c r="R16" s="774" t="s">
        <v>17</v>
      </c>
      <c r="S16" s="775">
        <f>F16</f>
        <v>100</v>
      </c>
      <c r="T16" s="774" t="s">
        <v>17</v>
      </c>
      <c r="U16" s="775">
        <f>H16</f>
        <v>100</v>
      </c>
      <c r="V16" s="774" t="s">
        <v>17</v>
      </c>
      <c r="W16" s="775">
        <f>J16</f>
        <v>100</v>
      </c>
      <c r="X16" s="1812"/>
      <c r="Y16" s="3278"/>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78"/>
      <c r="Q17" s="1809"/>
      <c r="R17" s="774"/>
      <c r="S17" s="775"/>
      <c r="T17" s="774"/>
      <c r="U17" s="775"/>
      <c r="V17" s="774"/>
      <c r="W17" s="775"/>
      <c r="X17" s="1812"/>
      <c r="Y17" s="3278"/>
      <c r="Z17" s="1813"/>
      <c r="AA17" s="1810">
        <v>1</v>
      </c>
      <c r="AB17" s="1810">
        <v>1</v>
      </c>
      <c r="AC17" s="1810">
        <v>1</v>
      </c>
    </row>
    <row r="18" spans="1:29" ht="15">
      <c r="A18" s="428"/>
      <c r="B18" s="1384" t="s">
        <v>2676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8"/>
      <c r="Q18" s="1809" t="str">
        <f>B18</f>
        <v>基础设施水平</v>
      </c>
      <c r="R18" s="774" t="s">
        <v>17</v>
      </c>
      <c r="S18" s="775">
        <f>F18</f>
        <v>100</v>
      </c>
      <c r="T18" s="774" t="s">
        <v>17</v>
      </c>
      <c r="U18" s="775">
        <f>H18</f>
        <v>100</v>
      </c>
      <c r="V18" s="774" t="s">
        <v>17</v>
      </c>
      <c r="W18" s="775">
        <f>J18</f>
        <v>100</v>
      </c>
      <c r="X18" s="1812"/>
      <c r="Y18" s="3278"/>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78"/>
      <c r="Q19" s="1809"/>
      <c r="R19" s="774"/>
      <c r="S19" s="775"/>
      <c r="T19" s="774"/>
      <c r="U19" s="775"/>
      <c r="V19" s="774"/>
      <c r="W19" s="775"/>
      <c r="X19" s="1812"/>
      <c r="Y19" s="3278"/>
      <c r="Z19" s="1813"/>
      <c r="AA19" s="1810">
        <v>1</v>
      </c>
      <c r="AB19" s="1810">
        <v>1</v>
      </c>
      <c r="AC19" s="1810">
        <v>1</v>
      </c>
    </row>
    <row r="20" spans="1:29" ht="15">
      <c r="A20" s="428"/>
      <c r="B20" s="451" t="s">
        <v>2697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8"/>
      <c r="Q20" s="1809" t="str">
        <f>B20</f>
        <v>自然及人文环境</v>
      </c>
      <c r="R20" s="774" t="s">
        <v>17</v>
      </c>
      <c r="S20" s="775">
        <f>F20</f>
        <v>100</v>
      </c>
      <c r="T20" s="774" t="s">
        <v>17</v>
      </c>
      <c r="U20" s="775">
        <f>H20</f>
        <v>100</v>
      </c>
      <c r="V20" s="774" t="s">
        <v>17</v>
      </c>
      <c r="W20" s="775">
        <f>J20</f>
        <v>100</v>
      </c>
      <c r="X20" s="1812"/>
      <c r="Y20" s="327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8"/>
      <c r="Q21" s="1809"/>
      <c r="R21" s="774"/>
      <c r="S21" s="775"/>
      <c r="T21" s="774"/>
      <c r="U21" s="775"/>
      <c r="V21" s="774"/>
      <c r="W21" s="775"/>
      <c r="X21" s="1812"/>
      <c r="Y21" s="3278"/>
      <c r="Z21" s="1813"/>
      <c r="AA21" s="1810">
        <v>1</v>
      </c>
      <c r="AB21" s="1810">
        <v>1</v>
      </c>
      <c r="AC21" s="1810">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8"/>
      <c r="Q22" s="1809" t="str">
        <f>B22</f>
        <v>楼层</v>
      </c>
      <c r="R22" s="774" t="s">
        <v>17</v>
      </c>
      <c r="S22" s="775">
        <f>F22</f>
        <v>100</v>
      </c>
      <c r="T22" s="774" t="s">
        <v>17</v>
      </c>
      <c r="U22" s="775">
        <f>H22</f>
        <v>100</v>
      </c>
      <c r="V22" s="774" t="s">
        <v>17</v>
      </c>
      <c r="W22" s="775">
        <f>J22</f>
        <v>100</v>
      </c>
      <c r="X22" s="1812"/>
      <c r="Y22" s="3278"/>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8"/>
      <c r="Q23" s="1809">
        <f>B23</f>
        <v>111</v>
      </c>
      <c r="R23" s="774" t="s">
        <v>17</v>
      </c>
      <c r="S23" s="775">
        <f>F23</f>
        <v>100</v>
      </c>
      <c r="T23" s="774" t="s">
        <v>17</v>
      </c>
      <c r="U23" s="775">
        <f>H23</f>
        <v>100</v>
      </c>
      <c r="V23" s="774" t="s">
        <v>17</v>
      </c>
      <c r="W23" s="775">
        <f>J23</f>
        <v>100</v>
      </c>
      <c r="X23" s="1812"/>
      <c r="Y23" s="3278"/>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8"/>
      <c r="Q24" s="1809">
        <f t="shared" ref="Q24:Q34" si="11">B24</f>
        <v>111</v>
      </c>
      <c r="R24" s="774" t="s">
        <v>17</v>
      </c>
      <c r="S24" s="775">
        <f>F24</f>
        <v>100</v>
      </c>
      <c r="T24" s="774" t="s">
        <v>17</v>
      </c>
      <c r="U24" s="775">
        <f>H24</f>
        <v>100</v>
      </c>
      <c r="V24" s="774" t="s">
        <v>17</v>
      </c>
      <c r="W24" s="775">
        <f>J24</f>
        <v>100</v>
      </c>
      <c r="X24" s="1812"/>
      <c r="Y24" s="3278"/>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78"/>
      <c r="Q25" s="1794">
        <f t="shared" si="11"/>
        <v>111</v>
      </c>
      <c r="R25" s="770" t="s">
        <v>17</v>
      </c>
      <c r="S25" s="771">
        <f>F25</f>
        <v>100</v>
      </c>
      <c r="T25" s="770" t="s">
        <v>17</v>
      </c>
      <c r="U25" s="771">
        <f>H25</f>
        <v>100</v>
      </c>
      <c r="V25" s="770" t="s">
        <v>17</v>
      </c>
      <c r="W25" s="771">
        <f>J25</f>
        <v>100</v>
      </c>
      <c r="X25" s="772"/>
      <c r="Y25" s="3278"/>
      <c r="Z25" s="55">
        <f>Q25</f>
        <v>111</v>
      </c>
      <c r="AA25" s="1810">
        <f>D25/F25</f>
        <v>1</v>
      </c>
      <c r="AB25" s="1810">
        <f>D25/H25</f>
        <v>1</v>
      </c>
      <c r="AC25" s="1810">
        <f>D25/J25</f>
        <v>1</v>
      </c>
    </row>
    <row r="26" spans="1:29" ht="28.5">
      <c r="A26" s="466" t="s">
        <v>2551</v>
      </c>
      <c r="B26" s="71" t="s">
        <v>2701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79"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0" t="s">
        <v>2553</v>
      </c>
      <c r="Z26" s="1813" t="str">
        <f t="shared" ref="Z26:Z34" si="15">Q26</f>
        <v>公共部分装修</v>
      </c>
      <c r="AA26" s="1810">
        <f t="shared" si="3"/>
        <v>1</v>
      </c>
      <c r="AB26" s="1810">
        <f t="shared" si="4"/>
        <v>1</v>
      </c>
      <c r="AC26" s="1810">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0"/>
      <c r="Q27" s="776" t="str">
        <f t="shared" si="11"/>
        <v>成新率</v>
      </c>
      <c r="R27" s="777" t="s">
        <v>17</v>
      </c>
      <c r="S27" s="778" t="e">
        <f t="shared" si="12"/>
        <v>#N/A</v>
      </c>
      <c r="T27" s="777" t="s">
        <v>17</v>
      </c>
      <c r="U27" s="778" t="e">
        <f t="shared" si="13"/>
        <v>#N/A</v>
      </c>
      <c r="V27" s="777" t="s">
        <v>17</v>
      </c>
      <c r="W27" s="778" t="e">
        <f t="shared" si="14"/>
        <v>#N/A</v>
      </c>
      <c r="X27" s="779"/>
      <c r="Y27" s="3280"/>
      <c r="Z27" s="780" t="str">
        <f t="shared" si="15"/>
        <v>成新率</v>
      </c>
      <c r="AA27" s="1810" t="e">
        <f t="shared" si="3"/>
        <v>#N/A</v>
      </c>
      <c r="AB27" s="1810" t="e">
        <f t="shared" si="4"/>
        <v>#N/A</v>
      </c>
      <c r="AC27" s="1810"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0"/>
      <c r="Q28" s="1809" t="str">
        <f t="shared" si="11"/>
        <v>物业等级</v>
      </c>
      <c r="R28" s="774" t="s">
        <v>17</v>
      </c>
      <c r="S28" s="775">
        <f t="shared" si="12"/>
        <v>100</v>
      </c>
      <c r="T28" s="774" t="s">
        <v>17</v>
      </c>
      <c r="U28" s="775">
        <f t="shared" si="13"/>
        <v>100</v>
      </c>
      <c r="V28" s="774" t="s">
        <v>17</v>
      </c>
      <c r="W28" s="775">
        <f t="shared" si="14"/>
        <v>100</v>
      </c>
      <c r="X28" s="1812"/>
      <c r="Y28" s="3280"/>
      <c r="Z28" s="1813" t="str">
        <f t="shared" si="15"/>
        <v>物业等级</v>
      </c>
      <c r="AA28" s="1810">
        <f t="shared" si="3"/>
        <v>1</v>
      </c>
      <c r="AB28" s="1810">
        <f t="shared" si="4"/>
        <v>1</v>
      </c>
      <c r="AC28" s="1810">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0"/>
      <c r="Q29" s="1809" t="str">
        <f t="shared" si="11"/>
        <v>有无电梯</v>
      </c>
      <c r="R29" s="774" t="s">
        <v>17</v>
      </c>
      <c r="S29" s="775">
        <f t="shared" si="12"/>
        <v>100</v>
      </c>
      <c r="T29" s="774" t="s">
        <v>17</v>
      </c>
      <c r="U29" s="775">
        <f t="shared" si="13"/>
        <v>100</v>
      </c>
      <c r="V29" s="774" t="s">
        <v>17</v>
      </c>
      <c r="W29" s="775">
        <f t="shared" si="14"/>
        <v>100</v>
      </c>
      <c r="X29" s="1812"/>
      <c r="Y29" s="3280"/>
      <c r="Z29" s="1813" t="str">
        <f t="shared" si="15"/>
        <v>有无电梯</v>
      </c>
      <c r="AA29" s="1810">
        <f t="shared" si="3"/>
        <v>1</v>
      </c>
      <c r="AB29" s="1810">
        <f t="shared" si="4"/>
        <v>1</v>
      </c>
      <c r="AC29" s="1810">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0"/>
      <c r="Q30" s="1809" t="str">
        <f t="shared" si="11"/>
        <v>建筑面积</v>
      </c>
      <c r="R30" s="774" t="s">
        <v>17</v>
      </c>
      <c r="S30" s="775" t="e">
        <f t="shared" si="12"/>
        <v>#N/A</v>
      </c>
      <c r="T30" s="774" t="s">
        <v>17</v>
      </c>
      <c r="U30" s="775" t="e">
        <f t="shared" si="13"/>
        <v>#N/A</v>
      </c>
      <c r="V30" s="774" t="s">
        <v>17</v>
      </c>
      <c r="W30" s="775" t="e">
        <f t="shared" si="14"/>
        <v>#N/A</v>
      </c>
      <c r="X30" s="1812"/>
      <c r="Y30" s="3280"/>
      <c r="Z30" s="1813" t="str">
        <f t="shared" si="15"/>
        <v>建筑面积</v>
      </c>
      <c r="AA30" s="1810" t="e">
        <f t="shared" si="3"/>
        <v>#N/A</v>
      </c>
      <c r="AB30" s="1810" t="e">
        <f t="shared" si="4"/>
        <v>#N/A</v>
      </c>
      <c r="AC30" s="1810"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0"/>
      <c r="Q31" s="1794" t="str">
        <f t="shared" si="11"/>
        <v>是否封闭</v>
      </c>
      <c r="R31" s="770" t="s">
        <v>17</v>
      </c>
      <c r="S31" s="771">
        <f t="shared" si="12"/>
        <v>100</v>
      </c>
      <c r="T31" s="770" t="s">
        <v>17</v>
      </c>
      <c r="U31" s="771">
        <f t="shared" si="13"/>
        <v>100</v>
      </c>
      <c r="V31" s="770" t="s">
        <v>17</v>
      </c>
      <c r="W31" s="771">
        <f t="shared" si="14"/>
        <v>100</v>
      </c>
      <c r="X31" s="772"/>
      <c r="Y31" s="328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0" t="s">
        <v>2553</v>
      </c>
      <c r="Q32" s="1809">
        <f t="shared" si="11"/>
        <v>111</v>
      </c>
      <c r="R32" s="774" t="s">
        <v>17</v>
      </c>
      <c r="S32" s="775">
        <f t="shared" si="12"/>
        <v>100</v>
      </c>
      <c r="T32" s="774" t="s">
        <v>17</v>
      </c>
      <c r="U32" s="775">
        <f t="shared" si="13"/>
        <v>100</v>
      </c>
      <c r="V32" s="774" t="s">
        <v>17</v>
      </c>
      <c r="W32" s="775">
        <f t="shared" si="14"/>
        <v>100</v>
      </c>
      <c r="X32" s="1812"/>
      <c r="Y32" s="3280"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0"/>
      <c r="Q33" s="1809">
        <f t="shared" si="11"/>
        <v>111</v>
      </c>
      <c r="R33" s="774" t="s">
        <v>17</v>
      </c>
      <c r="S33" s="775">
        <f t="shared" si="12"/>
        <v>100</v>
      </c>
      <c r="T33" s="774" t="s">
        <v>17</v>
      </c>
      <c r="U33" s="775">
        <f t="shared" si="13"/>
        <v>100</v>
      </c>
      <c r="V33" s="774" t="s">
        <v>17</v>
      </c>
      <c r="W33" s="775">
        <f t="shared" si="14"/>
        <v>100</v>
      </c>
      <c r="X33" s="1812"/>
      <c r="Y33" s="3280"/>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80"/>
      <c r="Q34" s="1809">
        <f t="shared" si="11"/>
        <v>111</v>
      </c>
      <c r="R34" s="774" t="s">
        <v>17</v>
      </c>
      <c r="S34" s="775">
        <f t="shared" si="12"/>
        <v>100</v>
      </c>
      <c r="T34" s="774" t="s">
        <v>17</v>
      </c>
      <c r="U34" s="775">
        <f t="shared" si="13"/>
        <v>100</v>
      </c>
      <c r="V34" s="774" t="s">
        <v>17</v>
      </c>
      <c r="W34" s="775">
        <f t="shared" si="14"/>
        <v>100</v>
      </c>
      <c r="X34" s="1812"/>
      <c r="Y34" s="3280"/>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62" t="str">
        <f>A35</f>
        <v>成交单价（元/平方米）</v>
      </c>
      <c r="Q35" s="3262"/>
      <c r="R35" s="3327">
        <f>E35</f>
        <v>0</v>
      </c>
      <c r="S35" s="3327"/>
      <c r="T35" s="3327">
        <f>G35</f>
        <v>0</v>
      </c>
      <c r="U35" s="3327"/>
      <c r="V35" s="3327">
        <f>I35</f>
        <v>0</v>
      </c>
      <c r="W35" s="3327"/>
      <c r="X35" s="759"/>
      <c r="Y35" s="781"/>
      <c r="Z35" s="759"/>
      <c r="AA35" s="759"/>
      <c r="AB35" s="759"/>
      <c r="AC35" s="759"/>
    </row>
    <row r="36" spans="1:29" ht="15.7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62" t="str">
        <f>A36</f>
        <v>比较价值（元/平方米）</v>
      </c>
      <c r="Q36" s="3262"/>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59"/>
      <c r="Y36" s="759"/>
      <c r="Z36" s="759"/>
      <c r="AA36" s="759"/>
      <c r="AB36" s="759"/>
      <c r="AC36" s="759"/>
    </row>
    <row r="37" spans="1:29" ht="15.75" thickBot="1">
      <c r="A37" s="492" t="s">
        <v>2657</v>
      </c>
      <c r="B37" s="493"/>
      <c r="C37" s="1417" t="e">
        <f>R37</f>
        <v>#DIV/0!</v>
      </c>
      <c r="D37" s="1417"/>
      <c r="E37" s="1417"/>
      <c r="F37" s="1417"/>
      <c r="G37" s="1417"/>
      <c r="H37" s="1417"/>
      <c r="I37" s="1417"/>
      <c r="J37" s="1417"/>
      <c r="K37" s="785"/>
      <c r="L37" s="1143"/>
      <c r="M37" s="1144"/>
      <c r="N37" s="1144"/>
      <c r="O37" s="1144"/>
      <c r="P37" s="3282" t="str">
        <f>A37</f>
        <v>估价对象XX用房的比较价值（楼面单价，元/平方米）</v>
      </c>
      <c r="Q37" s="3283"/>
      <c r="R37" s="3326" t="e">
        <f>IF(F1="售价",ROUND(AVERAGE(R36:V36),0),ROUND(AVERAGE(R36:V36),1))</f>
        <v>#DIV/0!</v>
      </c>
      <c r="S37" s="3326"/>
      <c r="T37" s="3326"/>
      <c r="U37" s="3326"/>
      <c r="V37" s="3326"/>
      <c r="W37" s="33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2639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2575</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960"/>
      <c r="B4" s="3055" t="s">
        <v>1626</v>
      </c>
      <c r="C4" s="3055"/>
      <c r="D4" s="3055"/>
      <c r="E4" s="1960"/>
    </row>
    <row r="5" spans="1:5" ht="16.5" thickTop="1">
      <c r="A5" s="1958"/>
      <c r="B5" s="3053" t="s">
        <v>1618</v>
      </c>
      <c r="C5" s="1961" t="s">
        <v>1619</v>
      </c>
      <c r="D5" s="1040">
        <f ca="1">结果表!H101</f>
        <v>17468</v>
      </c>
      <c r="E5" s="1958"/>
    </row>
    <row r="6" spans="1:5" ht="15.75">
      <c r="A6" s="1958"/>
      <c r="B6" s="3053"/>
      <c r="C6" s="1961" t="s">
        <v>1620</v>
      </c>
      <c r="D6" s="1040" t="str">
        <f ca="1">NUMBERSTRING(INT(D5*10000),2)&amp;"元整"</f>
        <v>壹亿柒仟肆佰陆拾捌万元整</v>
      </c>
      <c r="E6" s="1958"/>
    </row>
    <row r="7" spans="1:5" ht="15.75">
      <c r="A7" s="1958"/>
      <c r="B7" s="3058"/>
      <c r="C7" s="1962" t="s">
        <v>1621</v>
      </c>
      <c r="D7" s="1041">
        <f ca="1">结果表!H102</f>
        <v>7499</v>
      </c>
      <c r="E7" s="1958"/>
    </row>
    <row r="8" spans="1:5" ht="15.75">
      <c r="A8" s="1958"/>
      <c r="B8" s="3059" t="str">
        <f>结果表!E103</f>
        <v>2.估价师知悉的法定优先受偿款</v>
      </c>
      <c r="C8" s="1963" t="s">
        <v>1622</v>
      </c>
      <c r="D8" s="1041">
        <f>结果表!H103</f>
        <v>0</v>
      </c>
      <c r="E8" s="1958"/>
    </row>
    <row r="9" spans="1:5" ht="15.75">
      <c r="A9" s="1958"/>
      <c r="B9" s="3061"/>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52" t="str">
        <f>结果表!E107</f>
        <v>3.房地产抵押价值</v>
      </c>
      <c r="C13" s="1966" t="s">
        <v>1619</v>
      </c>
      <c r="D13" s="1043">
        <f ca="1">结果表!H107</f>
        <v>17468</v>
      </c>
      <c r="E13" s="1958"/>
    </row>
    <row r="14" spans="1:5" ht="15.75">
      <c r="A14" s="1958"/>
      <c r="B14" s="3053"/>
      <c r="C14" s="1961" t="s">
        <v>1620</v>
      </c>
      <c r="D14" s="1040" t="str">
        <f ca="1">NUMBERSTRING(INT(D13*10000),2)&amp;"元整"</f>
        <v>壹亿柒仟肆佰陆拾捌万元整</v>
      </c>
      <c r="E14" s="1958"/>
    </row>
    <row r="15" spans="1:5" ht="15">
      <c r="A15" s="1958"/>
      <c r="B15" s="3058"/>
      <c r="C15" s="1962" t="s">
        <v>1630</v>
      </c>
      <c r="D15" s="1052">
        <f ca="1">结果表!H108</f>
        <v>7499</v>
      </c>
      <c r="E15" s="1958"/>
    </row>
    <row r="16" spans="1:5" ht="15">
      <c r="A16" s="1958"/>
      <c r="B16" s="3059" t="str">
        <f>结果表!E109</f>
        <v>——</v>
      </c>
      <c r="C16" s="1966" t="s">
        <v>1631</v>
      </c>
      <c r="D16" s="1967" t="str">
        <f>结果表!H109</f>
        <v>——</v>
      </c>
      <c r="E16" s="1958"/>
    </row>
    <row r="17" spans="1:5" ht="15.75">
      <c r="A17" s="1958"/>
      <c r="B17" s="3060"/>
      <c r="C17" s="1961" t="s">
        <v>1632</v>
      </c>
      <c r="D17" s="1040" t="e">
        <f>NUMBERSTRING(INT(D16*10000),2)&amp;"元整"</f>
        <v>#VALUE!</v>
      </c>
      <c r="E17" s="1958"/>
    </row>
    <row r="18" spans="1:5" ht="15">
      <c r="A18" s="1958"/>
      <c r="B18" s="3061"/>
      <c r="C18" s="1962" t="s">
        <v>1621</v>
      </c>
      <c r="D18" s="1052" t="str">
        <f>结果表!H110</f>
        <v>——</v>
      </c>
      <c r="E18" s="1958"/>
    </row>
    <row r="19" spans="1:5" ht="15.75">
      <c r="A19" s="1958"/>
      <c r="B19" s="3052" t="str">
        <f>结果表!E111</f>
        <v>——</v>
      </c>
      <c r="C19" s="1966" t="s">
        <v>1619</v>
      </c>
      <c r="D19" s="1041" t="str">
        <f>结果表!H111</f>
        <v>——</v>
      </c>
      <c r="E19" s="1958"/>
    </row>
    <row r="20" spans="1:5" ht="15.75">
      <c r="A20" s="1958"/>
      <c r="B20" s="3053"/>
      <c r="C20" s="1961" t="s">
        <v>1632</v>
      </c>
      <c r="D20" s="1040" t="e">
        <f>NUMBERSTRING(INT(D19*10000),2)&amp;"元整"</f>
        <v>#VALUE!</v>
      </c>
      <c r="E20" s="1958"/>
    </row>
    <row r="21" spans="1:5" ht="15.75" thickBot="1">
      <c r="A21" s="1958"/>
      <c r="B21" s="3054"/>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3" t="s">
        <v>2633</v>
      </c>
      <c r="D4" s="3264"/>
      <c r="E4" s="3265" t="s">
        <v>2634</v>
      </c>
      <c r="F4" s="3266"/>
      <c r="G4" s="3263" t="s">
        <v>2635</v>
      </c>
      <c r="H4" s="3264"/>
      <c r="I4" s="3263" t="s">
        <v>2636</v>
      </c>
      <c r="J4" s="3264"/>
      <c r="K4" s="610" t="s">
        <v>2637</v>
      </c>
      <c r="L4" s="1130"/>
      <c r="M4" s="1131"/>
      <c r="N4" s="1131"/>
      <c r="O4" s="1131"/>
      <c r="P4" s="3267" t="s">
        <v>2638</v>
      </c>
      <c r="Q4" s="3268"/>
      <c r="R4" s="3250" t="s">
        <v>2634</v>
      </c>
      <c r="S4" s="3251"/>
      <c r="T4" s="3250" t="s">
        <v>2635</v>
      </c>
      <c r="U4" s="3251"/>
      <c r="V4" s="3275" t="s">
        <v>2636</v>
      </c>
      <c r="W4" s="3275"/>
      <c r="X4" s="1812"/>
      <c r="Y4" s="3250" t="s">
        <v>2638</v>
      </c>
      <c r="Z4" s="3251"/>
      <c r="AA4" s="3245" t="s">
        <v>2634</v>
      </c>
      <c r="AB4" s="3246" t="s">
        <v>2635</v>
      </c>
      <c r="AC4" s="3245" t="s">
        <v>2636</v>
      </c>
    </row>
    <row r="5" spans="1:29" ht="15">
      <c r="A5" s="404"/>
      <c r="B5" s="405"/>
      <c r="C5" s="3336" t="s">
        <v>2530</v>
      </c>
      <c r="D5" s="3337"/>
      <c r="E5" s="3334" t="s">
        <v>2531</v>
      </c>
      <c r="F5" s="3335"/>
      <c r="G5" s="3336" t="s">
        <v>2532</v>
      </c>
      <c r="H5" s="3337"/>
      <c r="I5" s="3336" t="s">
        <v>2533</v>
      </c>
      <c r="J5" s="3337"/>
      <c r="K5" s="610"/>
      <c r="L5" s="1130"/>
      <c r="M5" s="1131"/>
      <c r="N5" s="1131"/>
      <c r="O5" s="1131"/>
      <c r="P5" s="3269"/>
      <c r="Q5" s="3270"/>
      <c r="R5" s="3252"/>
      <c r="S5" s="3253"/>
      <c r="T5" s="3252"/>
      <c r="U5" s="3253"/>
      <c r="V5" s="3275"/>
      <c r="W5" s="3275"/>
      <c r="X5" s="1812"/>
      <c r="Y5" s="3252"/>
      <c r="Z5" s="3253"/>
      <c r="AA5" s="3246"/>
      <c r="AB5" s="3246"/>
      <c r="AC5" s="3246"/>
    </row>
    <row r="6" spans="1:29" ht="15.75" thickBot="1">
      <c r="A6" s="406"/>
      <c r="B6" s="407"/>
      <c r="C6" s="3258" t="s">
        <v>2783</v>
      </c>
      <c r="D6" s="3259"/>
      <c r="E6" s="3260" t="s">
        <v>2783</v>
      </c>
      <c r="F6" s="3261"/>
      <c r="G6" s="3258" t="s">
        <v>2783</v>
      </c>
      <c r="H6" s="3259"/>
      <c r="I6" s="3258" t="s">
        <v>2783</v>
      </c>
      <c r="J6" s="3259"/>
      <c r="K6" s="610" t="s">
        <v>2535</v>
      </c>
      <c r="L6" s="1130"/>
      <c r="M6" s="1131"/>
      <c r="N6" s="1131"/>
      <c r="O6" s="1131"/>
      <c r="P6" s="3271"/>
      <c r="Q6" s="3272"/>
      <c r="R6" s="3252"/>
      <c r="S6" s="3253"/>
      <c r="T6" s="3273"/>
      <c r="U6" s="3274"/>
      <c r="V6" s="3275"/>
      <c r="W6" s="3275"/>
      <c r="X6" s="1812"/>
      <c r="Y6" s="3273"/>
      <c r="Z6" s="3274"/>
      <c r="AA6" s="3247"/>
      <c r="AB6" s="3247"/>
      <c r="AC6" s="3247"/>
    </row>
    <row r="7" spans="1:29" s="117" customFormat="1" ht="15.75" thickBot="1">
      <c r="A7" s="408" t="s">
        <v>2536</v>
      </c>
      <c r="B7" s="409"/>
      <c r="C7" s="410">
        <f>'数据-取费表'!B2</f>
        <v>43598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48" t="s">
        <v>2537</v>
      </c>
      <c r="Q7" s="3276"/>
      <c r="R7" s="770" t="s">
        <v>17</v>
      </c>
      <c r="S7" s="771">
        <f t="shared" ref="S7:S15" si="0">F7</f>
        <v>0</v>
      </c>
      <c r="T7" s="770" t="s">
        <v>17</v>
      </c>
      <c r="U7" s="771">
        <f t="shared" ref="U7:U15" si="1">H7</f>
        <v>0</v>
      </c>
      <c r="V7" s="770" t="s">
        <v>17</v>
      </c>
      <c r="W7" s="771">
        <f t="shared" ref="W7:W15" si="2">J7</f>
        <v>0</v>
      </c>
      <c r="X7" s="772"/>
      <c r="Y7" s="3248" t="s">
        <v>2537</v>
      </c>
      <c r="Z7" s="3249"/>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8" t="s">
        <v>2540</v>
      </c>
      <c r="Q8" s="3249"/>
      <c r="R8" s="770" t="s">
        <v>17</v>
      </c>
      <c r="S8" s="771">
        <f t="shared" si="0"/>
        <v>0</v>
      </c>
      <c r="T8" s="770" t="s">
        <v>17</v>
      </c>
      <c r="U8" s="771">
        <f t="shared" si="1"/>
        <v>0</v>
      </c>
      <c r="V8" s="770" t="s">
        <v>17</v>
      </c>
      <c r="W8" s="771">
        <f t="shared" si="2"/>
        <v>0</v>
      </c>
      <c r="X8" s="772"/>
      <c r="Y8" s="3248" t="s">
        <v>2540</v>
      </c>
      <c r="Z8" s="3249"/>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2" t="s">
        <v>2543</v>
      </c>
      <c r="Q9" s="1794" t="str">
        <f t="shared" ref="Q9:Q15" si="6">B9</f>
        <v>用途</v>
      </c>
      <c r="R9" s="770" t="s">
        <v>17</v>
      </c>
      <c r="S9" s="771">
        <f t="shared" si="0"/>
        <v>100</v>
      </c>
      <c r="T9" s="770" t="s">
        <v>17</v>
      </c>
      <c r="U9" s="771">
        <f t="shared" si="1"/>
        <v>100</v>
      </c>
      <c r="V9" s="770" t="s">
        <v>17</v>
      </c>
      <c r="W9" s="771">
        <f t="shared" si="2"/>
        <v>100</v>
      </c>
      <c r="X9" s="772"/>
      <c r="Y9" s="3117"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62"/>
      <c r="Q10" s="1794" t="str">
        <f t="shared" si="6"/>
        <v>土地使用年限（年）</v>
      </c>
      <c r="R10" s="770" t="s">
        <v>17</v>
      </c>
      <c r="S10" s="771">
        <f t="shared" si="0"/>
        <v>101</v>
      </c>
      <c r="T10" s="770" t="s">
        <v>17</v>
      </c>
      <c r="U10" s="771">
        <f t="shared" si="1"/>
        <v>101</v>
      </c>
      <c r="V10" s="770" t="s">
        <v>17</v>
      </c>
      <c r="W10" s="771">
        <f t="shared" si="2"/>
        <v>101</v>
      </c>
      <c r="X10" s="772"/>
      <c r="Y10" s="3117"/>
      <c r="Z10" s="55" t="str">
        <f t="shared" si="7"/>
        <v>土地使用年限（年）</v>
      </c>
      <c r="AA10" s="773">
        <f t="shared" si="3"/>
        <v>0.99009900990099009</v>
      </c>
      <c r="AB10" s="773">
        <f t="shared" si="4"/>
        <v>0.99009900990099009</v>
      </c>
      <c r="AC10" s="773">
        <f t="shared" si="5"/>
        <v>0.99009900990099009</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2"/>
      <c r="Q11" s="1794" t="str">
        <f t="shared" si="6"/>
        <v>容积率</v>
      </c>
      <c r="R11" s="770" t="s">
        <v>17</v>
      </c>
      <c r="S11" s="771" t="e">
        <f t="shared" si="0"/>
        <v>#N/A</v>
      </c>
      <c r="T11" s="770" t="s">
        <v>17</v>
      </c>
      <c r="U11" s="771" t="e">
        <f t="shared" si="1"/>
        <v>#N/A</v>
      </c>
      <c r="V11" s="770" t="s">
        <v>17</v>
      </c>
      <c r="W11" s="771" t="e">
        <f t="shared" si="2"/>
        <v>#N/A</v>
      </c>
      <c r="X11" s="772"/>
      <c r="Y11" s="311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2"/>
      <c r="Q12" s="1794">
        <f t="shared" si="6"/>
        <v>111</v>
      </c>
      <c r="R12" s="770" t="s">
        <v>17</v>
      </c>
      <c r="S12" s="771">
        <f t="shared" si="0"/>
        <v>100</v>
      </c>
      <c r="T12" s="770" t="s">
        <v>17</v>
      </c>
      <c r="U12" s="771">
        <f t="shared" si="1"/>
        <v>100</v>
      </c>
      <c r="V12" s="770" t="s">
        <v>17</v>
      </c>
      <c r="W12" s="771">
        <f t="shared" si="2"/>
        <v>100</v>
      </c>
      <c r="X12" s="772"/>
      <c r="Y12" s="311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2"/>
      <c r="Q13" s="1794">
        <f t="shared" si="6"/>
        <v>111</v>
      </c>
      <c r="R13" s="770" t="s">
        <v>17</v>
      </c>
      <c r="S13" s="771">
        <f t="shared" si="0"/>
        <v>100</v>
      </c>
      <c r="T13" s="770" t="s">
        <v>17</v>
      </c>
      <c r="U13" s="771">
        <f t="shared" si="1"/>
        <v>100</v>
      </c>
      <c r="V13" s="770" t="s">
        <v>17</v>
      </c>
      <c r="W13" s="771">
        <f t="shared" si="2"/>
        <v>100</v>
      </c>
      <c r="X13" s="772"/>
      <c r="Y13" s="311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2"/>
      <c r="Q14" s="1794">
        <f t="shared" si="6"/>
        <v>111</v>
      </c>
      <c r="R14" s="770" t="s">
        <v>17</v>
      </c>
      <c r="S14" s="771">
        <f t="shared" si="0"/>
        <v>100</v>
      </c>
      <c r="T14" s="770" t="s">
        <v>17</v>
      </c>
      <c r="U14" s="771">
        <f t="shared" si="1"/>
        <v>100</v>
      </c>
      <c r="V14" s="770" t="s">
        <v>17</v>
      </c>
      <c r="W14" s="771">
        <f t="shared" si="2"/>
        <v>100</v>
      </c>
      <c r="X14" s="772"/>
      <c r="Y14" s="3117"/>
      <c r="Z14" s="55">
        <f t="shared" si="7"/>
        <v>111</v>
      </c>
      <c r="AA14" s="773">
        <f t="shared" si="3"/>
        <v>1</v>
      </c>
      <c r="AB14" s="773">
        <f t="shared" si="4"/>
        <v>1</v>
      </c>
      <c r="AC14" s="773">
        <f t="shared" si="5"/>
        <v>1</v>
      </c>
    </row>
    <row r="15" spans="1:29" ht="15">
      <c r="A15" s="440" t="s">
        <v>2547</v>
      </c>
      <c r="B15" s="629" t="s">
        <v>2784</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7" t="s">
        <v>2548</v>
      </c>
      <c r="Q15" s="1809" t="str">
        <f t="shared" si="6"/>
        <v>产业集聚程度</v>
      </c>
      <c r="R15" s="774" t="s">
        <v>17</v>
      </c>
      <c r="S15" s="775">
        <f t="shared" si="0"/>
        <v>100</v>
      </c>
      <c r="T15" s="774" t="s">
        <v>17</v>
      </c>
      <c r="U15" s="775">
        <f t="shared" si="1"/>
        <v>100</v>
      </c>
      <c r="V15" s="774" t="s">
        <v>17</v>
      </c>
      <c r="W15" s="775">
        <f t="shared" si="2"/>
        <v>100</v>
      </c>
      <c r="X15" s="1812"/>
      <c r="Y15" s="3277"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78"/>
      <c r="Q16" s="1809"/>
      <c r="R16" s="774"/>
      <c r="S16" s="775"/>
      <c r="T16" s="774"/>
      <c r="U16" s="775"/>
      <c r="V16" s="774"/>
      <c r="W16" s="775"/>
      <c r="X16" s="1812"/>
      <c r="Y16" s="3278"/>
      <c r="Z16" s="1813"/>
      <c r="AA16" s="1810">
        <v>1</v>
      </c>
      <c r="AB16" s="1810">
        <v>1</v>
      </c>
      <c r="AC16" s="1810">
        <v>1</v>
      </c>
    </row>
    <row r="17" spans="1:29" ht="15">
      <c r="A17" s="428"/>
      <c r="B17" s="631" t="s">
        <v>2696</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8"/>
      <c r="Q17" s="1809" t="str">
        <f>B17</f>
        <v>交通便捷度</v>
      </c>
      <c r="R17" s="774" t="s">
        <v>17</v>
      </c>
      <c r="S17" s="775">
        <f>F17</f>
        <v>100</v>
      </c>
      <c r="T17" s="774" t="s">
        <v>17</v>
      </c>
      <c r="U17" s="775">
        <f>H17</f>
        <v>100</v>
      </c>
      <c r="V17" s="774" t="s">
        <v>17</v>
      </c>
      <c r="W17" s="775">
        <f>J17</f>
        <v>100</v>
      </c>
      <c r="X17" s="1812"/>
      <c r="Y17" s="3278"/>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78"/>
      <c r="Q18" s="1809"/>
      <c r="R18" s="774"/>
      <c r="S18" s="775"/>
      <c r="T18" s="774"/>
      <c r="U18" s="775"/>
      <c r="V18" s="774"/>
      <c r="W18" s="775"/>
      <c r="X18" s="1812"/>
      <c r="Y18" s="3278"/>
      <c r="Z18" s="1813"/>
      <c r="AA18" s="1810">
        <v>1</v>
      </c>
      <c r="AB18" s="1810">
        <v>1</v>
      </c>
      <c r="AC18" s="1810">
        <v>1</v>
      </c>
    </row>
    <row r="19" spans="1:29" ht="15">
      <c r="A19" s="428"/>
      <c r="B19" s="631" t="s">
        <v>2735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8"/>
      <c r="Q19" s="1809" t="str">
        <f t="shared" ref="Q19:Q33" si="8">B19</f>
        <v>区域土地利用方向</v>
      </c>
      <c r="R19" s="774" t="s">
        <v>17</v>
      </c>
      <c r="S19" s="775">
        <f>F19</f>
        <v>100</v>
      </c>
      <c r="T19" s="774" t="s">
        <v>17</v>
      </c>
      <c r="U19" s="775">
        <f>H19</f>
        <v>100</v>
      </c>
      <c r="V19" s="774" t="s">
        <v>17</v>
      </c>
      <c r="W19" s="775">
        <f>J19</f>
        <v>100</v>
      </c>
      <c r="X19" s="1812"/>
      <c r="Y19" s="3278"/>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78"/>
      <c r="Q20" s="1809"/>
      <c r="R20" s="774"/>
      <c r="S20" s="775"/>
      <c r="T20" s="774"/>
      <c r="U20" s="775"/>
      <c r="V20" s="774"/>
      <c r="W20" s="775"/>
      <c r="X20" s="1812"/>
      <c r="Y20" s="3278"/>
      <c r="Z20" s="1813"/>
      <c r="AA20" s="1810"/>
      <c r="AB20" s="1810"/>
      <c r="AC20" s="1810"/>
    </row>
    <row r="21" spans="1:29" ht="15">
      <c r="A21" s="404"/>
      <c r="B21" s="631" t="s">
        <v>2785</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8"/>
      <c r="Q21" s="1809" t="str">
        <f t="shared" si="8"/>
        <v>环境状况</v>
      </c>
      <c r="R21" s="774" t="s">
        <v>17</v>
      </c>
      <c r="S21" s="775">
        <f>F21</f>
        <v>100</v>
      </c>
      <c r="T21" s="774" t="s">
        <v>17</v>
      </c>
      <c r="U21" s="775">
        <f>H21</f>
        <v>100</v>
      </c>
      <c r="V21" s="774" t="s">
        <v>17</v>
      </c>
      <c r="W21" s="775">
        <f>J21</f>
        <v>100</v>
      </c>
      <c r="X21" s="1812"/>
      <c r="Y21" s="3278"/>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78"/>
      <c r="Q22" s="1809"/>
      <c r="R22" s="774"/>
      <c r="S22" s="775"/>
      <c r="T22" s="774"/>
      <c r="U22" s="775"/>
      <c r="V22" s="774"/>
      <c r="W22" s="775"/>
      <c r="X22" s="1812"/>
      <c r="Y22" s="3278"/>
      <c r="Z22" s="1813"/>
      <c r="AA22" s="1810">
        <v>1</v>
      </c>
      <c r="AB22" s="1810">
        <v>1</v>
      </c>
      <c r="AC22" s="1810">
        <v>1</v>
      </c>
    </row>
    <row r="23" spans="1:29" s="117" customFormat="1" ht="15">
      <c r="A23" s="649"/>
      <c r="B23" s="633" t="s">
        <v>2641</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8"/>
      <c r="Q23" s="1794" t="str">
        <f t="shared" si="8"/>
        <v>公共配套设施</v>
      </c>
      <c r="R23" s="770" t="s">
        <v>17</v>
      </c>
      <c r="S23" s="771">
        <f>F23</f>
        <v>100</v>
      </c>
      <c r="T23" s="770" t="s">
        <v>17</v>
      </c>
      <c r="U23" s="771">
        <f>H23</f>
        <v>100</v>
      </c>
      <c r="V23" s="770" t="s">
        <v>17</v>
      </c>
      <c r="W23" s="771">
        <f>J23</f>
        <v>100</v>
      </c>
      <c r="X23" s="772"/>
      <c r="Y23" s="3278"/>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78"/>
      <c r="Q24" s="1794"/>
      <c r="R24" s="770"/>
      <c r="S24" s="771"/>
      <c r="T24" s="770"/>
      <c r="U24" s="771"/>
      <c r="V24" s="770"/>
      <c r="W24" s="771"/>
      <c r="X24" s="772"/>
      <c r="Y24" s="3278"/>
      <c r="Z24" s="55"/>
      <c r="AA24" s="773">
        <v>1</v>
      </c>
      <c r="AB24" s="773">
        <v>1</v>
      </c>
      <c r="AC24" s="773">
        <v>1</v>
      </c>
    </row>
    <row r="25" spans="1:29" s="117" customFormat="1" ht="15">
      <c r="A25" s="649"/>
      <c r="B25" s="633" t="s">
        <v>2642</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8"/>
      <c r="Q25" s="1794"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78"/>
      <c r="Q26" s="1794"/>
      <c r="R26" s="770"/>
      <c r="S26" s="771"/>
      <c r="T26" s="770"/>
      <c r="U26" s="771"/>
      <c r="V26" s="770"/>
      <c r="W26" s="771"/>
      <c r="X26" s="772"/>
      <c r="Y26" s="3278"/>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8"/>
      <c r="Z27" s="1813" t="str">
        <f t="shared" ref="Z27:Z40" si="13">Q27</f>
        <v>临街状况</v>
      </c>
      <c r="AA27" s="1810">
        <f t="shared" si="3"/>
        <v>1</v>
      </c>
      <c r="AB27" s="1810">
        <f t="shared" si="4"/>
        <v>1</v>
      </c>
      <c r="AC27" s="1810">
        <f t="shared" si="5"/>
        <v>1</v>
      </c>
    </row>
    <row r="28" spans="1:29" ht="27">
      <c r="A28" s="428"/>
      <c r="B28" s="633" t="s">
        <v>2678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8"/>
      <c r="Q28" s="1809" t="str">
        <f t="shared" si="8"/>
        <v>毗邻道路的类型与等级</v>
      </c>
      <c r="R28" s="774" t="s">
        <v>17</v>
      </c>
      <c r="S28" s="775">
        <f t="shared" si="10"/>
        <v>100</v>
      </c>
      <c r="T28" s="774" t="s">
        <v>17</v>
      </c>
      <c r="U28" s="775">
        <f t="shared" si="11"/>
        <v>100</v>
      </c>
      <c r="V28" s="774" t="s">
        <v>17</v>
      </c>
      <c r="W28" s="775">
        <f t="shared" si="12"/>
        <v>100</v>
      </c>
      <c r="X28" s="1812"/>
      <c r="Y28" s="3278"/>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78"/>
      <c r="Q29" s="1809"/>
      <c r="R29" s="774"/>
      <c r="S29" s="775"/>
      <c r="T29" s="774"/>
      <c r="U29" s="775"/>
      <c r="V29" s="774"/>
      <c r="W29" s="775"/>
      <c r="X29" s="1812"/>
      <c r="Y29" s="3278"/>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8"/>
      <c r="Q30" s="1809" t="str">
        <f t="shared" si="8"/>
        <v>土地级别</v>
      </c>
      <c r="R30" s="774" t="s">
        <v>17</v>
      </c>
      <c r="S30" s="775">
        <f t="shared" si="10"/>
        <v>100</v>
      </c>
      <c r="T30" s="774" t="s">
        <v>17</v>
      </c>
      <c r="U30" s="775">
        <f t="shared" si="11"/>
        <v>100</v>
      </c>
      <c r="V30" s="774" t="s">
        <v>17</v>
      </c>
      <c r="W30" s="775">
        <f t="shared" si="12"/>
        <v>100</v>
      </c>
      <c r="X30" s="1812"/>
      <c r="Y30" s="3278"/>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8"/>
      <c r="Q31" s="1809">
        <f t="shared" si="8"/>
        <v>111</v>
      </c>
      <c r="R31" s="774" t="s">
        <v>17</v>
      </c>
      <c r="S31" s="775">
        <f t="shared" si="10"/>
        <v>100</v>
      </c>
      <c r="T31" s="774" t="s">
        <v>17</v>
      </c>
      <c r="U31" s="775">
        <f t="shared" si="11"/>
        <v>100</v>
      </c>
      <c r="V31" s="774" t="s">
        <v>17</v>
      </c>
      <c r="W31" s="775">
        <f t="shared" si="12"/>
        <v>100</v>
      </c>
      <c r="X31" s="1812"/>
      <c r="Y31" s="3278"/>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9" t="s">
        <v>2553</v>
      </c>
      <c r="Q32" s="1809">
        <f t="shared" si="8"/>
        <v>111</v>
      </c>
      <c r="R32" s="774" t="s">
        <v>17</v>
      </c>
      <c r="S32" s="775">
        <f t="shared" si="10"/>
        <v>100</v>
      </c>
      <c r="T32" s="774" t="s">
        <v>17</v>
      </c>
      <c r="U32" s="775">
        <f t="shared" si="11"/>
        <v>100</v>
      </c>
      <c r="V32" s="774" t="s">
        <v>17</v>
      </c>
      <c r="W32" s="775">
        <f t="shared" si="12"/>
        <v>100</v>
      </c>
      <c r="X32" s="1812"/>
      <c r="Y32" s="3280" t="s">
        <v>2553</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0"/>
      <c r="Q33" s="1809">
        <f t="shared" si="8"/>
        <v>111</v>
      </c>
      <c r="R33" s="777" t="s">
        <v>17</v>
      </c>
      <c r="S33" s="778">
        <f t="shared" si="10"/>
        <v>100</v>
      </c>
      <c r="T33" s="777" t="s">
        <v>17</v>
      </c>
      <c r="U33" s="778">
        <f t="shared" si="11"/>
        <v>100</v>
      </c>
      <c r="V33" s="777" t="s">
        <v>17</v>
      </c>
      <c r="W33" s="778">
        <f t="shared" si="12"/>
        <v>100</v>
      </c>
      <c r="X33" s="779"/>
      <c r="Y33" s="3280"/>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0"/>
      <c r="Q34" s="1809" t="str">
        <f>B34</f>
        <v>宗地面积</v>
      </c>
      <c r="R34" s="774" t="s">
        <v>17</v>
      </c>
      <c r="S34" s="775" t="e">
        <f t="shared" si="10"/>
        <v>#N/A</v>
      </c>
      <c r="T34" s="774" t="s">
        <v>17</v>
      </c>
      <c r="U34" s="775" t="e">
        <f t="shared" si="11"/>
        <v>#N/A</v>
      </c>
      <c r="V34" s="774" t="s">
        <v>17</v>
      </c>
      <c r="W34" s="775" t="e">
        <f t="shared" si="12"/>
        <v>#N/A</v>
      </c>
      <c r="X34" s="1812"/>
      <c r="Y34" s="3280"/>
      <c r="Z34" s="1813" t="str">
        <f t="shared" si="13"/>
        <v>宗地面积</v>
      </c>
      <c r="AA34" s="1810" t="e">
        <f t="shared" si="3"/>
        <v>#N/A</v>
      </c>
      <c r="AB34" s="1810" t="e">
        <f t="shared" si="4"/>
        <v>#N/A</v>
      </c>
      <c r="AC34" s="1810" t="e">
        <f t="shared" si="5"/>
        <v>#N/A</v>
      </c>
    </row>
    <row r="35" spans="1:29" ht="15">
      <c r="A35" s="472"/>
      <c r="B35" s="422" t="s">
        <v>2739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80"/>
      <c r="Q35" s="1809" t="str">
        <f t="shared" ref="Q35:Q40" si="14">B35</f>
        <v>宗地形状</v>
      </c>
      <c r="R35" s="774" t="s">
        <v>17</v>
      </c>
      <c r="S35" s="775">
        <f t="shared" si="10"/>
        <v>100</v>
      </c>
      <c r="T35" s="774" t="s">
        <v>17</v>
      </c>
      <c r="U35" s="775">
        <f t="shared" si="11"/>
        <v>100</v>
      </c>
      <c r="V35" s="774" t="s">
        <v>17</v>
      </c>
      <c r="W35" s="775">
        <f t="shared" si="12"/>
        <v>100</v>
      </c>
      <c r="X35" s="1812"/>
      <c r="Y35" s="3280"/>
      <c r="Z35" s="1813" t="str">
        <f t="shared" si="13"/>
        <v>宗地形状</v>
      </c>
      <c r="AA35" s="1810">
        <f t="shared" si="3"/>
        <v>1</v>
      </c>
      <c r="AB35" s="1810">
        <f t="shared" si="4"/>
        <v>1</v>
      </c>
      <c r="AC35" s="1810">
        <f t="shared" si="5"/>
        <v>1</v>
      </c>
    </row>
    <row r="36" spans="1:29" s="117" customFormat="1" ht="15">
      <c r="A36" s="473"/>
      <c r="B36" s="422" t="s">
        <v>2741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80"/>
      <c r="Q36" s="1809" t="str">
        <f t="shared" si="14"/>
        <v>宗地开发程度</v>
      </c>
      <c r="R36" s="770" t="s">
        <v>17</v>
      </c>
      <c r="S36" s="771">
        <f t="shared" si="10"/>
        <v>100</v>
      </c>
      <c r="T36" s="770" t="s">
        <v>17</v>
      </c>
      <c r="U36" s="771">
        <f t="shared" si="11"/>
        <v>100</v>
      </c>
      <c r="V36" s="770" t="s">
        <v>17</v>
      </c>
      <c r="W36" s="771">
        <f t="shared" si="12"/>
        <v>100</v>
      </c>
      <c r="X36" s="772"/>
      <c r="Y36" s="3280"/>
      <c r="Z36" s="55" t="str">
        <f t="shared" si="13"/>
        <v>宗地开发程度</v>
      </c>
      <c r="AA36" s="773">
        <f t="shared" si="3"/>
        <v>1</v>
      </c>
      <c r="AB36" s="773">
        <f t="shared" si="4"/>
        <v>1</v>
      </c>
      <c r="AC36" s="773">
        <f t="shared" si="5"/>
        <v>1</v>
      </c>
    </row>
    <row r="37" spans="1:29" ht="15">
      <c r="A37" s="472"/>
      <c r="B37" s="422" t="s">
        <v>2742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80" t="s">
        <v>2553</v>
      </c>
      <c r="Q37" s="1809" t="str">
        <f t="shared" si="14"/>
        <v>工程地质条件</v>
      </c>
      <c r="R37" s="774" t="s">
        <v>17</v>
      </c>
      <c r="S37" s="775">
        <f t="shared" si="10"/>
        <v>100</v>
      </c>
      <c r="T37" s="774" t="s">
        <v>17</v>
      </c>
      <c r="U37" s="775">
        <f t="shared" si="11"/>
        <v>100</v>
      </c>
      <c r="V37" s="774" t="s">
        <v>17</v>
      </c>
      <c r="W37" s="775">
        <f t="shared" si="12"/>
        <v>100</v>
      </c>
      <c r="X37" s="1812"/>
      <c r="Y37" s="3280"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0"/>
      <c r="Q38" s="1809">
        <f t="shared" si="14"/>
        <v>111</v>
      </c>
      <c r="R38" s="774" t="s">
        <v>17</v>
      </c>
      <c r="S38" s="775">
        <f t="shared" si="10"/>
        <v>100</v>
      </c>
      <c r="T38" s="774" t="s">
        <v>17</v>
      </c>
      <c r="U38" s="775">
        <f t="shared" si="11"/>
        <v>100</v>
      </c>
      <c r="V38" s="774" t="s">
        <v>17</v>
      </c>
      <c r="W38" s="775">
        <f t="shared" si="12"/>
        <v>100</v>
      </c>
      <c r="X38" s="1812"/>
      <c r="Y38" s="328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0"/>
      <c r="Q39" s="1809">
        <f t="shared" si="14"/>
        <v>111</v>
      </c>
      <c r="R39" s="774" t="s">
        <v>17</v>
      </c>
      <c r="S39" s="775">
        <f t="shared" si="10"/>
        <v>100</v>
      </c>
      <c r="T39" s="774" t="s">
        <v>17</v>
      </c>
      <c r="U39" s="775">
        <f t="shared" si="11"/>
        <v>100</v>
      </c>
      <c r="V39" s="774" t="s">
        <v>17</v>
      </c>
      <c r="W39" s="775">
        <f t="shared" si="12"/>
        <v>100</v>
      </c>
      <c r="X39" s="1812"/>
      <c r="Y39" s="3280"/>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0"/>
      <c r="Q40" s="1809">
        <f t="shared" si="14"/>
        <v>111</v>
      </c>
      <c r="R40" s="777" t="s">
        <v>17</v>
      </c>
      <c r="S40" s="778">
        <f t="shared" si="10"/>
        <v>100</v>
      </c>
      <c r="T40" s="777" t="s">
        <v>17</v>
      </c>
      <c r="U40" s="778">
        <f t="shared" si="11"/>
        <v>100</v>
      </c>
      <c r="V40" s="777" t="s">
        <v>17</v>
      </c>
      <c r="W40" s="778">
        <f t="shared" si="12"/>
        <v>100</v>
      </c>
      <c r="X40" s="779"/>
      <c r="Y40" s="3280"/>
      <c r="Z40" s="780">
        <f t="shared" si="13"/>
        <v>111</v>
      </c>
      <c r="AA40" s="1810">
        <f t="shared" si="3"/>
        <v>1</v>
      </c>
      <c r="AB40" s="1810">
        <f t="shared" si="4"/>
        <v>1</v>
      </c>
      <c r="AC40" s="1810">
        <f t="shared" si="5"/>
        <v>1</v>
      </c>
    </row>
    <row r="41" spans="1:29" ht="15">
      <c r="A41" s="479" t="s">
        <v>2707</v>
      </c>
      <c r="B41" s="2702" t="s">
        <v>2786</v>
      </c>
      <c r="C41" s="682" t="s">
        <v>1</v>
      </c>
      <c r="D41" s="481"/>
      <c r="E41" s="482"/>
      <c r="F41" s="483"/>
      <c r="G41" s="484"/>
      <c r="H41" s="485"/>
      <c r="I41" s="482"/>
      <c r="J41" s="485"/>
      <c r="K41" s="783"/>
      <c r="L41" s="1143"/>
      <c r="M41" s="1131"/>
      <c r="N41" s="1131"/>
      <c r="O41" s="1144"/>
      <c r="P41" s="3262" t="str">
        <f>A41</f>
        <v>成交单价</v>
      </c>
      <c r="Q41" s="3262"/>
      <c r="R41" s="3275">
        <f>E41</f>
        <v>0</v>
      </c>
      <c r="S41" s="3275"/>
      <c r="T41" s="3275">
        <f>G41</f>
        <v>0</v>
      </c>
      <c r="U41" s="3275"/>
      <c r="V41" s="3275">
        <f>I41</f>
        <v>0</v>
      </c>
      <c r="W41" s="3275"/>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62" t="str">
        <f>A42</f>
        <v>比较价值（元/平方米）</v>
      </c>
      <c r="Q42" s="3262"/>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3"/>
      <c r="M43" s="1131"/>
      <c r="N43" s="1131"/>
      <c r="O43" s="1144"/>
      <c r="P43" s="3282" t="str">
        <f>A43</f>
        <v>估价对象XX用房的比较价值（楼面单价，元/平方米）</v>
      </c>
      <c r="Q43" s="3283"/>
      <c r="R43" s="3284" t="e">
        <f>ROUND(AVERAGE(R42:V42),0)</f>
        <v>#DIV/0!</v>
      </c>
      <c r="S43" s="3284"/>
      <c r="T43" s="3284"/>
      <c r="U43" s="3284"/>
      <c r="V43" s="3284"/>
      <c r="W43" s="32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63" t="s">
        <v>2750</v>
      </c>
      <c r="H50" s="3285"/>
      <c r="I50" s="1813" t="s">
        <v>2787</v>
      </c>
      <c r="J50" s="1813">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23293.309999999998</v>
      </c>
      <c r="F51" s="691" t="e">
        <f t="shared" ref="F51:F60" si="15">ROUND(B51*E51/10000,0)</f>
        <v>#DIV/0!</v>
      </c>
      <c r="G51" s="3286"/>
      <c r="H51" s="3262"/>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87"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87"/>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87"/>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87"/>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15532.95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2661</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2639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2575</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0</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t="e">
        <f>C26</f>
        <v>#DIV/0!</v>
      </c>
      <c r="C2" s="2719" t="s">
        <v>2799</v>
      </c>
      <c r="D2" s="2720" t="s">
        <v>2800</v>
      </c>
      <c r="E2" s="2721"/>
      <c r="F2" s="2720" t="s">
        <v>2801</v>
      </c>
      <c r="G2" s="2722">
        <f>IF(E2="商业",项目基本情况!B37,IF(E2="办公",项目基本情况!C37,IF(E2="住宅",项目基本情况!D37,项目基本情况!E37)))</f>
        <v>0</v>
      </c>
      <c r="H2" s="2720" t="s">
        <v>2802</v>
      </c>
      <c r="I2" s="2722">
        <f>IF(E2="商业",项目基本情况!B38,IF(E2="办公",项目基本情况!C38,IF(E2="住宅",项目基本情况!D38,项目基本情况!E38)))</f>
        <v>0</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2804</v>
      </c>
      <c r="B3" s="248" t="e">
        <f>ROUND(B2*10000/D1,0)</f>
        <v>#DIV/0!</v>
      </c>
      <c r="C3" s="2719" t="s">
        <v>2805</v>
      </c>
      <c r="D3" s="2720" t="s">
        <v>2806</v>
      </c>
      <c r="E3" s="2725"/>
      <c r="F3" s="2726" t="s">
        <v>2807</v>
      </c>
      <c r="G3" s="916">
        <f>IF(F3="宗地容积率",'数据-汇总表'!I4,IF(F3="估价对象容积率",'数据-汇总表'!I6,'数据-汇总表'!I7))</f>
        <v>1.5</v>
      </c>
      <c r="H3" s="198" t="s">
        <v>2808</v>
      </c>
      <c r="I3" s="944"/>
      <c r="J3" s="2723" t="s">
        <v>2809</v>
      </c>
      <c r="K3" s="1370"/>
      <c r="L3" s="2724" t="s">
        <v>2810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73"/>
      <c r="B4" s="3374"/>
      <c r="C4" s="3374"/>
      <c r="D4" s="3375"/>
      <c r="E4" s="3375"/>
      <c r="F4" s="3375"/>
      <c r="G4" s="3375"/>
      <c r="H4" s="3375"/>
      <c r="I4" s="3375"/>
      <c r="J4" s="3376"/>
      <c r="K4" s="1370"/>
      <c r="L4" s="2724" t="s">
        <v>2811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2812</v>
      </c>
      <c r="C5" s="917" t="e">
        <f>ROUND(IF(E2="商业",C6*C7+C16,(IF(E2="住宅",C6*C12+C16,C6+C16))),0)</f>
        <v>#DIV/0!</v>
      </c>
      <c r="D5" s="1786" t="e">
        <f>ROUND(IF(F17="增加",C6+C16,C6-C16),0)</f>
        <v>#DIV/0!</v>
      </c>
      <c r="E5" s="1786"/>
      <c r="F5" s="2729"/>
      <c r="G5" s="2730"/>
      <c r="H5" s="2730"/>
      <c r="I5" s="2730"/>
      <c r="J5" s="2731"/>
      <c r="K5" s="2732"/>
      <c r="L5" s="2724" t="s">
        <v>2813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2814</v>
      </c>
      <c r="B6" s="2738" t="s">
        <v>2815</v>
      </c>
      <c r="C6" s="918">
        <f>SUMIF(L1:L12,G2,M1:M12)</f>
        <v>0</v>
      </c>
      <c r="D6" s="2739" t="s">
        <v>2816</v>
      </c>
      <c r="E6" s="2740"/>
      <c r="F6" s="2740"/>
      <c r="G6" s="2741"/>
      <c r="H6" s="2741"/>
      <c r="I6" s="2741"/>
      <c r="J6" s="2742"/>
      <c r="K6" s="1841"/>
      <c r="L6" s="2724" t="s">
        <v>2817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57" t="str">
        <f>IF(E2="商业",IF(C8="不临58条商业街","",2),"")</f>
        <v/>
      </c>
      <c r="B7" s="2743" t="s">
        <v>2818</v>
      </c>
      <c r="C7" s="919" t="e">
        <f>IF(C8="不临58条商业街",1,ROUND(1+(1.6*E8+1.2*E9+0.8*E10+0.4*E11)*C9,4))</f>
        <v>#DIV/0!</v>
      </c>
      <c r="D7" s="2744" t="s">
        <v>2819</v>
      </c>
      <c r="E7" s="945"/>
      <c r="F7" s="2745"/>
      <c r="G7" s="2746"/>
      <c r="H7" s="2746"/>
      <c r="I7" s="2746"/>
      <c r="J7" s="2747"/>
      <c r="K7" s="1841"/>
      <c r="L7" s="2724" t="s">
        <v>2820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2821</v>
      </c>
      <c r="X7" s="1603">
        <f>G2</f>
        <v>0</v>
      </c>
      <c r="Y7" s="1603" t="s">
        <v>2822</v>
      </c>
      <c r="Z7" s="1604">
        <f>G3</f>
        <v>1.5</v>
      </c>
      <c r="AA7" s="1605"/>
      <c r="AB7" s="1605"/>
      <c r="AC7" s="1606"/>
      <c r="AD7" s="1607"/>
      <c r="AE7" s="1607"/>
      <c r="AF7" s="1607"/>
      <c r="AG7" s="1607"/>
      <c r="AH7" s="1607"/>
      <c r="AI7" s="1607"/>
      <c r="AJ7" s="1608"/>
    </row>
    <row r="8" spans="1:36" ht="15">
      <c r="A8" s="3377"/>
      <c r="B8" s="198" t="s">
        <v>2823</v>
      </c>
      <c r="C8" s="2748"/>
      <c r="D8" s="920" t="s">
        <v>139</v>
      </c>
      <c r="E8" s="921" t="e">
        <f>ROUND(C11/E7,4)</f>
        <v>#DIV/0!</v>
      </c>
      <c r="F8" s="2749" t="s">
        <v>2824</v>
      </c>
      <c r="G8" s="2750"/>
      <c r="H8" s="2750"/>
      <c r="I8" s="2750"/>
      <c r="J8" s="2751"/>
      <c r="K8" s="1370"/>
      <c r="L8" s="2724" t="s">
        <v>2825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70" t="s">
        <v>2826</v>
      </c>
      <c r="X8" s="3371"/>
      <c r="Y8" s="1609" t="s">
        <v>2827</v>
      </c>
      <c r="Z8" s="1609" t="s">
        <v>2828</v>
      </c>
      <c r="AA8" s="1609" t="s">
        <v>2829</v>
      </c>
      <c r="AB8" s="1609" t="s">
        <v>2830</v>
      </c>
      <c r="AC8" s="1609" t="s">
        <v>2831</v>
      </c>
      <c r="AD8" s="1609" t="s">
        <v>2832</v>
      </c>
      <c r="AE8" s="1609" t="s">
        <v>2833</v>
      </c>
      <c r="AF8" s="1609" t="s">
        <v>2834</v>
      </c>
      <c r="AG8" s="1609" t="s">
        <v>2835</v>
      </c>
      <c r="AH8" s="1609" t="s">
        <v>2836</v>
      </c>
      <c r="AI8" s="1609" t="s">
        <v>2837</v>
      </c>
      <c r="AJ8" s="1609" t="s">
        <v>2838</v>
      </c>
    </row>
    <row r="9" spans="1:36" ht="15">
      <c r="A9" s="3377"/>
      <c r="B9" s="198" t="s">
        <v>2839</v>
      </c>
      <c r="C9" s="922">
        <f>SUMIF(修正!C59:C119,C8,修正!E59:E119)</f>
        <v>0</v>
      </c>
      <c r="D9" s="200" t="s">
        <v>140</v>
      </c>
      <c r="E9" s="200" t="e">
        <f>ROUND(C11/E7,4)</f>
        <v>#DIV/0!</v>
      </c>
      <c r="F9" s="2749" t="s">
        <v>2840</v>
      </c>
      <c r="G9" s="2750"/>
      <c r="H9" s="2750"/>
      <c r="I9" s="2750"/>
      <c r="J9" s="2751"/>
      <c r="K9" s="1370"/>
      <c r="L9" s="2724" t="s">
        <v>2841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72" t="s">
        <v>2842</v>
      </c>
      <c r="X9" s="1610" t="s">
        <v>2843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77"/>
      <c r="B10" s="198" t="s">
        <v>2844</v>
      </c>
      <c r="C10" s="200">
        <f>SUMIF(修正!C59:C119,C8,修正!F59:F119)</f>
        <v>0</v>
      </c>
      <c r="D10" s="200" t="s">
        <v>141</v>
      </c>
      <c r="E10" s="200" t="e">
        <f>ROUND(C11/E7,4)</f>
        <v>#DIV/0!</v>
      </c>
      <c r="F10" s="2749" t="s">
        <v>2845</v>
      </c>
      <c r="G10" s="2750"/>
      <c r="H10" s="2750"/>
      <c r="I10" s="2750"/>
      <c r="J10" s="2751"/>
      <c r="K10" s="1370"/>
      <c r="L10" s="2724" t="s">
        <v>2846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7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77"/>
      <c r="B11" s="2752" t="s">
        <v>2847</v>
      </c>
      <c r="C11" s="923">
        <f>C10/4</f>
        <v>0</v>
      </c>
      <c r="D11" s="923" t="s">
        <v>142</v>
      </c>
      <c r="E11" s="923" t="e">
        <f>ROUND(C11/E7,4)</f>
        <v>#DIV/0!</v>
      </c>
      <c r="F11" s="2753" t="s">
        <v>2848</v>
      </c>
      <c r="G11" s="2754"/>
      <c r="H11" s="2754"/>
      <c r="I11" s="2754"/>
      <c r="J11" s="2755"/>
      <c r="K11" s="1370"/>
      <c r="L11" s="2724" t="s">
        <v>2849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72" t="s">
        <v>2850</v>
      </c>
      <c r="X11" s="1613" t="s">
        <v>2851</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57" t="s">
        <v>2852</v>
      </c>
      <c r="B12" s="2756" t="s">
        <v>2853</v>
      </c>
      <c r="C12" s="919">
        <f>ROUND(C15*D15*E15*F15*G15*H15*I15*J15,4)</f>
        <v>1</v>
      </c>
      <c r="D12" s="2757" t="s">
        <v>2854</v>
      </c>
      <c r="E12" s="2758"/>
      <c r="F12" s="2758"/>
      <c r="G12" s="2759"/>
      <c r="H12" s="2759"/>
      <c r="I12" s="2759"/>
      <c r="J12" s="2760"/>
      <c r="K12" s="1370"/>
      <c r="L12" s="2761" t="s">
        <v>2855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72"/>
      <c r="X12" s="1615" t="s">
        <v>2856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78"/>
      <c r="B13" s="2762" t="s">
        <v>2857</v>
      </c>
      <c r="C13" s="2763" t="s">
        <v>2858</v>
      </c>
      <c r="D13" s="1807" t="s">
        <v>2859</v>
      </c>
      <c r="E13" s="1807" t="s">
        <v>2860</v>
      </c>
      <c r="F13" s="30" t="s">
        <v>2861</v>
      </c>
      <c r="G13" s="2764" t="s">
        <v>2862</v>
      </c>
      <c r="H13" s="2764" t="s">
        <v>2862</v>
      </c>
      <c r="I13" s="2764" t="s">
        <v>2862</v>
      </c>
      <c r="J13" s="2765" t="s">
        <v>2862</v>
      </c>
      <c r="K13" s="1370"/>
      <c r="L13" s="1370"/>
      <c r="M13" s="1370"/>
      <c r="N13" s="1370"/>
      <c r="O13" s="1370"/>
      <c r="P13" s="1370"/>
      <c r="Q13" s="1370"/>
      <c r="R13" s="1601">
        <v>12</v>
      </c>
      <c r="S13" s="1602"/>
      <c r="T13" s="1601" t="e">
        <f t="shared" si="0"/>
        <v>#DIV/0!</v>
      </c>
      <c r="U13" s="1602"/>
      <c r="V13" s="1601" t="e">
        <f t="shared" si="1"/>
        <v>#DIV/0!</v>
      </c>
      <c r="W13" s="3372"/>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78"/>
      <c r="B14" s="2766"/>
      <c r="C14" s="2767"/>
      <c r="D14" s="2768"/>
      <c r="E14" s="2768"/>
      <c r="F14" s="2769"/>
      <c r="G14" s="2770" t="s">
        <v>2863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9"/>
      <c r="B15" s="2774" t="s">
        <v>2864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7" t="s">
        <v>2869</v>
      </c>
      <c r="B16" s="2743" t="s">
        <v>2870</v>
      </c>
      <c r="C16" s="2933" t="e">
        <f>ROUND(IF(F17="与级别开发程度一致",0,(G17-E17)/C17),0)</f>
        <v>#DIV/0!</v>
      </c>
      <c r="D16" s="3368" t="s">
        <v>2874</v>
      </c>
      <c r="E16" s="3369"/>
      <c r="F16" s="3368" t="s">
        <v>2871</v>
      </c>
      <c r="G16" s="3369"/>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8"/>
      <c r="B17" s="2944" t="s">
        <v>2873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2876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2877</v>
      </c>
      <c r="C19" s="924" t="e">
        <f>ROUND(IF(H19="按公示增长率计算",SUMPRODUCT((地价!A3:A26=YEAR(G19)&amp;"-"&amp;ROUNDUP(MONTH(G19)/3,0))*(地价!X2:AB2=E2)*(地价!X3:AB26)),IF(H19="地价指数",M20/M19,(1+I19)^O19)),4)</f>
        <v>#DIV/0!</v>
      </c>
      <c r="D19" s="2787" t="s">
        <v>2878</v>
      </c>
      <c r="E19" s="925">
        <v>41640</v>
      </c>
      <c r="F19" s="2787" t="s">
        <v>2879</v>
      </c>
      <c r="G19" s="926">
        <f>'数据-取费表'!B2</f>
        <v>43598</v>
      </c>
      <c r="H19" s="2788" t="s">
        <v>2880</v>
      </c>
      <c r="I19" s="927" t="str">
        <f>IF(H19="季度增幅（自定义）",SUMIF(N21:N24,E2,O21:O24),"")</f>
        <v/>
      </c>
      <c r="J19" s="2785"/>
      <c r="K19" s="1377"/>
      <c r="L19" s="2789" t="s">
        <v>2881</v>
      </c>
      <c r="M19" s="1733">
        <f>ROUND(SUMIF(地价!B2:F2,E2,地价!B26:F26),0)</f>
        <v>0</v>
      </c>
      <c r="N19" s="2790"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2883</v>
      </c>
      <c r="C20" s="929" t="e">
        <f>ROUND(POWER(1+G20,J20-I20)*(POWER(1+G20,I20)-1)/(POWER(1+G20,J20)-1),4)</f>
        <v>#DIV/0!</v>
      </c>
      <c r="D20" s="2796" t="s">
        <v>2884</v>
      </c>
      <c r="E20" s="1767">
        <f ca="1">存贷款利率!D4/100</f>
        <v>4.3499999999999997E-2</v>
      </c>
      <c r="F20" s="2796" t="s">
        <v>2875</v>
      </c>
      <c r="G20" s="934">
        <f>SUMIF(M26:P26,E2,M28:P28)</f>
        <v>0</v>
      </c>
      <c r="H20" s="2796" t="s">
        <v>2885</v>
      </c>
      <c r="I20" s="935" t="e">
        <f>SUMIF('数据-取费表'!C6:C15,E2,'数据-取费表'!F6:F15)/COUNTIF('数据-取费表'!C6:C15,E2)</f>
        <v>#DIV/0!</v>
      </c>
      <c r="J20" s="936">
        <f>IF(E2="住宅",70,IF(E2="商业",40,50))</f>
        <v>50</v>
      </c>
      <c r="K20" s="1377"/>
      <c r="L20" s="2797" t="s">
        <v>2886</v>
      </c>
      <c r="M20" s="1734">
        <f>ROUND(SUMPRODUCT((地价!A4:A26=YEAR(G19)&amp;"-"&amp;ROUNDUP(MONTH(G19)/3,0))*(地价!B2:F2=E2)*(地价!B4:F26)),0)</f>
        <v>0</v>
      </c>
      <c r="N20" s="2798" t="s">
        <v>2887</v>
      </c>
      <c r="O20" s="2799" t="s">
        <v>2888</v>
      </c>
      <c r="P20" s="2800" t="s">
        <v>2889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2890</v>
      </c>
      <c r="C21" s="937">
        <f>IF(B21="容积率修正",IF(G3&lt;=10,D22,J22),C23)</f>
        <v>0</v>
      </c>
      <c r="D21" s="2803"/>
      <c r="E21" s="2803"/>
      <c r="F21" s="2803"/>
      <c r="G21" s="2803"/>
      <c r="H21" s="2803"/>
      <c r="I21" s="2803"/>
      <c r="J21" s="2804"/>
      <c r="K21" s="1377"/>
      <c r="N21" s="2805"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2892</v>
      </c>
      <c r="B22" s="2806" t="s">
        <v>2893</v>
      </c>
      <c r="C22" s="1809" t="s">
        <v>2894</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2896</v>
      </c>
      <c r="B23" s="2807" t="s">
        <v>2897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2899</v>
      </c>
      <c r="C24" s="924">
        <f>SUMIF(A45:A88,E2,B45:B88)</f>
        <v>0</v>
      </c>
      <c r="D24" s="2784"/>
      <c r="E24" s="2813"/>
      <c r="F24" s="2813"/>
      <c r="G24" s="2813"/>
      <c r="H24" s="2813"/>
      <c r="I24" s="2813"/>
      <c r="J24" s="2814"/>
      <c r="K24" s="1377"/>
      <c r="N24" s="2815"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2901</v>
      </c>
      <c r="C25" s="930"/>
      <c r="D25" s="2746"/>
      <c r="E25" s="2746"/>
      <c r="F25" s="2817"/>
      <c r="G25" s="2746"/>
      <c r="H25" s="2746"/>
      <c r="I25" s="2746"/>
      <c r="J25" s="2747"/>
      <c r="K25" s="1370"/>
      <c r="N25" s="2818"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2903</v>
      </c>
      <c r="C26" s="206" t="e">
        <f>E29+SUM(E33:E39)</f>
        <v>#DIV/0!</v>
      </c>
      <c r="D26" s="2820"/>
      <c r="E26" s="2771"/>
      <c r="F26" s="2821"/>
      <c r="G26" s="2771"/>
      <c r="H26" s="2771"/>
      <c r="I26" s="2771"/>
      <c r="J26" s="2822"/>
      <c r="K26" s="1370"/>
      <c r="L26" s="2775" t="s">
        <v>2800</v>
      </c>
      <c r="M26" s="920" t="s">
        <v>2865</v>
      </c>
      <c r="N26" s="920" t="s">
        <v>2866</v>
      </c>
      <c r="O26" s="920" t="s">
        <v>2867</v>
      </c>
      <c r="P26" s="2776" t="s">
        <v>2868</v>
      </c>
      <c r="R26" s="1376"/>
      <c r="S26" s="1376"/>
      <c r="T26" s="1371"/>
      <c r="U26" s="1371"/>
      <c r="V26" s="1371"/>
      <c r="W26" s="1370"/>
      <c r="X26" s="1370"/>
      <c r="Y26" s="1370"/>
      <c r="Z26" s="1377"/>
      <c r="AA26" s="1378"/>
      <c r="AB26" s="1378"/>
      <c r="AC26" s="1378"/>
      <c r="AD26" s="1378"/>
    </row>
    <row r="27" spans="1:37" ht="15.75" thickBot="1">
      <c r="A27" s="2819"/>
      <c r="B27" s="2823" t="s">
        <v>2904</v>
      </c>
      <c r="C27" s="931" t="e">
        <f>E30+SUM(I33:I39)</f>
        <v>#DIV/0!</v>
      </c>
      <c r="D27" s="2824"/>
      <c r="E27" s="2825"/>
      <c r="F27" s="2826"/>
      <c r="G27" s="2825"/>
      <c r="H27" s="2825"/>
      <c r="I27" s="2825"/>
      <c r="J27" s="2827"/>
      <c r="K27" s="1370"/>
      <c r="L27" s="2779"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2905</v>
      </c>
      <c r="C28" s="2830" t="s">
        <v>2906</v>
      </c>
      <c r="D28" s="2830" t="s">
        <v>2907</v>
      </c>
      <c r="E28" s="2831" t="s">
        <v>2908</v>
      </c>
      <c r="F28" s="2832"/>
      <c r="G28" s="2759"/>
      <c r="H28" s="2759"/>
      <c r="I28" s="2759"/>
      <c r="J28" s="2760"/>
      <c r="K28" s="1370"/>
      <c r="L28" s="2780"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2909</v>
      </c>
      <c r="C29" s="206" t="e">
        <f>ROUND(C5*C18*C19*C20*C21*C24,0)</f>
        <v>#DIV/0!</v>
      </c>
      <c r="D29" s="2835"/>
      <c r="E29" s="942" t="e">
        <f>ROUND(C29*D29/10000,0)</f>
        <v>#DIV/0!</v>
      </c>
      <c r="F29" s="2836" t="s">
        <v>2910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2911</v>
      </c>
      <c r="C30" s="229" t="e">
        <f>ROUND(IF(E2="工业",C29*M39,C29*M38),0)</f>
        <v>#DIV/0!</v>
      </c>
      <c r="D30" s="2841"/>
      <c r="E30" s="942" t="e">
        <f>ROUND(C30*D30/10000,0)</f>
        <v>#DIV/0!</v>
      </c>
      <c r="F30" s="2842" t="s">
        <v>2912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2913</v>
      </c>
      <c r="C31" s="2847" t="s">
        <v>2914</v>
      </c>
      <c r="D31" s="2759"/>
      <c r="E31" s="2847"/>
      <c r="F31" s="2847"/>
      <c r="G31" s="2757" t="s">
        <v>2915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2906</v>
      </c>
      <c r="D32" s="498" t="s">
        <v>2907</v>
      </c>
      <c r="E32" s="498" t="s">
        <v>2908</v>
      </c>
      <c r="F32" s="388" t="s">
        <v>2916</v>
      </c>
      <c r="G32" s="2850" t="s">
        <v>2906</v>
      </c>
      <c r="H32" s="2850" t="s">
        <v>2907</v>
      </c>
      <c r="I32" s="2850"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65" t="s">
        <v>2917</v>
      </c>
      <c r="B33" s="2851" t="s">
        <v>2918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6"/>
      <c r="B34" s="2763" t="s">
        <v>2919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6"/>
      <c r="B35" s="2763" t="s">
        <v>2920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67"/>
      <c r="B36" s="2763" t="s">
        <v>2921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2923</v>
      </c>
      <c r="M37" s="2855"/>
      <c r="N37" s="1370"/>
      <c r="O37" s="1370"/>
      <c r="P37" s="1370"/>
      <c r="Q37" s="1370"/>
      <c r="R37" s="1370"/>
      <c r="S37" s="1370"/>
      <c r="T37" s="1370"/>
      <c r="U37" s="1370"/>
      <c r="V37" s="1370"/>
      <c r="W37" s="1370"/>
      <c r="X37" s="1370"/>
      <c r="Y37" s="1370"/>
      <c r="Z37" s="1371"/>
    </row>
    <row r="38" spans="1:37">
      <c r="A38" s="2853"/>
      <c r="B38" s="2763" t="s">
        <v>2924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2925</v>
      </c>
      <c r="M38" s="2856">
        <v>0.25</v>
      </c>
      <c r="N38" s="1370"/>
      <c r="O38" s="1370"/>
      <c r="P38" s="1370"/>
      <c r="Q38" s="1370"/>
      <c r="R38" s="1370"/>
      <c r="S38" s="1370"/>
      <c r="T38" s="1370"/>
      <c r="U38" s="1370"/>
      <c r="V38" s="1370"/>
      <c r="W38" s="1370"/>
      <c r="X38" s="1370"/>
      <c r="Y38" s="1370"/>
      <c r="Z38" s="1371"/>
    </row>
    <row r="39" spans="1:37" ht="13.5" thickBot="1">
      <c r="A39" s="2839"/>
      <c r="B39" s="2857" t="s">
        <v>2926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2868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3037</v>
      </c>
      <c r="C41" s="388" t="e">
        <f>ROUND(POWER(1+E41,H41-G41)*(POWER(1+E41,G41)-1)/(POWER(1+E41,H41)-1),4)</f>
        <v>#DIV/0!</v>
      </c>
      <c r="D41" s="200" t="s">
        <v>2875</v>
      </c>
      <c r="E41" s="2927">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2928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2929</v>
      </c>
      <c r="B47" s="1808" t="s">
        <v>2930</v>
      </c>
      <c r="C47" s="1808" t="s">
        <v>2931</v>
      </c>
      <c r="D47" s="1808" t="s">
        <v>2932</v>
      </c>
      <c r="E47" s="819" t="s">
        <v>2933</v>
      </c>
      <c r="F47" s="2869" t="s">
        <v>2934</v>
      </c>
      <c r="G47" s="1808" t="s">
        <v>754</v>
      </c>
      <c r="H47" s="2870" t="s">
        <v>2935</v>
      </c>
      <c r="I47" s="1808" t="s">
        <v>2936</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4.75">
      <c r="A48" s="2868" t="s">
        <v>2937</v>
      </c>
      <c r="B48" s="2871" t="str">
        <f>估价对象房地状况!C4</f>
        <v>较差</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2938</v>
      </c>
      <c r="B49" s="2872" t="str">
        <f>估价对象房地状况!C18</f>
        <v>一般</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2939</v>
      </c>
      <c r="B50" s="2872" t="str">
        <f>估价对象房地状况!C19</f>
        <v>一致</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2940</v>
      </c>
      <c r="B51" s="2873" t="s">
        <v>2941</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2942</v>
      </c>
      <c r="B52" s="2872" t="str">
        <f>估价对象房地状况!C24</f>
        <v>次干道</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2943</v>
      </c>
      <c r="B53" s="2874" t="s">
        <v>2944</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2945</v>
      </c>
      <c r="B54" s="1724" t="str">
        <f>估价对象房地状况!C21</f>
        <v>较差</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2946</v>
      </c>
      <c r="B55" s="2872" t="str">
        <f>估价对象房地状况!C22</f>
        <v>六通</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2947</v>
      </c>
      <c r="B56" s="2877" t="str">
        <f>估价对象房地状况!C20</f>
        <v>较好</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2948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2929</v>
      </c>
      <c r="B58" s="1808"/>
      <c r="C58" s="1808" t="s">
        <v>2931</v>
      </c>
      <c r="D58" s="1808" t="s">
        <v>2932</v>
      </c>
      <c r="E58" s="819" t="s">
        <v>2933</v>
      </c>
      <c r="F58" s="2869" t="s">
        <v>2949</v>
      </c>
      <c r="G58" s="1808" t="s">
        <v>754</v>
      </c>
      <c r="H58" s="2870" t="s">
        <v>2935</v>
      </c>
      <c r="I58" s="1808" t="s">
        <v>2936</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68" t="s">
        <v>2950</v>
      </c>
      <c r="B59" s="2871">
        <f>估价对象房地状况!C17</f>
        <v>0</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2938</v>
      </c>
      <c r="B60" s="2872" t="str">
        <f>估价对象房地状况!C18</f>
        <v>一般</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2939</v>
      </c>
      <c r="B61" s="2872" t="str">
        <f>估价对象房地状况!C19</f>
        <v>一致</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2940</v>
      </c>
      <c r="B62" s="2873" t="s">
        <v>2941</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2942</v>
      </c>
      <c r="B63" s="2872" t="str">
        <f>估价对象房地状况!C24</f>
        <v>次干道</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2943</v>
      </c>
      <c r="B64" s="2874" t="s">
        <v>2944</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2945</v>
      </c>
      <c r="B65" s="1724" t="str">
        <f>估价对象房地状况!C21</f>
        <v>较差</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2946</v>
      </c>
      <c r="B66" s="1724" t="str">
        <f>估价对象房地状况!C22</f>
        <v>六通</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2947</v>
      </c>
      <c r="B67" s="2878" t="str">
        <f>估价对象房地状况!C20</f>
        <v>较好</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2929</v>
      </c>
      <c r="B69" s="1808"/>
      <c r="C69" s="1808" t="s">
        <v>2931</v>
      </c>
      <c r="D69" s="1808" t="s">
        <v>2932</v>
      </c>
      <c r="E69" s="819" t="s">
        <v>2933</v>
      </c>
      <c r="F69" s="2869" t="s">
        <v>2949</v>
      </c>
      <c r="G69" s="1808" t="s">
        <v>754</v>
      </c>
      <c r="H69" s="2870" t="s">
        <v>2935</v>
      </c>
      <c r="I69" s="1808" t="s">
        <v>2936</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68" t="s">
        <v>2952</v>
      </c>
      <c r="B70" s="2871" t="str">
        <f>估价对象房地状况!C15</f>
        <v>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2938</v>
      </c>
      <c r="B71" s="2872" t="str">
        <f>估价对象房地状况!C18</f>
        <v>一般</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2939</v>
      </c>
      <c r="B72" s="2872" t="str">
        <f>估价对象房地状况!C19</f>
        <v>一致</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2953</v>
      </c>
      <c r="B73" s="2872" t="str">
        <f>估价对象房地状况!C24</f>
        <v>次干道</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2945</v>
      </c>
      <c r="B74" s="1724" t="str">
        <f>估价对象房地状况!C21</f>
        <v>较差</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2946</v>
      </c>
      <c r="B75" s="1724" t="str">
        <f>估价对象房地状况!C22</f>
        <v>六通</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2943</v>
      </c>
      <c r="B76" s="2874" t="s">
        <v>2944</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2947</v>
      </c>
      <c r="B77" s="2871" t="str">
        <f>估价对象房地状况!C20</f>
        <v>较好</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2954</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2955</v>
      </c>
      <c r="B79" s="2865">
        <f>1+E81</f>
        <v>1</v>
      </c>
      <c r="C79" s="814"/>
      <c r="D79" s="814"/>
      <c r="E79" s="815"/>
      <c r="F79" s="2867"/>
      <c r="G79" s="6"/>
      <c r="H79" s="6"/>
      <c r="I79" s="6"/>
      <c r="J79" s="7"/>
      <c r="K79" s="7"/>
      <c r="L79" s="7"/>
      <c r="M79" s="7"/>
      <c r="N79" s="7"/>
      <c r="Z79" s="2718"/>
      <c r="AA79" s="2786"/>
      <c r="AG79" s="1372"/>
      <c r="AK79" s="2786"/>
    </row>
    <row r="80" spans="1:37" ht="24.75">
      <c r="A80" s="2868" t="s">
        <v>2929</v>
      </c>
      <c r="B80" s="1808"/>
      <c r="C80" s="1808" t="s">
        <v>2931</v>
      </c>
      <c r="D80" s="1808" t="s">
        <v>2932</v>
      </c>
      <c r="E80" s="819" t="s">
        <v>2933</v>
      </c>
      <c r="F80" s="2869" t="s">
        <v>2949</v>
      </c>
      <c r="G80" s="1808" t="s">
        <v>754</v>
      </c>
      <c r="H80" s="2870" t="s">
        <v>2935</v>
      </c>
      <c r="I80" s="1808" t="s">
        <v>2936</v>
      </c>
      <c r="J80" s="603" t="s">
        <v>2584</v>
      </c>
      <c r="K80" s="603" t="s">
        <v>2585</v>
      </c>
      <c r="L80" s="603" t="s">
        <v>2586</v>
      </c>
      <c r="M80" s="603" t="s">
        <v>2587</v>
      </c>
      <c r="N80" s="603" t="s">
        <v>2588</v>
      </c>
      <c r="Z80" s="2718"/>
      <c r="AA80" s="2786"/>
      <c r="AG80" s="1372"/>
      <c r="AK80" s="2786"/>
    </row>
    <row r="81" spans="1:37" ht="24">
      <c r="A81" s="2868" t="s">
        <v>2956</v>
      </c>
      <c r="B81" s="2872">
        <f>估价对象房地状况!G15</f>
        <v>0</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2938</v>
      </c>
      <c r="B82" s="2872">
        <f>估价对象房地状况!G16</f>
        <v>0</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2939</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2953</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2945</v>
      </c>
      <c r="B85" s="1724">
        <f>估价对象房地状况!G19</f>
        <v>0</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2946</v>
      </c>
      <c r="B86" s="1724">
        <f>估价对象房地状况!G20</f>
        <v>0</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2943</v>
      </c>
      <c r="B87" s="2874" t="s">
        <v>2957</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2958</v>
      </c>
      <c r="B88" s="2881">
        <f>估价对象房地状况!G18</f>
        <v>0</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59" t="s">
        <v>2959</v>
      </c>
      <c r="B90" s="3359"/>
      <c r="C90" s="3359"/>
      <c r="D90" s="3359"/>
      <c r="E90" s="3359"/>
      <c r="F90" s="3359"/>
      <c r="G90" s="3359"/>
      <c r="H90" s="3359"/>
      <c r="I90" s="3359"/>
      <c r="J90" s="3359"/>
      <c r="K90" s="2882"/>
      <c r="L90" s="2882"/>
      <c r="M90" s="2882"/>
      <c r="N90" s="2882"/>
    </row>
    <row r="91" spans="1:37">
      <c r="A91" s="3361" t="s">
        <v>2960</v>
      </c>
      <c r="B91" s="3361" t="s">
        <v>2961</v>
      </c>
      <c r="C91" s="2836" t="s">
        <v>2962</v>
      </c>
      <c r="D91" s="2837"/>
      <c r="E91" s="2837"/>
      <c r="F91" s="2837"/>
      <c r="G91" s="2837"/>
      <c r="H91" s="2837"/>
      <c r="I91" s="2837"/>
      <c r="J91" s="2883"/>
      <c r="K91" s="2884"/>
      <c r="L91" s="2884"/>
      <c r="M91" s="2884"/>
      <c r="N91" s="2884"/>
    </row>
    <row r="92" spans="1:37">
      <c r="A92" s="3361"/>
      <c r="B92" s="3361"/>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362"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6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6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6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6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6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63"/>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6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62" t="s">
        <v>2964</v>
      </c>
      <c r="B101" s="2889" t="s">
        <v>2965</v>
      </c>
      <c r="C101" s="2890">
        <f>$G$3</f>
        <v>1.5</v>
      </c>
      <c r="D101" s="2890">
        <f t="shared" ref="D101:N101" si="31">$G$3</f>
        <v>1.5</v>
      </c>
      <c r="E101" s="2890">
        <f t="shared" si="31"/>
        <v>1.5</v>
      </c>
      <c r="F101" s="2890">
        <f t="shared" si="31"/>
        <v>1.5</v>
      </c>
      <c r="G101" s="2890">
        <f t="shared" si="31"/>
        <v>1.5</v>
      </c>
      <c r="H101" s="2890">
        <f t="shared" si="31"/>
        <v>1.5</v>
      </c>
      <c r="I101" s="2890">
        <f t="shared" si="31"/>
        <v>1.5</v>
      </c>
      <c r="J101" s="2890">
        <f t="shared" si="31"/>
        <v>1.5</v>
      </c>
      <c r="K101" s="2890">
        <f t="shared" si="31"/>
        <v>1.5</v>
      </c>
      <c r="L101" s="2890">
        <f t="shared" si="31"/>
        <v>1.5</v>
      </c>
      <c r="M101" s="2890">
        <f t="shared" si="31"/>
        <v>1.5</v>
      </c>
      <c r="N101" s="2890">
        <f t="shared" si="31"/>
        <v>1.5</v>
      </c>
    </row>
    <row r="102" spans="1:14">
      <c r="A102" s="3363"/>
      <c r="B102" s="2885">
        <v>1</v>
      </c>
      <c r="C102" s="2886">
        <f>1.9362/C101</f>
        <v>1.2907999999999999</v>
      </c>
      <c r="D102" s="2886">
        <f>1.9362/D101</f>
        <v>1.2907999999999999</v>
      </c>
      <c r="E102" s="2886">
        <f>1.8629/E101</f>
        <v>1.2419333333333333</v>
      </c>
      <c r="F102" s="2886">
        <f>1.8629/F101</f>
        <v>1.2419333333333333</v>
      </c>
      <c r="G102" s="2886">
        <f>1.8629/G101</f>
        <v>1.2419333333333333</v>
      </c>
      <c r="H102" s="2886">
        <f>1.8629/H101</f>
        <v>1.2419333333333333</v>
      </c>
      <c r="I102" s="2886">
        <f>1.8629/I101</f>
        <v>1.2419333333333333</v>
      </c>
      <c r="J102" s="2886">
        <f>1.942/J101</f>
        <v>1.2946666666666666</v>
      </c>
      <c r="K102" s="2886">
        <f>1.942/K101</f>
        <v>1.2946666666666666</v>
      </c>
      <c r="L102" s="2886">
        <f>1.942/L101</f>
        <v>1.2946666666666666</v>
      </c>
      <c r="M102" s="2886">
        <f>1.942/M101</f>
        <v>1.2946666666666666</v>
      </c>
      <c r="N102" s="2886">
        <f>1.942/N101</f>
        <v>1.2946666666666666</v>
      </c>
    </row>
    <row r="103" spans="1:14">
      <c r="A103" s="3363"/>
      <c r="B103" s="2885">
        <v>2</v>
      </c>
      <c r="C103" s="2886">
        <f>1.4198/C101</f>
        <v>0.94653333333333334</v>
      </c>
      <c r="D103" s="2886">
        <f>1.4198/D101</f>
        <v>0.94653333333333334</v>
      </c>
      <c r="E103" s="2886">
        <f>1.3372/E101</f>
        <v>0.89146666666666663</v>
      </c>
      <c r="F103" s="2886">
        <f>1.3372/F101</f>
        <v>0.89146666666666663</v>
      </c>
      <c r="G103" s="2886">
        <f>1.3372/G101</f>
        <v>0.89146666666666663</v>
      </c>
      <c r="H103" s="2886">
        <f>1.3372/H101</f>
        <v>0.89146666666666663</v>
      </c>
      <c r="I103" s="2886">
        <f>1.3372/I101</f>
        <v>0.89146666666666663</v>
      </c>
      <c r="J103" s="2886">
        <f>1.2799/J101</f>
        <v>0.85326666666666673</v>
      </c>
      <c r="K103" s="2886">
        <f>1.2799/K101</f>
        <v>0.85326666666666673</v>
      </c>
      <c r="L103" s="2886">
        <f>1.2799/L101</f>
        <v>0.85326666666666673</v>
      </c>
      <c r="M103" s="2886">
        <f>1.2799/M101</f>
        <v>0.85326666666666673</v>
      </c>
      <c r="N103" s="2886">
        <f>1.2799/N101</f>
        <v>0.85326666666666673</v>
      </c>
    </row>
    <row r="104" spans="1:14">
      <c r="A104" s="3363"/>
      <c r="B104" s="2885">
        <v>3</v>
      </c>
      <c r="C104" s="2886">
        <f>1.1594/C101</f>
        <v>0.77293333333333336</v>
      </c>
      <c r="D104" s="2886">
        <f>1.1594/D101</f>
        <v>0.77293333333333336</v>
      </c>
      <c r="E104" s="2886">
        <f>1.0788/E101</f>
        <v>0.71919999999999995</v>
      </c>
      <c r="F104" s="2886">
        <f>1.0788/F101</f>
        <v>0.71919999999999995</v>
      </c>
      <c r="G104" s="2886">
        <f>1.0788/G101</f>
        <v>0.71919999999999995</v>
      </c>
      <c r="H104" s="2886">
        <f>1.0788/H101</f>
        <v>0.71919999999999995</v>
      </c>
      <c r="I104" s="2886">
        <f>1.0788/I101</f>
        <v>0.71919999999999995</v>
      </c>
      <c r="J104" s="2886">
        <f>1.0072/J101</f>
        <v>0.67146666666666677</v>
      </c>
      <c r="K104" s="2886">
        <f>1.0072/K101</f>
        <v>0.67146666666666677</v>
      </c>
      <c r="L104" s="2886">
        <f>1.0072/L101</f>
        <v>0.67146666666666677</v>
      </c>
      <c r="M104" s="2886">
        <f>1.0072/M101</f>
        <v>0.67146666666666677</v>
      </c>
      <c r="N104" s="2886">
        <f>1.0072/N101</f>
        <v>0.67146666666666677</v>
      </c>
    </row>
    <row r="105" spans="1:14">
      <c r="A105" s="3363"/>
      <c r="B105" s="2885">
        <v>4</v>
      </c>
      <c r="C105" s="2886">
        <f>0.9622/C101</f>
        <v>0.64146666666666674</v>
      </c>
      <c r="D105" s="2886">
        <f>0.9622/D101</f>
        <v>0.64146666666666674</v>
      </c>
      <c r="E105" s="2886">
        <f>0.8656/E101</f>
        <v>0.57706666666666673</v>
      </c>
      <c r="F105" s="2886">
        <f>0.8656/F101</f>
        <v>0.57706666666666673</v>
      </c>
      <c r="G105" s="2886">
        <f>0.8656/G101</f>
        <v>0.57706666666666673</v>
      </c>
      <c r="H105" s="2886">
        <f>0.8656/H101</f>
        <v>0.57706666666666673</v>
      </c>
      <c r="I105" s="2886">
        <f>0.8656/I101</f>
        <v>0.57706666666666673</v>
      </c>
      <c r="J105" s="2886">
        <f>0.7525/J101</f>
        <v>0.50166666666666659</v>
      </c>
      <c r="K105" s="2886">
        <f>0.7525/K101</f>
        <v>0.50166666666666659</v>
      </c>
      <c r="L105" s="2886">
        <f>0.7525/L101</f>
        <v>0.50166666666666659</v>
      </c>
      <c r="M105" s="2886">
        <f>0.7525/M101</f>
        <v>0.50166666666666659</v>
      </c>
      <c r="N105" s="2886">
        <f>0.7525/N101</f>
        <v>0.50166666666666659</v>
      </c>
    </row>
    <row r="106" spans="1:14">
      <c r="A106" s="3363"/>
      <c r="B106" s="2885">
        <v>5</v>
      </c>
      <c r="C106" s="2886">
        <f>0.8417/C101</f>
        <v>0.56113333333333337</v>
      </c>
      <c r="D106" s="2886">
        <f>0.8417/D101</f>
        <v>0.56113333333333337</v>
      </c>
      <c r="E106" s="2886">
        <f>0.7371/E101</f>
        <v>0.4914</v>
      </c>
      <c r="F106" s="2886">
        <f>0.7371/F101</f>
        <v>0.4914</v>
      </c>
      <c r="G106" s="2886">
        <f>0.7371/G101</f>
        <v>0.4914</v>
      </c>
      <c r="H106" s="2886">
        <f>0.7371/H101</f>
        <v>0.4914</v>
      </c>
      <c r="I106" s="2886">
        <f>0.7371/I101</f>
        <v>0.4914</v>
      </c>
      <c r="J106" s="2886">
        <f>0.5659/J101</f>
        <v>0.37726666666666664</v>
      </c>
      <c r="K106" s="2886">
        <f>0.5659/K101</f>
        <v>0.37726666666666664</v>
      </c>
      <c r="L106" s="2886">
        <f>0.5659/L101</f>
        <v>0.37726666666666664</v>
      </c>
      <c r="M106" s="2886">
        <f>0.5659/M101</f>
        <v>0.37726666666666664</v>
      </c>
      <c r="N106" s="2886">
        <f>0.5659/N101</f>
        <v>0.37726666666666664</v>
      </c>
    </row>
    <row r="107" spans="1:14">
      <c r="A107" s="3363"/>
      <c r="B107" s="2885">
        <v>6</v>
      </c>
      <c r="C107" s="2886">
        <f>0.7608/C101</f>
        <v>0.50719999999999998</v>
      </c>
      <c r="D107" s="2886">
        <f>0.7608/D101</f>
        <v>0.50719999999999998</v>
      </c>
      <c r="E107" s="2886">
        <f>0.6482/E101</f>
        <v>0.43213333333333331</v>
      </c>
      <c r="F107" s="2886">
        <f>0.6482/F101</f>
        <v>0.43213333333333331</v>
      </c>
      <c r="G107" s="2886">
        <f>0.6482/G101</f>
        <v>0.43213333333333331</v>
      </c>
      <c r="H107" s="2886">
        <f>0.6482/H101</f>
        <v>0.43213333333333331</v>
      </c>
      <c r="I107" s="2886">
        <f>0.6482/I101</f>
        <v>0.43213333333333331</v>
      </c>
      <c r="J107" s="2886">
        <f>0.4525/J101</f>
        <v>0.30166666666666669</v>
      </c>
      <c r="K107" s="2886">
        <f>0.4525/K101</f>
        <v>0.30166666666666669</v>
      </c>
      <c r="L107" s="2886">
        <f>0.4525/L101</f>
        <v>0.30166666666666669</v>
      </c>
      <c r="M107" s="2886">
        <f>0.4525/M101</f>
        <v>0.30166666666666669</v>
      </c>
      <c r="N107" s="2886">
        <f>0.4525/N101</f>
        <v>0.30166666666666669</v>
      </c>
    </row>
    <row r="108" spans="1:14">
      <c r="A108" s="3363"/>
      <c r="B108" s="3176"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64"/>
      <c r="B109" s="3177"/>
      <c r="C109" s="2888">
        <f>(-0.163*(C108^2)-0.59*C108+7617)*(10^(-4))/C101</f>
        <v>0.50780000000000003</v>
      </c>
      <c r="D109" s="2888">
        <f>(-0.163*(D108^2)-0.59*D108+7617)*(10^(-4))/D101</f>
        <v>0.50780000000000003</v>
      </c>
      <c r="E109" s="2888">
        <f>(-0.161*(E108^2)-7.509*E108+6533)*(10^(-4))/E101</f>
        <v>0.43553333333333333</v>
      </c>
      <c r="F109" s="2888">
        <f>(-0.161*(F108^2)-7.509*F108+6533)*(10^(-4))/F101</f>
        <v>0.43553333333333333</v>
      </c>
      <c r="G109" s="2888">
        <f>(-0.161*(G108^2)-7.509*G108+6533)*(10^(-4))/G101</f>
        <v>0.43553333333333333</v>
      </c>
      <c r="H109" s="2888">
        <f>(-0.161*(H108^2)-7.509*H108+6533)*(10^(-4))/H101</f>
        <v>0.43553333333333333</v>
      </c>
      <c r="I109" s="2888">
        <f>(-0.161*(I108^2)-7.509*I108+6533)*(10^(-4))/I101</f>
        <v>0.43553333333333333</v>
      </c>
      <c r="J109" s="2888">
        <f>(-0.214*(J108^2)-21.991*J108+4665)*(10^(-4))/J101</f>
        <v>0.311</v>
      </c>
      <c r="K109" s="2888">
        <f>(-0.214*(K108^2)-21.991*K108+4665)*(10^(-4))/K101</f>
        <v>0.311</v>
      </c>
      <c r="L109" s="2888">
        <f>(-0.214*(L108^2)-21.991*L108+4665)*(10^(-4))/L101</f>
        <v>0.311</v>
      </c>
      <c r="M109" s="2888">
        <f>(-0.214*(M108^2)-21.991*M108+4665)*(10^(-4))/M101</f>
        <v>0.311</v>
      </c>
      <c r="N109" s="2888">
        <f>(-0.214*(N108^2)-21.991*N108+4665)*(10^(-4))/N101</f>
        <v>0.311</v>
      </c>
    </row>
    <row r="110" spans="1:14">
      <c r="A110" s="3360" t="s">
        <v>2967</v>
      </c>
      <c r="B110" s="3360"/>
      <c r="C110" s="3360"/>
      <c r="D110" s="3360"/>
      <c r="E110" s="3360"/>
      <c r="F110" s="3360"/>
      <c r="G110" s="3360"/>
      <c r="H110" s="3360"/>
      <c r="I110" s="3360"/>
      <c r="J110" s="3360"/>
      <c r="K110" s="2891"/>
      <c r="L110" s="2891"/>
      <c r="M110" s="2891"/>
      <c r="N110" s="2891"/>
    </row>
    <row r="112" spans="1:14" ht="13.5" thickBot="1"/>
    <row r="113" spans="1:13" ht="25.5" thickBot="1">
      <c r="A113" s="903" t="s">
        <v>2968</v>
      </c>
      <c r="B113" s="1287">
        <f>G3</f>
        <v>1.5</v>
      </c>
      <c r="C113" s="904" t="s">
        <v>2969</v>
      </c>
      <c r="D113" s="905">
        <f>SUMPRODUCT((A115:A118=F113)*(B114:M114=H113)*B115:M118)</f>
        <v>0</v>
      </c>
      <c r="E113" s="2722" t="s">
        <v>2800</v>
      </c>
      <c r="F113" s="2893">
        <f>E2</f>
        <v>0</v>
      </c>
      <c r="G113" s="2722" t="s">
        <v>2801</v>
      </c>
      <c r="H113" s="2893">
        <f>G2</f>
        <v>0</v>
      </c>
      <c r="I113" s="2722"/>
      <c r="J113" s="2894"/>
      <c r="K113" s="2894"/>
      <c r="L113" s="2894"/>
      <c r="M113" s="2894"/>
    </row>
    <row r="114" spans="1:13">
      <c r="A114" s="90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909" t="s">
        <v>2865</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2866</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2867</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2868</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0" t="s">
        <v>183</v>
      </c>
      <c r="B18" s="882" t="s">
        <v>560</v>
      </c>
      <c r="C18" s="883" t="s">
        <v>561</v>
      </c>
      <c r="D18" s="884"/>
      <c r="E18" s="882">
        <v>1</v>
      </c>
      <c r="F18" s="885" t="s">
        <v>562</v>
      </c>
      <c r="G18" s="886"/>
      <c r="H18" s="878"/>
      <c r="I18" s="878"/>
    </row>
    <row r="19" spans="1:9" s="887" customFormat="1" ht="19.5" customHeight="1">
      <c r="A19" s="3380"/>
      <c r="B19" s="3380" t="s">
        <v>563</v>
      </c>
      <c r="C19" s="883" t="s">
        <v>564</v>
      </c>
      <c r="D19" s="884"/>
      <c r="E19" s="882">
        <v>0.9</v>
      </c>
      <c r="F19" s="885" t="s">
        <v>565</v>
      </c>
      <c r="G19" s="886"/>
      <c r="H19" s="878"/>
      <c r="I19" s="878"/>
    </row>
    <row r="20" spans="1:9" s="887" customFormat="1" ht="19.5" customHeight="1">
      <c r="A20" s="3380"/>
      <c r="B20" s="3380"/>
      <c r="C20" s="883" t="s">
        <v>566</v>
      </c>
      <c r="D20" s="884"/>
      <c r="E20" s="882">
        <v>1.1000000000000001</v>
      </c>
      <c r="F20" s="885" t="s">
        <v>567</v>
      </c>
      <c r="G20" s="886"/>
      <c r="H20" s="878"/>
      <c r="I20" s="878"/>
    </row>
    <row r="21" spans="1:9" s="887" customFormat="1" ht="19.5" customHeight="1">
      <c r="A21" s="3380"/>
      <c r="B21" s="3380"/>
      <c r="C21" s="883" t="s">
        <v>568</v>
      </c>
      <c r="D21" s="884"/>
      <c r="E21" s="882">
        <v>0.8</v>
      </c>
      <c r="F21" s="885" t="s">
        <v>569</v>
      </c>
      <c r="G21" s="886"/>
      <c r="H21" s="878"/>
      <c r="I21" s="878"/>
    </row>
    <row r="22" spans="1:9" s="887" customFormat="1" ht="19.5" customHeight="1">
      <c r="A22" s="3380"/>
      <c r="B22" s="3380"/>
      <c r="C22" s="883" t="s">
        <v>570</v>
      </c>
      <c r="D22" s="884"/>
      <c r="E22" s="882">
        <v>0.5</v>
      </c>
      <c r="F22" s="885"/>
      <c r="G22" s="886"/>
      <c r="H22" s="878"/>
      <c r="I22" s="878"/>
    </row>
    <row r="23" spans="1:9" s="887" customFormat="1" ht="19.5" customHeight="1">
      <c r="A23" s="3380" t="s">
        <v>184</v>
      </c>
      <c r="B23" s="882" t="s">
        <v>560</v>
      </c>
      <c r="C23" s="883" t="s">
        <v>571</v>
      </c>
      <c r="D23" s="884"/>
      <c r="E23" s="882">
        <v>1</v>
      </c>
      <c r="F23" s="885" t="s">
        <v>572</v>
      </c>
      <c r="G23" s="886"/>
      <c r="H23" s="878"/>
      <c r="I23" s="878"/>
    </row>
    <row r="24" spans="1:9" s="887" customFormat="1" ht="19.5" customHeight="1">
      <c r="A24" s="3380"/>
      <c r="B24" s="3380" t="s">
        <v>563</v>
      </c>
      <c r="C24" s="883" t="s">
        <v>573</v>
      </c>
      <c r="D24" s="884"/>
      <c r="E24" s="882">
        <v>0.5</v>
      </c>
      <c r="F24" s="885"/>
      <c r="G24" s="886"/>
      <c r="H24" s="878"/>
      <c r="I24" s="878"/>
    </row>
    <row r="25" spans="1:9" s="887" customFormat="1" ht="19.5" customHeight="1">
      <c r="A25" s="3380"/>
      <c r="B25" s="3380"/>
      <c r="C25" s="883" t="s">
        <v>574</v>
      </c>
      <c r="D25" s="884"/>
      <c r="E25" s="882">
        <v>1.1000000000000001</v>
      </c>
      <c r="F25" s="885"/>
      <c r="G25" s="886"/>
      <c r="H25" s="878"/>
      <c r="I25" s="878"/>
    </row>
    <row r="26" spans="1:9" s="887" customFormat="1" ht="19.5" customHeight="1">
      <c r="A26" s="3380"/>
      <c r="B26" s="3380"/>
      <c r="C26" s="883" t="s">
        <v>575</v>
      </c>
      <c r="D26" s="884"/>
      <c r="E26" s="882">
        <v>1.1000000000000001</v>
      </c>
      <c r="F26" s="885"/>
      <c r="G26" s="886"/>
      <c r="H26" s="878"/>
      <c r="I26" s="878"/>
    </row>
    <row r="27" spans="1:9" s="887" customFormat="1" ht="19.5" customHeight="1">
      <c r="A27" s="3380"/>
      <c r="B27" s="3380"/>
      <c r="C27" s="883" t="s">
        <v>576</v>
      </c>
      <c r="D27" s="884"/>
      <c r="E27" s="882">
        <v>0.9</v>
      </c>
      <c r="F27" s="885" t="s">
        <v>577</v>
      </c>
      <c r="G27" s="886"/>
      <c r="H27" s="878"/>
      <c r="I27" s="878"/>
    </row>
    <row r="28" spans="1:9" s="887" customFormat="1" ht="19.5" customHeight="1">
      <c r="A28" s="3380"/>
      <c r="B28" s="3380"/>
      <c r="C28" s="883" t="s">
        <v>578</v>
      </c>
      <c r="D28" s="884"/>
      <c r="E28" s="882">
        <v>0.9</v>
      </c>
      <c r="F28" s="885" t="s">
        <v>579</v>
      </c>
      <c r="G28" s="886"/>
      <c r="H28" s="878"/>
      <c r="I28" s="878"/>
    </row>
    <row r="29" spans="1:9" s="887" customFormat="1" ht="19.5" customHeight="1">
      <c r="A29" s="3380"/>
      <c r="B29" s="3380"/>
      <c r="C29" s="883" t="s">
        <v>580</v>
      </c>
      <c r="D29" s="884"/>
      <c r="E29" s="882">
        <v>0.9</v>
      </c>
      <c r="F29" s="885" t="s">
        <v>581</v>
      </c>
      <c r="G29" s="886"/>
      <c r="H29" s="878"/>
      <c r="I29" s="878"/>
    </row>
    <row r="30" spans="1:9" s="887" customFormat="1" ht="19.5" customHeight="1">
      <c r="A30" s="3380"/>
      <c r="B30" s="3380"/>
      <c r="C30" s="883" t="s">
        <v>582</v>
      </c>
      <c r="D30" s="884"/>
      <c r="E30" s="882">
        <v>0.9</v>
      </c>
      <c r="F30" s="885" t="s">
        <v>583</v>
      </c>
      <c r="G30" s="886"/>
      <c r="H30" s="878"/>
      <c r="I30" s="878"/>
    </row>
    <row r="31" spans="1:9" s="887" customFormat="1" ht="19.5" customHeight="1">
      <c r="A31" s="3380"/>
      <c r="B31" s="3380"/>
      <c r="C31" s="883" t="s">
        <v>584</v>
      </c>
      <c r="D31" s="884"/>
      <c r="E31" s="882">
        <v>0.8</v>
      </c>
      <c r="F31" s="885" t="s">
        <v>585</v>
      </c>
      <c r="G31" s="886"/>
      <c r="H31" s="878"/>
      <c r="I31" s="878"/>
    </row>
    <row r="32" spans="1:9" s="887" customFormat="1" ht="19.5" customHeight="1">
      <c r="A32" s="3380"/>
      <c r="B32" s="3380"/>
      <c r="C32" s="883" t="s">
        <v>586</v>
      </c>
      <c r="D32" s="884"/>
      <c r="E32" s="882">
        <v>0.8</v>
      </c>
      <c r="F32" s="885" t="s">
        <v>587</v>
      </c>
      <c r="G32" s="886"/>
      <c r="H32" s="878"/>
      <c r="I32" s="878"/>
    </row>
    <row r="33" spans="1:9" s="887" customFormat="1" ht="19.5" customHeight="1">
      <c r="A33" s="3380" t="s">
        <v>185</v>
      </c>
      <c r="B33" s="882" t="s">
        <v>560</v>
      </c>
      <c r="C33" s="883" t="s">
        <v>588</v>
      </c>
      <c r="D33" s="884"/>
      <c r="E33" s="882">
        <v>1</v>
      </c>
      <c r="F33" s="885" t="s">
        <v>589</v>
      </c>
      <c r="G33" s="886"/>
      <c r="H33" s="878"/>
      <c r="I33" s="878"/>
    </row>
    <row r="34" spans="1:9" s="887" customFormat="1" ht="19.5" customHeight="1">
      <c r="A34" s="3380"/>
      <c r="B34" s="882" t="s">
        <v>563</v>
      </c>
      <c r="C34" s="883" t="s">
        <v>590</v>
      </c>
      <c r="D34" s="884"/>
      <c r="E34" s="882">
        <v>1.5</v>
      </c>
      <c r="F34" s="885" t="s">
        <v>591</v>
      </c>
      <c r="G34" s="886"/>
      <c r="H34" s="878"/>
      <c r="I34" s="878"/>
    </row>
    <row r="35" spans="1:9" s="887" customFormat="1" ht="19.5" customHeight="1">
      <c r="A35" s="3380" t="s">
        <v>186</v>
      </c>
      <c r="B35" s="882" t="s">
        <v>560</v>
      </c>
      <c r="C35" s="883" t="s">
        <v>592</v>
      </c>
      <c r="D35" s="884"/>
      <c r="E35" s="882">
        <v>1</v>
      </c>
      <c r="F35" s="885" t="s">
        <v>593</v>
      </c>
      <c r="G35" s="886"/>
      <c r="H35" s="878"/>
      <c r="I35" s="878"/>
    </row>
    <row r="36" spans="1:9" s="887" customFormat="1" ht="19.5" customHeight="1">
      <c r="A36" s="3380"/>
      <c r="B36" s="3380" t="s">
        <v>563</v>
      </c>
      <c r="C36" s="883" t="s">
        <v>594</v>
      </c>
      <c r="D36" s="884"/>
      <c r="E36" s="882">
        <v>1</v>
      </c>
      <c r="F36" s="885" t="s">
        <v>595</v>
      </c>
      <c r="G36" s="886"/>
      <c r="H36" s="878"/>
      <c r="I36" s="878"/>
    </row>
    <row r="37" spans="1:9" s="887" customFormat="1" ht="19.5" customHeight="1">
      <c r="A37" s="3380"/>
      <c r="B37" s="3380"/>
      <c r="C37" s="883" t="s">
        <v>596</v>
      </c>
      <c r="D37" s="884"/>
      <c r="E37" s="882">
        <v>1.5</v>
      </c>
      <c r="F37" s="885" t="s">
        <v>597</v>
      </c>
      <c r="G37" s="886"/>
      <c r="H37" s="878"/>
      <c r="I37" s="878"/>
    </row>
    <row r="38" spans="1:9" s="887" customFormat="1" ht="19.5" customHeight="1">
      <c r="A38" s="3380"/>
      <c r="B38" s="3380"/>
      <c r="C38" s="883" t="s">
        <v>598</v>
      </c>
      <c r="D38" s="884"/>
      <c r="E38" s="882">
        <v>1</v>
      </c>
      <c r="F38" s="885" t="s">
        <v>599</v>
      </c>
      <c r="G38" s="886"/>
      <c r="H38" s="878"/>
      <c r="I38" s="878"/>
    </row>
    <row r="39" spans="1:9" s="887" customFormat="1" ht="19.5" customHeight="1">
      <c r="A39" s="3380"/>
      <c r="B39" s="33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0" t="s">
        <v>614</v>
      </c>
      <c r="C61" s="818" t="s">
        <v>615</v>
      </c>
      <c r="D61" s="818" t="s">
        <v>616</v>
      </c>
      <c r="E61" s="895">
        <v>0.5</v>
      </c>
      <c r="F61" s="882">
        <v>80</v>
      </c>
    </row>
    <row r="62" spans="1:8" s="878" customFormat="1" ht="24">
      <c r="A62" s="882">
        <v>2</v>
      </c>
      <c r="B62" s="3380"/>
      <c r="C62" s="818" t="s">
        <v>617</v>
      </c>
      <c r="D62" s="818" t="s">
        <v>618</v>
      </c>
      <c r="E62" s="895">
        <v>0.5</v>
      </c>
      <c r="F62" s="882">
        <v>80</v>
      </c>
    </row>
    <row r="63" spans="1:8" s="878" customFormat="1" ht="36">
      <c r="A63" s="882">
        <v>3</v>
      </c>
      <c r="B63" s="3380"/>
      <c r="C63" s="818" t="s">
        <v>619</v>
      </c>
      <c r="D63" s="818" t="s">
        <v>620</v>
      </c>
      <c r="E63" s="895">
        <v>0.5</v>
      </c>
      <c r="F63" s="882">
        <v>80</v>
      </c>
    </row>
    <row r="64" spans="1:8" s="878" customFormat="1" ht="36">
      <c r="A64" s="882">
        <v>4</v>
      </c>
      <c r="B64" s="3380"/>
      <c r="C64" s="818" t="s">
        <v>621</v>
      </c>
      <c r="D64" s="818" t="s">
        <v>622</v>
      </c>
      <c r="E64" s="895">
        <v>0.4</v>
      </c>
      <c r="F64" s="882">
        <v>60</v>
      </c>
    </row>
    <row r="65" spans="1:6" s="878" customFormat="1" ht="36">
      <c r="A65" s="882">
        <v>5</v>
      </c>
      <c r="B65" s="3380"/>
      <c r="C65" s="818" t="s">
        <v>623</v>
      </c>
      <c r="D65" s="818" t="s">
        <v>624</v>
      </c>
      <c r="E65" s="895">
        <v>0.2</v>
      </c>
      <c r="F65" s="882">
        <v>30</v>
      </c>
    </row>
    <row r="66" spans="1:6" s="878" customFormat="1" ht="36">
      <c r="A66" s="882">
        <v>6</v>
      </c>
      <c r="B66" s="3380"/>
      <c r="C66" s="818" t="s">
        <v>625</v>
      </c>
      <c r="D66" s="818" t="s">
        <v>626</v>
      </c>
      <c r="E66" s="895">
        <v>0.3</v>
      </c>
      <c r="F66" s="882">
        <v>50</v>
      </c>
    </row>
    <row r="67" spans="1:6" s="878" customFormat="1" ht="36">
      <c r="A67" s="882">
        <v>7</v>
      </c>
      <c r="B67" s="3380"/>
      <c r="C67" s="818" t="s">
        <v>627</v>
      </c>
      <c r="D67" s="818" t="s">
        <v>628</v>
      </c>
      <c r="E67" s="895">
        <v>0.2</v>
      </c>
      <c r="F67" s="882">
        <v>30</v>
      </c>
    </row>
    <row r="68" spans="1:6" s="878" customFormat="1" ht="36">
      <c r="A68" s="882">
        <v>8</v>
      </c>
      <c r="B68" s="3380"/>
      <c r="C68" s="818" t="s">
        <v>629</v>
      </c>
      <c r="D68" s="818" t="s">
        <v>630</v>
      </c>
      <c r="E68" s="895">
        <v>0.2</v>
      </c>
      <c r="F68" s="882">
        <v>30</v>
      </c>
    </row>
    <row r="69" spans="1:6" s="878" customFormat="1" ht="36">
      <c r="A69" s="882">
        <v>9</v>
      </c>
      <c r="B69" s="3380"/>
      <c r="C69" s="818" t="s">
        <v>631</v>
      </c>
      <c r="D69" s="818" t="s">
        <v>632</v>
      </c>
      <c r="E69" s="895">
        <v>0.2</v>
      </c>
      <c r="F69" s="882">
        <v>30</v>
      </c>
    </row>
    <row r="70" spans="1:6" s="878" customFormat="1" ht="48">
      <c r="A70" s="882">
        <v>10</v>
      </c>
      <c r="B70" s="3380"/>
      <c r="C70" s="818" t="s">
        <v>633</v>
      </c>
      <c r="D70" s="818" t="s">
        <v>634</v>
      </c>
      <c r="E70" s="895">
        <v>0.2</v>
      </c>
      <c r="F70" s="882">
        <v>30</v>
      </c>
    </row>
    <row r="71" spans="1:6" s="878" customFormat="1" ht="48">
      <c r="A71" s="882">
        <v>11</v>
      </c>
      <c r="B71" s="3380"/>
      <c r="C71" s="818" t="s">
        <v>635</v>
      </c>
      <c r="D71" s="818" t="s">
        <v>636</v>
      </c>
      <c r="E71" s="895">
        <v>0.2</v>
      </c>
      <c r="F71" s="882">
        <v>30</v>
      </c>
    </row>
    <row r="72" spans="1:6" s="878" customFormat="1" ht="36">
      <c r="A72" s="882">
        <v>12</v>
      </c>
      <c r="B72" s="3380"/>
      <c r="C72" s="818" t="s">
        <v>637</v>
      </c>
      <c r="D72" s="818" t="s">
        <v>638</v>
      </c>
      <c r="E72" s="895">
        <v>0.5</v>
      </c>
      <c r="F72" s="882">
        <v>80</v>
      </c>
    </row>
    <row r="73" spans="1:6" s="878" customFormat="1" ht="24">
      <c r="A73" s="882">
        <v>13</v>
      </c>
      <c r="B73" s="3380"/>
      <c r="C73" s="818" t="s">
        <v>639</v>
      </c>
      <c r="D73" s="818" t="s">
        <v>640</v>
      </c>
      <c r="E73" s="895">
        <v>0.4</v>
      </c>
      <c r="F73" s="882">
        <v>60</v>
      </c>
    </row>
    <row r="74" spans="1:6" s="878" customFormat="1" ht="24">
      <c r="A74" s="882">
        <v>14</v>
      </c>
      <c r="B74" s="3380"/>
      <c r="C74" s="818" t="s">
        <v>641</v>
      </c>
      <c r="D74" s="818" t="s">
        <v>642</v>
      </c>
      <c r="E74" s="895">
        <v>0.2</v>
      </c>
      <c r="F74" s="882">
        <v>30</v>
      </c>
    </row>
    <row r="75" spans="1:6" s="878" customFormat="1" ht="24">
      <c r="A75" s="882">
        <v>15</v>
      </c>
      <c r="B75" s="3380"/>
      <c r="C75" s="818" t="s">
        <v>643</v>
      </c>
      <c r="D75" s="818" t="s">
        <v>644</v>
      </c>
      <c r="E75" s="895">
        <v>0.2</v>
      </c>
      <c r="F75" s="882">
        <v>30</v>
      </c>
    </row>
    <row r="76" spans="1:6" s="878" customFormat="1" ht="24">
      <c r="A76" s="882">
        <v>16</v>
      </c>
      <c r="B76" s="3380" t="s">
        <v>645</v>
      </c>
      <c r="C76" s="818" t="s">
        <v>646</v>
      </c>
      <c r="D76" s="818" t="s">
        <v>647</v>
      </c>
      <c r="E76" s="895">
        <v>0.5</v>
      </c>
      <c r="F76" s="882">
        <v>80</v>
      </c>
    </row>
    <row r="77" spans="1:6" s="878" customFormat="1" ht="24">
      <c r="A77" s="882">
        <v>17</v>
      </c>
      <c r="B77" s="3380"/>
      <c r="C77" s="818" t="s">
        <v>648</v>
      </c>
      <c r="D77" s="818" t="s">
        <v>649</v>
      </c>
      <c r="E77" s="895">
        <v>0.5</v>
      </c>
      <c r="F77" s="882">
        <v>80</v>
      </c>
    </row>
    <row r="78" spans="1:6" s="878" customFormat="1" ht="24">
      <c r="A78" s="882">
        <v>18</v>
      </c>
      <c r="B78" s="3380"/>
      <c r="C78" s="818" t="s">
        <v>650</v>
      </c>
      <c r="D78" s="818" t="s">
        <v>651</v>
      </c>
      <c r="E78" s="895">
        <v>0.2</v>
      </c>
      <c r="F78" s="882">
        <v>30</v>
      </c>
    </row>
    <row r="79" spans="1:6" s="878" customFormat="1" ht="24">
      <c r="A79" s="882">
        <v>19</v>
      </c>
      <c r="B79" s="3380"/>
      <c r="C79" s="818" t="s">
        <v>652</v>
      </c>
      <c r="D79" s="818" t="s">
        <v>653</v>
      </c>
      <c r="E79" s="895">
        <v>0.5</v>
      </c>
      <c r="F79" s="882">
        <v>80</v>
      </c>
    </row>
    <row r="80" spans="1:6" s="878" customFormat="1" ht="36">
      <c r="A80" s="882">
        <v>20</v>
      </c>
      <c r="B80" s="3380"/>
      <c r="C80" s="818" t="s">
        <v>654</v>
      </c>
      <c r="D80" s="818" t="s">
        <v>655</v>
      </c>
      <c r="E80" s="895">
        <v>0.2</v>
      </c>
      <c r="F80" s="882">
        <v>30</v>
      </c>
    </row>
    <row r="81" spans="1:6" s="878" customFormat="1" ht="36">
      <c r="A81" s="882">
        <v>21</v>
      </c>
      <c r="B81" s="3380"/>
      <c r="C81" s="818" t="s">
        <v>656</v>
      </c>
      <c r="D81" s="818" t="s">
        <v>657</v>
      </c>
      <c r="E81" s="895">
        <v>0.2</v>
      </c>
      <c r="F81" s="882">
        <v>30</v>
      </c>
    </row>
    <row r="82" spans="1:6" s="878" customFormat="1" ht="48">
      <c r="A82" s="882">
        <v>22</v>
      </c>
      <c r="B82" s="3380"/>
      <c r="C82" s="818" t="s">
        <v>658</v>
      </c>
      <c r="D82" s="818" t="s">
        <v>659</v>
      </c>
      <c r="E82" s="895">
        <v>0.2</v>
      </c>
      <c r="F82" s="882">
        <v>30</v>
      </c>
    </row>
    <row r="83" spans="1:6" s="878" customFormat="1" ht="48">
      <c r="A83" s="882">
        <v>23</v>
      </c>
      <c r="B83" s="3380"/>
      <c r="C83" s="818" t="s">
        <v>660</v>
      </c>
      <c r="D83" s="818" t="s">
        <v>661</v>
      </c>
      <c r="E83" s="895">
        <v>0.2</v>
      </c>
      <c r="F83" s="882">
        <v>30</v>
      </c>
    </row>
    <row r="84" spans="1:6" s="878" customFormat="1" ht="36">
      <c r="A84" s="882">
        <v>24</v>
      </c>
      <c r="B84" s="3380"/>
      <c r="C84" s="818" t="s">
        <v>662</v>
      </c>
      <c r="D84" s="818" t="s">
        <v>663</v>
      </c>
      <c r="E84" s="895">
        <v>0.2</v>
      </c>
      <c r="F84" s="882">
        <v>30</v>
      </c>
    </row>
    <row r="85" spans="1:6" s="878" customFormat="1" ht="36">
      <c r="A85" s="882">
        <v>25</v>
      </c>
      <c r="B85" s="3380"/>
      <c r="C85" s="818" t="s">
        <v>664</v>
      </c>
      <c r="D85" s="818" t="s">
        <v>665</v>
      </c>
      <c r="E85" s="895">
        <v>0.5</v>
      </c>
      <c r="F85" s="882">
        <v>80</v>
      </c>
    </row>
    <row r="86" spans="1:6" s="878" customFormat="1" ht="36">
      <c r="A86" s="882">
        <v>26</v>
      </c>
      <c r="B86" s="3380"/>
      <c r="C86" s="818" t="s">
        <v>666</v>
      </c>
      <c r="D86" s="818" t="s">
        <v>667</v>
      </c>
      <c r="E86" s="895">
        <v>0.2</v>
      </c>
      <c r="F86" s="882">
        <v>30</v>
      </c>
    </row>
    <row r="87" spans="1:6" s="878" customFormat="1" ht="36">
      <c r="A87" s="882">
        <v>27</v>
      </c>
      <c r="B87" s="3380"/>
      <c r="C87" s="818" t="s">
        <v>668</v>
      </c>
      <c r="D87" s="818" t="s">
        <v>669</v>
      </c>
      <c r="E87" s="895">
        <v>0.2</v>
      </c>
      <c r="F87" s="882">
        <v>30</v>
      </c>
    </row>
    <row r="88" spans="1:6" s="878" customFormat="1" ht="36">
      <c r="A88" s="882">
        <v>28</v>
      </c>
      <c r="B88" s="3380"/>
      <c r="C88" s="818" t="s">
        <v>670</v>
      </c>
      <c r="D88" s="818" t="s">
        <v>671</v>
      </c>
      <c r="E88" s="895">
        <v>0.2</v>
      </c>
      <c r="F88" s="882">
        <v>30</v>
      </c>
    </row>
    <row r="89" spans="1:6" s="878" customFormat="1" ht="24">
      <c r="A89" s="882">
        <v>29</v>
      </c>
      <c r="B89" s="3380"/>
      <c r="C89" s="818" t="s">
        <v>672</v>
      </c>
      <c r="D89" s="818" t="s">
        <v>673</v>
      </c>
      <c r="E89" s="895">
        <v>0.2</v>
      </c>
      <c r="F89" s="882">
        <v>30</v>
      </c>
    </row>
    <row r="90" spans="1:6" s="878" customFormat="1" ht="24">
      <c r="A90" s="882">
        <v>30</v>
      </c>
      <c r="B90" s="3380"/>
      <c r="C90" s="818" t="s">
        <v>674</v>
      </c>
      <c r="D90" s="818" t="s">
        <v>675</v>
      </c>
      <c r="E90" s="895">
        <v>0.2</v>
      </c>
      <c r="F90" s="882">
        <v>30</v>
      </c>
    </row>
    <row r="91" spans="1:6" s="878" customFormat="1" ht="36">
      <c r="A91" s="882">
        <v>31</v>
      </c>
      <c r="B91" s="3380"/>
      <c r="C91" s="818" t="s">
        <v>676</v>
      </c>
      <c r="D91" s="818" t="s">
        <v>677</v>
      </c>
      <c r="E91" s="895">
        <v>0.2</v>
      </c>
      <c r="F91" s="882">
        <v>30</v>
      </c>
    </row>
    <row r="92" spans="1:6" s="878" customFormat="1" ht="24">
      <c r="A92" s="882">
        <v>32</v>
      </c>
      <c r="B92" s="3380" t="s">
        <v>678</v>
      </c>
      <c r="C92" s="882" t="s">
        <v>679</v>
      </c>
      <c r="D92" s="818" t="s">
        <v>680</v>
      </c>
      <c r="E92" s="895">
        <v>0.2</v>
      </c>
      <c r="F92" s="882">
        <v>30</v>
      </c>
    </row>
    <row r="93" spans="1:6" s="878" customFormat="1" ht="36">
      <c r="A93" s="882">
        <v>33</v>
      </c>
      <c r="B93" s="3380"/>
      <c r="C93" s="882" t="s">
        <v>681</v>
      </c>
      <c r="D93" s="818" t="s">
        <v>682</v>
      </c>
      <c r="E93" s="895">
        <v>0.2</v>
      </c>
      <c r="F93" s="882">
        <v>30</v>
      </c>
    </row>
    <row r="94" spans="1:6" s="878" customFormat="1" ht="48">
      <c r="A94" s="882">
        <v>34</v>
      </c>
      <c r="B94" s="3380"/>
      <c r="C94" s="882" t="s">
        <v>683</v>
      </c>
      <c r="D94" s="818" t="s">
        <v>684</v>
      </c>
      <c r="E94" s="895">
        <v>0.2</v>
      </c>
      <c r="F94" s="882">
        <v>30</v>
      </c>
    </row>
    <row r="95" spans="1:6" s="878" customFormat="1" ht="36">
      <c r="A95" s="882">
        <v>35</v>
      </c>
      <c r="B95" s="3380"/>
      <c r="C95" s="882" t="s">
        <v>685</v>
      </c>
      <c r="D95" s="818" t="s">
        <v>686</v>
      </c>
      <c r="E95" s="895">
        <v>0.2</v>
      </c>
      <c r="F95" s="882">
        <v>30</v>
      </c>
    </row>
    <row r="96" spans="1:6" s="878" customFormat="1" ht="48">
      <c r="A96" s="882">
        <v>36</v>
      </c>
      <c r="B96" s="3380"/>
      <c r="C96" s="818" t="s">
        <v>687</v>
      </c>
      <c r="D96" s="818" t="s">
        <v>688</v>
      </c>
      <c r="E96" s="895">
        <v>0.2</v>
      </c>
      <c r="F96" s="882">
        <v>30</v>
      </c>
    </row>
    <row r="97" spans="1:6" s="878" customFormat="1" ht="36">
      <c r="A97" s="882">
        <v>37</v>
      </c>
      <c r="B97" s="3380"/>
      <c r="C97" s="882" t="s">
        <v>689</v>
      </c>
      <c r="D97" s="818" t="s">
        <v>690</v>
      </c>
      <c r="E97" s="895">
        <v>0.2</v>
      </c>
      <c r="F97" s="882">
        <v>30</v>
      </c>
    </row>
    <row r="98" spans="1:6" s="878" customFormat="1" ht="36">
      <c r="A98" s="882">
        <v>38</v>
      </c>
      <c r="B98" s="3380"/>
      <c r="C98" s="882" t="s">
        <v>691</v>
      </c>
      <c r="D98" s="818" t="s">
        <v>692</v>
      </c>
      <c r="E98" s="895">
        <v>0.2</v>
      </c>
      <c r="F98" s="882">
        <v>30</v>
      </c>
    </row>
    <row r="99" spans="1:6" s="878" customFormat="1" ht="36">
      <c r="A99" s="882">
        <v>39</v>
      </c>
      <c r="B99" s="3380" t="s">
        <v>693</v>
      </c>
      <c r="C99" s="882" t="s">
        <v>694</v>
      </c>
      <c r="D99" s="818" t="s">
        <v>695</v>
      </c>
      <c r="E99" s="895">
        <v>0.3</v>
      </c>
      <c r="F99" s="882">
        <v>50</v>
      </c>
    </row>
    <row r="100" spans="1:6" s="878" customFormat="1" ht="24">
      <c r="A100" s="882">
        <v>40</v>
      </c>
      <c r="B100" s="3380"/>
      <c r="C100" s="882" t="s">
        <v>696</v>
      </c>
      <c r="D100" s="818" t="s">
        <v>697</v>
      </c>
      <c r="E100" s="895">
        <v>0.2</v>
      </c>
      <c r="F100" s="882">
        <v>30</v>
      </c>
    </row>
    <row r="101" spans="1:6" s="878" customFormat="1" ht="36">
      <c r="A101" s="882">
        <v>41</v>
      </c>
      <c r="B101" s="33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0" t="s">
        <v>708</v>
      </c>
      <c r="C105" s="882" t="s">
        <v>709</v>
      </c>
      <c r="D105" s="818" t="s">
        <v>710</v>
      </c>
      <c r="E105" s="895">
        <v>0.2</v>
      </c>
      <c r="F105" s="882">
        <v>30</v>
      </c>
    </row>
    <row r="106" spans="1:6" s="878" customFormat="1" ht="36">
      <c r="A106" s="882">
        <v>46</v>
      </c>
      <c r="B106" s="3380"/>
      <c r="C106" s="882" t="s">
        <v>711</v>
      </c>
      <c r="D106" s="818" t="s">
        <v>712</v>
      </c>
      <c r="E106" s="895">
        <v>0.2</v>
      </c>
      <c r="F106" s="882">
        <v>30</v>
      </c>
    </row>
    <row r="107" spans="1:6" s="878" customFormat="1" ht="36">
      <c r="A107" s="882">
        <v>47</v>
      </c>
      <c r="B107" s="3380" t="s">
        <v>713</v>
      </c>
      <c r="C107" s="882" t="s">
        <v>714</v>
      </c>
      <c r="D107" s="818" t="s">
        <v>715</v>
      </c>
      <c r="E107" s="895">
        <v>0.3</v>
      </c>
      <c r="F107" s="882">
        <v>50</v>
      </c>
    </row>
    <row r="108" spans="1:6" s="878" customFormat="1" ht="36">
      <c r="A108" s="882">
        <v>48</v>
      </c>
      <c r="B108" s="33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0" t="s">
        <v>724</v>
      </c>
      <c r="C111" s="882" t="s">
        <v>725</v>
      </c>
      <c r="D111" s="818" t="s">
        <v>726</v>
      </c>
      <c r="E111" s="895">
        <v>0.2</v>
      </c>
      <c r="F111" s="882">
        <v>30</v>
      </c>
    </row>
    <row r="112" spans="1:6" s="878" customFormat="1" ht="24">
      <c r="A112" s="882">
        <v>52</v>
      </c>
      <c r="B112" s="3380"/>
      <c r="C112" s="882" t="s">
        <v>727</v>
      </c>
      <c r="D112" s="818" t="s">
        <v>728</v>
      </c>
      <c r="E112" s="895">
        <v>0.2</v>
      </c>
      <c r="F112" s="882">
        <v>30</v>
      </c>
    </row>
    <row r="113" spans="1:6" s="878" customFormat="1" ht="24">
      <c r="A113" s="882">
        <v>53</v>
      </c>
      <c r="B113" s="33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0" t="s">
        <v>737</v>
      </c>
      <c r="C116" s="882" t="s">
        <v>738</v>
      </c>
      <c r="D116" s="818" t="s">
        <v>739</v>
      </c>
      <c r="E116" s="895">
        <v>0.2</v>
      </c>
      <c r="F116" s="882">
        <v>30</v>
      </c>
    </row>
    <row r="117" spans="1:6" ht="36">
      <c r="A117" s="882">
        <v>57</v>
      </c>
      <c r="B117" s="33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74">
        <f ca="1">SUMIF(INDIRECT("'"&amp;A6&amp;"'"&amp;"!C:C"),"建筑面积",INDIRECT("'"&amp;A6&amp;"'"&amp;"!D:D"))</f>
        <v>0</v>
      </c>
    </row>
    <row r="7" spans="1:5" ht="15.75">
      <c r="A7" s="2905"/>
      <c r="B7" s="2901" t="e">
        <f ca="1">SUMIF(INDIRECT("'"&amp;A7&amp;"'"&amp;"!A:A"),"总价",INDIRECT("'"&amp;A7&amp;"'"&amp;"!B:B"))</f>
        <v>#REF!</v>
      </c>
      <c r="C7" s="2900" t="s">
        <v>2983</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74" t="e">
        <f t="shared" ca="1" si="0"/>
        <v>#REF!</v>
      </c>
    </row>
    <row r="9" spans="1:5" ht="15.75">
      <c r="A9" s="2905"/>
      <c r="B9" s="2901" t="e">
        <f t="shared" ca="1" si="1"/>
        <v>#REF!</v>
      </c>
      <c r="C9" s="2900" t="s">
        <v>2983</v>
      </c>
      <c r="D9" s="2902"/>
      <c r="E9" s="2574" t="e">
        <f t="shared" ca="1" si="0"/>
        <v>#REF!</v>
      </c>
    </row>
    <row r="10" spans="1:5" ht="15.75">
      <c r="A10" s="2905"/>
      <c r="B10" s="2901" t="e">
        <f t="shared" ca="1" si="1"/>
        <v>#REF!</v>
      </c>
      <c r="C10" s="2900" t="s">
        <v>2983</v>
      </c>
      <c r="D10" s="2902"/>
      <c r="E10" s="2574" t="e">
        <f t="shared" ca="1" si="0"/>
        <v>#REF!</v>
      </c>
    </row>
    <row r="11" spans="1:5" ht="15.75">
      <c r="A11" s="2905"/>
      <c r="B11" s="2901" t="e">
        <f t="shared" ca="1" si="1"/>
        <v>#REF!</v>
      </c>
      <c r="C11" s="2900" t="s">
        <v>2983</v>
      </c>
      <c r="D11" s="2902"/>
      <c r="E11" s="2574" t="e">
        <f t="shared" ca="1" si="0"/>
        <v>#REF!</v>
      </c>
    </row>
    <row r="12" spans="1:5" ht="15.75">
      <c r="A12" s="2905"/>
      <c r="B12" s="2901" t="e">
        <f t="shared" ca="1" si="1"/>
        <v>#REF!</v>
      </c>
      <c r="C12" s="2900" t="s">
        <v>2983</v>
      </c>
      <c r="D12" s="2902"/>
      <c r="E12" s="2574" t="e">
        <f t="shared" ca="1" si="0"/>
        <v>#REF!</v>
      </c>
    </row>
    <row r="13" spans="1:5" ht="15.75">
      <c r="A13" s="2905"/>
      <c r="B13" s="2901" t="e">
        <f t="shared" ca="1" si="1"/>
        <v>#REF!</v>
      </c>
      <c r="C13" s="2900" t="s">
        <v>2983</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6" t="s">
        <v>1146</v>
      </c>
      <c r="C1" s="3386"/>
      <c r="D1" s="3386"/>
      <c r="E1" s="3386"/>
      <c r="F1" s="3386"/>
      <c r="G1" s="3382" t="s">
        <v>1147</v>
      </c>
      <c r="H1" s="3382"/>
      <c r="I1" s="3382"/>
      <c r="J1" s="3382"/>
      <c r="K1" s="3382"/>
      <c r="L1" s="3382"/>
      <c r="N1" s="3382" t="s">
        <v>1148</v>
      </c>
      <c r="O1" s="3382"/>
      <c r="P1" s="3382"/>
      <c r="Q1" s="3382"/>
      <c r="R1" s="1446"/>
      <c r="S1" s="3382" t="s">
        <v>1149</v>
      </c>
      <c r="T1" s="3382"/>
      <c r="U1" s="3382"/>
      <c r="V1" s="3382"/>
      <c r="X1" s="3381" t="s">
        <v>1150</v>
      </c>
      <c r="Y1" s="3382"/>
      <c r="Z1" s="3382"/>
      <c r="AA1" s="3382"/>
      <c r="AB1" s="3382"/>
      <c r="AD1" s="3381" t="s">
        <v>1151</v>
      </c>
      <c r="AE1" s="3382"/>
      <c r="AF1" s="3382"/>
      <c r="AG1" s="3382"/>
      <c r="AH1" s="338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3026</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84">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8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8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9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3021</v>
      </c>
      <c r="B11" s="1469">
        <v>439</v>
      </c>
      <c r="C11" s="1469">
        <v>327</v>
      </c>
      <c r="D11" s="1469">
        <f>C11</f>
        <v>327</v>
      </c>
      <c r="E11" s="1469">
        <v>627</v>
      </c>
      <c r="F11" s="1470">
        <v>283</v>
      </c>
      <c r="G11" s="338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8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8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9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8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8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8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8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8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8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8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8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8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8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8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8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8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8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8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9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8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8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8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8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8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8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8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8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8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8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8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8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8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8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8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8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8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8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8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8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8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8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8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8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8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8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8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8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8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8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8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8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8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8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8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8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8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8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8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8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8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8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8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8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93" t="s">
        <v>2993</v>
      </c>
      <c r="D1" s="3394"/>
      <c r="E1" s="3394"/>
      <c r="F1" s="3394"/>
      <c r="G1" s="3394"/>
      <c r="H1" s="3394"/>
      <c r="I1" s="3394"/>
      <c r="J1" s="3394"/>
      <c r="K1" s="3394"/>
      <c r="L1" s="3394"/>
      <c r="M1" s="3394"/>
      <c r="N1" s="3394"/>
      <c r="O1" s="3394"/>
      <c r="P1" s="3394"/>
      <c r="Q1" s="3394"/>
      <c r="R1" s="3394"/>
      <c r="S1" s="3395"/>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3002</v>
      </c>
      <c r="B17" s="2907"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3004</v>
      </c>
      <c r="E19" s="1791"/>
      <c r="F19" s="1791"/>
      <c r="G19" s="1791"/>
      <c r="H19" s="1280"/>
      <c r="I19" s="168"/>
      <c r="J19" s="168"/>
      <c r="K19" s="168"/>
      <c r="L19" s="168"/>
      <c r="M19" s="168"/>
      <c r="N19" s="168"/>
      <c r="O19" s="168"/>
      <c r="P19" s="168"/>
      <c r="Q19" s="168"/>
      <c r="R19" s="788"/>
      <c r="S19" s="138"/>
    </row>
    <row r="20" spans="1:45" ht="16.5" thickBot="1">
      <c r="A20" s="715" t="s">
        <v>3005</v>
      </c>
      <c r="B20" s="338" t="e">
        <f ca="1">IF(D20="——",S22,S22-F20)</f>
        <v>#REF!</v>
      </c>
      <c r="C20" s="168"/>
      <c r="D20" s="2909" t="s">
        <v>3006</v>
      </c>
      <c r="E20" s="1792"/>
      <c r="F20" s="1204" t="e">
        <f ca="1">SUMIF(INDIRECT("'"&amp;H20&amp;"'"&amp;"!A:A"),"承租人权益价值",INDIRECT("'"&amp;H20&amp;"'"&amp;"!c:c"))</f>
        <v>#REF!</v>
      </c>
      <c r="G20" s="1204" t="s">
        <v>3007</v>
      </c>
      <c r="H20" s="291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57" t="s">
        <v>33</v>
      </c>
      <c r="D22" s="3158"/>
      <c r="E22" s="3158"/>
      <c r="F22" s="3158"/>
      <c r="G22" s="3158"/>
      <c r="H22" s="3158"/>
      <c r="I22" s="3158"/>
      <c r="J22" s="3158"/>
      <c r="K22" s="3158"/>
      <c r="L22" s="3158"/>
      <c r="M22" s="3158"/>
      <c r="N22" s="3158"/>
      <c r="O22" s="3158"/>
      <c r="P22" s="3158"/>
      <c r="Q22" s="3392"/>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31379</v>
      </c>
      <c r="C2" s="2" t="s">
        <v>133</v>
      </c>
      <c r="D2" s="243"/>
      <c r="E2" s="243"/>
      <c r="F2" s="243"/>
      <c r="G2" s="243"/>
    </row>
    <row r="3" spans="1:7" s="244" customFormat="1" ht="18" customHeight="1" thickBot="1">
      <c r="A3" s="247" t="s">
        <v>85</v>
      </c>
      <c r="B3" s="248">
        <f ca="1">ROUND(B2*10000/'数据-汇总表'!E3,0)</f>
        <v>13471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210</v>
      </c>
      <c r="D9" s="1032">
        <f>'数据-汇总表'!E5</f>
        <v>23293.309999999998</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466</v>
      </c>
      <c r="D19" s="1036">
        <f>'数据-汇总表'!E3</f>
        <v>23293.309999999998</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1827</v>
      </c>
      <c r="D27" s="279">
        <f>C29</f>
        <v>1.6999999999999999E-3</v>
      </c>
      <c r="E27" s="280" t="s">
        <v>126</v>
      </c>
      <c r="F27" s="290">
        <f>'数据-取费表'!Q16</f>
        <v>0.17</v>
      </c>
      <c r="G27" s="291" t="s">
        <v>1066</v>
      </c>
    </row>
    <row r="28" spans="1:7" s="258" customFormat="1" ht="13.5" customHeight="1">
      <c r="A28" s="951" t="s">
        <v>794</v>
      </c>
      <c r="B28" s="292" t="s">
        <v>1059</v>
      </c>
      <c r="C28" s="293">
        <f>ROUND((C5+C19+C20)*F27*'数据-取费表'!B21/'数据-取费表'!B20,0)</f>
        <v>1827</v>
      </c>
      <c r="D28" s="279"/>
      <c r="E28" s="280"/>
      <c r="F28" s="290"/>
      <c r="G28" s="291"/>
    </row>
    <row r="29" spans="1:7" s="258" customFormat="1" ht="13.5" customHeight="1">
      <c r="A29" s="951" t="s">
        <v>792</v>
      </c>
      <c r="B29" s="292" t="s">
        <v>1060</v>
      </c>
      <c r="C29" s="282">
        <f>ROUND(C21*F27*'数据-取费表'!B21/'数据-取费表'!B20,4)</f>
        <v>1.6999999999999999E-3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2913</v>
      </c>
      <c r="D34" s="261"/>
      <c r="E34" s="264"/>
      <c r="F34" s="301">
        <f>IF('数据-取费表'!B24=0,1,'数据-取费表'!N16)</f>
        <v>0.5</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0.03</v>
      </c>
      <c r="G36" s="304" t="s">
        <v>62</v>
      </c>
    </row>
    <row r="37" spans="1:7" s="302" customFormat="1" ht="13.5" customHeight="1">
      <c r="A37" s="951" t="s">
        <v>798</v>
      </c>
      <c r="B37" s="259" t="s">
        <v>118</v>
      </c>
      <c r="C37" s="293">
        <f>ROUND(E37*D37*F34/10000,0)</f>
        <v>233</v>
      </c>
      <c r="D37" s="261">
        <f>'数据-汇总表'!E3</f>
        <v>23293.309999999998</v>
      </c>
      <c r="E37" s="293">
        <f>'数据-取费表'!B35</f>
        <v>200</v>
      </c>
      <c r="F37" s="303"/>
      <c r="G37" s="305" t="s">
        <v>119</v>
      </c>
    </row>
    <row r="38" spans="1:7" ht="13.5" customHeight="1">
      <c r="A38" s="951" t="s">
        <v>799</v>
      </c>
      <c r="B38" s="259" t="s">
        <v>63</v>
      </c>
      <c r="C38" s="264">
        <f>ROUND(C34*F38,0)</f>
        <v>44</v>
      </c>
      <c r="D38" s="264"/>
      <c r="E38" s="264"/>
      <c r="F38" s="303">
        <f>'数据-取费表'!B36</f>
        <v>1.4999999999999999E-2</v>
      </c>
      <c r="G38" s="263" t="s">
        <v>117</v>
      </c>
    </row>
    <row r="39" spans="1:7" s="258" customFormat="1" ht="13.5" customHeight="1">
      <c r="A39" s="948" t="s">
        <v>783</v>
      </c>
      <c r="B39" s="254" t="s">
        <v>104</v>
      </c>
      <c r="C39" s="276">
        <f>ROUND(C33*F20,0)</f>
        <v>67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121</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119</v>
      </c>
      <c r="D42" s="282"/>
      <c r="E42" s="282"/>
      <c r="F42" s="283"/>
      <c r="G42" s="3242" t="s">
        <v>121</v>
      </c>
    </row>
    <row r="43" spans="1:7" ht="13.5" customHeight="1">
      <c r="A43" s="951" t="s">
        <v>792</v>
      </c>
      <c r="B43" s="259" t="s">
        <v>1061</v>
      </c>
      <c r="C43" s="282">
        <f ca="1">ROUND(IF('数据-取费表'!B22&lt;=1,C39*F22*'数据-取费表'!B21/2,C39*(POWER((1+F22),'数据-取费表'!B21/2)-1)),0)</f>
        <v>2</v>
      </c>
      <c r="D43" s="282"/>
      <c r="E43" s="282"/>
      <c r="F43" s="283"/>
      <c r="G43" s="3243"/>
    </row>
    <row r="44" spans="1:7" ht="13.5" customHeight="1">
      <c r="A44" s="951" t="s">
        <v>793</v>
      </c>
      <c r="B44" s="259" t="s">
        <v>1063</v>
      </c>
      <c r="C44" s="282">
        <f ca="1">ROUND(IF('数据-取费表'!B22&lt;=1,C40*F22*'数据-取费表'!B21/2,C40*(POWER((1+F22),'数据-取费表'!B21/2)-1)),4)</f>
        <v>6.9999999999999999E-4</v>
      </c>
      <c r="D44" s="282"/>
      <c r="E44" s="282"/>
      <c r="F44" s="283"/>
      <c r="G44" s="3244"/>
    </row>
    <row r="45" spans="1:7" s="258" customFormat="1" ht="13.5" customHeight="1">
      <c r="A45" s="948" t="s">
        <v>786</v>
      </c>
      <c r="B45" s="288" t="s">
        <v>112</v>
      </c>
      <c r="C45" s="289">
        <f>C46</f>
        <v>583</v>
      </c>
      <c r="D45" s="279">
        <f>C47</f>
        <v>3.3999999999999998E-3</v>
      </c>
      <c r="E45" s="280" t="s">
        <v>129</v>
      </c>
      <c r="F45" s="290"/>
      <c r="G45" s="291" t="s">
        <v>1069</v>
      </c>
    </row>
    <row r="46" spans="1:7" s="258" customFormat="1" ht="13.5" customHeight="1">
      <c r="A46" s="951" t="s">
        <v>794</v>
      </c>
      <c r="B46" s="292" t="s">
        <v>1062</v>
      </c>
      <c r="C46" s="293">
        <f>ROUND((C33+C39)*F27,0)</f>
        <v>583</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4482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4482</v>
      </c>
      <c r="D51" s="276"/>
      <c r="E51" s="276"/>
      <c r="F51" s="308"/>
      <c r="G51" s="278" t="s">
        <v>64</v>
      </c>
    </row>
    <row r="52" spans="1:7" s="252" customFormat="1" ht="16.5" thickBot="1">
      <c r="A52" s="309" t="s">
        <v>65</v>
      </c>
      <c r="B52" s="310"/>
      <c r="C52" s="311">
        <f ca="1">C31+C51</f>
        <v>31379</v>
      </c>
      <c r="D52" s="310"/>
      <c r="E52" s="310"/>
      <c r="F52" s="310"/>
      <c r="G52" s="312"/>
    </row>
    <row r="55" spans="1:7" ht="15">
      <c r="B55" s="314" t="s">
        <v>66</v>
      </c>
      <c r="C55" s="315"/>
    </row>
    <row r="56" spans="1:7">
      <c r="B56" s="317" t="s">
        <v>67</v>
      </c>
      <c r="C56" s="318">
        <f ca="1">ROUND(C51/C52,3)</f>
        <v>0.14299999999999999</v>
      </c>
    </row>
    <row r="57" spans="1:7">
      <c r="B57" s="317" t="s">
        <v>68</v>
      </c>
      <c r="C57" s="319">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96" t="s">
        <v>156</v>
      </c>
      <c r="B1" s="3396"/>
      <c r="C1" s="3396"/>
      <c r="D1" s="3396"/>
      <c r="E1" s="3396"/>
      <c r="F1" s="33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97" t="s">
        <v>169</v>
      </c>
      <c r="B2" s="3397"/>
      <c r="C2" s="3397"/>
      <c r="D2" s="3397"/>
      <c r="E2" s="3397"/>
      <c r="F2" s="33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96" t="s">
        <v>868</v>
      </c>
      <c r="B1" s="339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1637</v>
      </c>
      <c r="B2" s="3063" t="s">
        <v>1638</v>
      </c>
      <c r="C2" s="3063" t="s">
        <v>1639</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64"/>
      <c r="B3" s="3064"/>
      <c r="C3" s="3064"/>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23293.309999999998</v>
      </c>
      <c r="C4" s="1044">
        <f>项目基本情况!C18</f>
        <v>15532.95</v>
      </c>
      <c r="D4" s="1044">
        <f ca="1">结果表!D118</f>
        <v>12961</v>
      </c>
      <c r="E4" s="1044">
        <f ca="1">结果表!E118</f>
        <v>5564</v>
      </c>
      <c r="F4" s="1044">
        <f ca="1">结果表!F118</f>
        <v>4507</v>
      </c>
      <c r="G4" s="1044">
        <f ca="1">结果表!G118</f>
        <v>1935</v>
      </c>
      <c r="H4" s="1044">
        <f ca="1">结果表!H118</f>
        <v>17468</v>
      </c>
      <c r="I4" s="1044">
        <f ca="1">结果表!I118</f>
        <v>7499</v>
      </c>
    </row>
    <row r="5" spans="1:9" ht="30" customHeight="1">
      <c r="A5" s="3064" t="s">
        <v>1636</v>
      </c>
      <c r="B5" s="3064"/>
      <c r="C5" s="3064"/>
      <c r="D5" s="3065" t="str">
        <f ca="1">结果表!D119</f>
        <v>壹亿贰仟玖佰陆拾壹万元整</v>
      </c>
      <c r="E5" s="3065"/>
      <c r="F5" s="3065" t="str">
        <f ca="1">结果表!F119</f>
        <v>肆仟伍佰零柒万元整</v>
      </c>
      <c r="G5" s="3065"/>
      <c r="H5" s="3065" t="str">
        <f ca="1">结果表!H119</f>
        <v>壹亿柒仟肆佰陆拾捌万元整</v>
      </c>
      <c r="I5" s="3065"/>
    </row>
    <row r="6" spans="1:9" ht="15.75">
      <c r="A6" s="3066" t="str">
        <f>结果表!A120</f>
        <v>估价师知悉的法定优先受偿款</v>
      </c>
      <c r="B6" s="3066"/>
      <c r="C6" s="3066"/>
      <c r="D6" s="3066">
        <f>结果表!D120</f>
        <v>0</v>
      </c>
      <c r="E6" s="3066"/>
      <c r="F6" s="3066"/>
      <c r="G6" s="3066"/>
      <c r="H6" s="3066"/>
      <c r="I6" s="3066"/>
    </row>
    <row r="7" spans="1:9" ht="15">
      <c r="A7" s="3064" t="s">
        <v>1636</v>
      </c>
      <c r="B7" s="3064"/>
      <c r="C7" s="3064"/>
      <c r="D7" s="3067" t="str">
        <f>结果表!D121</f>
        <v>零元整</v>
      </c>
      <c r="E7" s="3068"/>
      <c r="F7" s="3068"/>
      <c r="G7" s="3068"/>
      <c r="H7" s="3068"/>
      <c r="I7" s="3069"/>
    </row>
    <row r="8" spans="1:9" ht="15.75">
      <c r="A8" s="3066" t="str">
        <f>结果表!A122</f>
        <v>房地产抵押价值</v>
      </c>
      <c r="B8" s="3066"/>
      <c r="C8" s="3066"/>
      <c r="D8" s="3066">
        <f ca="1">结果表!D122</f>
        <v>17468</v>
      </c>
      <c r="E8" s="3066"/>
      <c r="F8" s="3066"/>
      <c r="G8" s="3066"/>
      <c r="H8" s="3066"/>
      <c r="I8" s="3066"/>
    </row>
    <row r="9" spans="1:9" ht="15">
      <c r="A9" s="3064" t="s">
        <v>1636</v>
      </c>
      <c r="B9" s="3064"/>
      <c r="C9" s="3064"/>
      <c r="D9" s="3065" t="str">
        <f ca="1">结果表!D123</f>
        <v>壹亿柒仟肆佰陆拾捌万元整</v>
      </c>
      <c r="E9" s="3065"/>
      <c r="F9" s="3065"/>
      <c r="G9" s="3065"/>
      <c r="H9" s="3065"/>
      <c r="I9" s="3065"/>
    </row>
    <row r="10" spans="1:9" ht="15.75">
      <c r="A10" s="3066" t="str">
        <f>结果表!A124</f>
        <v/>
      </c>
      <c r="B10" s="3066"/>
      <c r="C10" s="3066"/>
      <c r="D10" s="3066" t="str">
        <f>结果表!D124</f>
        <v>——</v>
      </c>
      <c r="E10" s="3066"/>
      <c r="F10" s="3066"/>
      <c r="G10" s="3066"/>
      <c r="H10" s="3066"/>
      <c r="I10" s="3066"/>
    </row>
    <row r="11" spans="1:9" ht="15">
      <c r="A11" s="3064" t="s">
        <v>1636</v>
      </c>
      <c r="B11" s="3064"/>
      <c r="C11" s="3064"/>
      <c r="D11" s="3065" t="e">
        <f>结果表!D125</f>
        <v>#VALUE!</v>
      </c>
      <c r="E11" s="3065"/>
      <c r="F11" s="3065"/>
      <c r="G11" s="3065"/>
      <c r="H11" s="3065"/>
      <c r="I11" s="3065"/>
    </row>
    <row r="12" spans="1:9" ht="15.75">
      <c r="A12" s="3066" t="str">
        <f>结果表!A126</f>
        <v/>
      </c>
      <c r="B12" s="3066"/>
      <c r="C12" s="3066"/>
      <c r="D12" s="3066" t="str">
        <f>结果表!D126</f>
        <v>——</v>
      </c>
      <c r="E12" s="3066"/>
      <c r="F12" s="3066"/>
      <c r="G12" s="3066"/>
      <c r="H12" s="3066"/>
      <c r="I12" s="3066"/>
    </row>
    <row r="13" spans="1:9" ht="15.75" thickBot="1">
      <c r="A13" s="3070" t="s">
        <v>1636</v>
      </c>
      <c r="B13" s="3070"/>
      <c r="C13" s="3070"/>
      <c r="D13" s="3071" t="e">
        <f>结果表!D127</f>
        <v>#VALUE!</v>
      </c>
      <c r="E13" s="3071"/>
      <c r="F13" s="3071"/>
      <c r="G13" s="3071"/>
      <c r="H13" s="3071"/>
      <c r="I13" s="3071"/>
    </row>
    <row r="14" spans="1:9" ht="15" thickTop="1">
      <c r="A14" s="3072" t="s">
        <v>1641</v>
      </c>
      <c r="B14" s="3072"/>
      <c r="C14" s="3072"/>
      <c r="D14" s="3072"/>
      <c r="E14" s="3072"/>
      <c r="F14" s="3072"/>
      <c r="G14" s="3072"/>
      <c r="H14" s="3072"/>
      <c r="I14" s="3072"/>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3" t="s">
        <v>1658</v>
      </c>
      <c r="B1" s="3073"/>
      <c r="C1" s="3073"/>
      <c r="D1" s="3073"/>
    </row>
    <row r="2" spans="1:4" ht="18">
      <c r="A2" s="3074" t="s">
        <v>1642</v>
      </c>
      <c r="B2" s="3074"/>
      <c r="C2" s="3074"/>
      <c r="D2" s="3074"/>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74" t="s">
        <v>1648</v>
      </c>
      <c r="B6" s="3074"/>
      <c r="C6" s="3074"/>
      <c r="D6" s="307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75" t="s">
        <v>1651</v>
      </c>
      <c r="B11" s="3076"/>
      <c r="C11" s="3076"/>
      <c r="D11" s="3076"/>
    </row>
    <row r="12" spans="1:4" ht="15.75">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6" t="str">
        <f>IF(项目基本情况!B8="抵押","4.本次评估估价师所知悉的法定优先受偿款情况说明如下：","——")</f>
        <v>4.本次评估估价师所知悉的法定优先受偿款情况说明如下：</v>
      </c>
      <c r="B14" s="3077"/>
      <c r="C14" s="3077"/>
      <c r="D14" s="3077"/>
    </row>
    <row r="15" spans="1:4" ht="42" customHeight="1">
      <c r="A15" s="30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6"/>
      <c r="C15" s="3076"/>
      <c r="D15" s="3076"/>
    </row>
    <row r="16" spans="1:4" ht="30" customHeight="1">
      <c r="A16" s="3079" t="s">
        <v>1652</v>
      </c>
      <c r="B16" s="3079"/>
      <c r="C16" s="3079"/>
      <c r="D16" s="3079"/>
    </row>
    <row r="17" spans="1:4" ht="144" customHeight="1">
      <c r="A17" s="3079" t="s">
        <v>1653</v>
      </c>
      <c r="B17" s="3079"/>
      <c r="C17" s="3079"/>
      <c r="D17" s="3079"/>
    </row>
    <row r="18" spans="1:4" ht="15.75" customHeight="1">
      <c r="A18" s="3076" t="str">
        <f>IF(项目基本情况!B8="抵押",结果表!K120,"——")</f>
        <v>故，本次评估不存在估价师知悉的法定优先受偿款</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6"/>
      <c r="C20" s="3076"/>
      <c r="D20" s="3076"/>
    </row>
    <row r="21" spans="1:4" ht="57.75" customHeight="1">
      <c r="A21" s="30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0"/>
      <c r="C21" s="3080"/>
      <c r="D21" s="3080"/>
    </row>
    <row r="22" spans="1:4" ht="18.75" customHeight="1">
      <c r="A22" s="3081" t="s">
        <v>1654</v>
      </c>
      <c r="B22" s="3081"/>
      <c r="C22" s="3081"/>
      <c r="D22" s="308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8">
        <v>42551</v>
      </c>
      <c r="D31" s="30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7" t="s">
        <v>1665</v>
      </c>
      <c r="B15" s="3082" t="s">
        <v>136</v>
      </c>
      <c r="C15" s="3083"/>
    </row>
    <row r="16" spans="1:7" ht="13.5">
      <c r="A16" s="3088"/>
      <c r="B16" s="3082" t="s">
        <v>69</v>
      </c>
      <c r="C16" s="3083"/>
    </row>
    <row r="17" spans="1:3" ht="13.5">
      <c r="A17" s="3088"/>
      <c r="B17" s="3085" t="s">
        <v>1666</v>
      </c>
      <c r="C17" s="1999" t="s">
        <v>1665</v>
      </c>
    </row>
    <row r="18" spans="1:3" ht="13.5">
      <c r="A18" s="3088"/>
      <c r="B18" s="3085"/>
      <c r="C18" s="1999" t="s">
        <v>1667</v>
      </c>
    </row>
    <row r="19" spans="1:3" ht="13.5">
      <c r="A19" s="3088"/>
      <c r="B19" s="3085"/>
      <c r="C19" s="1999" t="s">
        <v>1668</v>
      </c>
    </row>
    <row r="20" spans="1:3" ht="13.5">
      <c r="A20" s="3089"/>
      <c r="B20" s="3084" t="s">
        <v>1669</v>
      </c>
      <c r="C20" s="3083"/>
    </row>
    <row r="21" spans="1:3" ht="13.5">
      <c r="A21" s="2000" t="s">
        <v>1670</v>
      </c>
      <c r="B21" s="2001"/>
      <c r="C21" s="2002"/>
    </row>
    <row r="22" spans="1:3" ht="13.5">
      <c r="A22" s="3086" t="s">
        <v>1671</v>
      </c>
      <c r="B22" s="3084" t="s">
        <v>1672</v>
      </c>
      <c r="C22" s="3083"/>
    </row>
    <row r="23" spans="1:3" ht="13.5">
      <c r="A23" s="3086"/>
      <c r="B23" s="3084" t="s">
        <v>1673</v>
      </c>
      <c r="C23" s="3083"/>
    </row>
    <row r="24" spans="1:3" ht="13.5">
      <c r="A24" s="3086"/>
      <c r="B24" s="3084" t="s">
        <v>1674</v>
      </c>
      <c r="C24" s="3083"/>
    </row>
    <row r="25" spans="1:3" ht="13.5">
      <c r="A25" s="3086"/>
      <c r="B25" s="3085" t="s">
        <v>1675</v>
      </c>
      <c r="C25" s="1999" t="s">
        <v>1676</v>
      </c>
    </row>
    <row r="26" spans="1:3" ht="13.5">
      <c r="A26" s="3086"/>
      <c r="B26" s="3085"/>
      <c r="C26" s="1999" t="s">
        <v>1677</v>
      </c>
    </row>
    <row r="27" spans="1:3" ht="13.5">
      <c r="A27" s="3086"/>
      <c r="B27" s="3085"/>
      <c r="C27" s="1999" t="s">
        <v>1678</v>
      </c>
    </row>
    <row r="28" spans="1:3" ht="13.5">
      <c r="A28" s="3086"/>
      <c r="B28" s="3085"/>
      <c r="C28" s="1999" t="s">
        <v>1679</v>
      </c>
    </row>
    <row r="29" spans="1:3" ht="13.5">
      <c r="A29" s="3086"/>
      <c r="B29" s="3085"/>
      <c r="C29" s="1999" t="s">
        <v>1680</v>
      </c>
    </row>
    <row r="30" spans="1:3" ht="13.5">
      <c r="A30" s="3086"/>
      <c r="B30" s="3085"/>
      <c r="C30" s="1999" t="s">
        <v>1681</v>
      </c>
    </row>
    <row r="31" spans="1:3" ht="13.5">
      <c r="A31" s="3086"/>
      <c r="B31" s="3085"/>
      <c r="C31" s="1999" t="s">
        <v>1682</v>
      </c>
    </row>
    <row r="32" spans="1:3" ht="13.5">
      <c r="A32" s="3086"/>
      <c r="B32" s="3085"/>
      <c r="C32" s="1999" t="s">
        <v>1683</v>
      </c>
    </row>
    <row r="33" spans="1:3" ht="13.5">
      <c r="A33" s="3086"/>
      <c r="B33" s="308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3033</v>
      </c>
      <c r="B14" s="1022">
        <f ca="1">IF(C14&lt;B2,"已过期",1120040230)</f>
        <v>1120040230</v>
      </c>
      <c r="C14" s="2347">
        <v>43835</v>
      </c>
      <c r="D14" s="2350" t="s">
        <v>3033</v>
      </c>
      <c r="E14" s="1022">
        <f ca="1">IF(F14&lt;B2,"已过期",98030020)</f>
        <v>98030020</v>
      </c>
      <c r="F14" s="1030">
        <v>47118</v>
      </c>
    </row>
    <row r="15" spans="1:6" ht="24" customHeight="1">
      <c r="A15" s="1702" t="s">
        <v>3034</v>
      </c>
      <c r="B15" s="1022">
        <f ca="1">IF(C15&lt;B2,"已过期",1120070085)</f>
        <v>1120070085</v>
      </c>
      <c r="C15" s="2347">
        <v>43814</v>
      </c>
      <c r="D15" s="2351" t="s">
        <v>3034</v>
      </c>
      <c r="E15" s="1022">
        <f ca="1">IF(F15&lt;B2,"已过期",2004110128)</f>
        <v>2004110128</v>
      </c>
      <c r="F15" s="1023">
        <v>47118</v>
      </c>
    </row>
    <row r="16" spans="1:6" ht="24" customHeight="1">
      <c r="A16" s="1701" t="s">
        <v>3035</v>
      </c>
      <c r="B16" s="1022">
        <f ca="1">IF(C16&lt;B2,"已过期",1120140022)</f>
        <v>1120140022</v>
      </c>
      <c r="C16" s="2926">
        <v>44029</v>
      </c>
      <c r="D16" s="2350" t="s">
        <v>3035</v>
      </c>
      <c r="E16" s="1022">
        <f ca="1">IF(F16&lt;B2,"已过期",2008110059)</f>
        <v>2008110059</v>
      </c>
      <c r="F16" s="1030">
        <v>47177</v>
      </c>
    </row>
    <row r="17" spans="1:7" ht="24" customHeight="1">
      <c r="A17" s="1701"/>
      <c r="B17" s="1022"/>
      <c r="C17" s="2347"/>
      <c r="D17" s="2350" t="s">
        <v>3036</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6">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90" t="s">
        <v>843</v>
      </c>
      <c r="B25" s="3090"/>
      <c r="C25" s="3090"/>
      <c r="D25" s="3090"/>
      <c r="E25" s="3090"/>
      <c r="F25" s="3090"/>
      <c r="G25" s="3090"/>
    </row>
    <row r="26" spans="1:7" s="1025" customFormat="1" ht="24" customHeight="1">
      <c r="A26" s="3091" t="s">
        <v>844</v>
      </c>
      <c r="B26" s="3091"/>
      <c r="C26" s="3092"/>
      <c r="D26" s="3093" t="s">
        <v>845</v>
      </c>
      <c r="E26" s="3091"/>
      <c r="F26" s="3091"/>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面积数据</vt:lpstr>
      <vt:lpstr>清单套</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宁波市调</vt:lpstr>
      <vt:lpstr>抵押物清单</vt:lpstr>
      <vt:lpstr>假设开发法</vt:lpstr>
      <vt:lpstr>收益法</vt:lpstr>
      <vt:lpstr>收益法 (元)</vt:lpstr>
      <vt:lpstr>收益法（汇总）</vt:lpstr>
      <vt:lpstr>酒店收入计算</vt:lpstr>
      <vt:lpstr>比较法-住宅</vt:lpstr>
      <vt:lpstr>比较法-住宅 (洋房)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(洋房)'!住宅朝向</vt:lpstr>
      <vt:lpstr>住宅朝向</vt:lpstr>
      <vt:lpstr>'比较法-住宅 (洋房)'!住宅房型</vt:lpstr>
      <vt:lpstr>住宅房型</vt:lpstr>
      <vt:lpstr>'比较法-住宅 (洋房)'!住宅公共部分装修</vt:lpstr>
      <vt:lpstr>住宅公共部分装修</vt:lpstr>
      <vt:lpstr>'比较法-住宅 (洋房)'!住宅基础设施水平</vt:lpstr>
      <vt:lpstr>住宅基础设施水平</vt:lpstr>
      <vt:lpstr>'比较法-住宅 (洋房)'!住宅建筑结构</vt:lpstr>
      <vt:lpstr>住宅建筑结构</vt:lpstr>
      <vt:lpstr>'比较法-住宅 (洋房)'!住宅建筑类型</vt:lpstr>
      <vt:lpstr>住宅建筑类型</vt:lpstr>
      <vt:lpstr>'比较法-住宅 (洋房)'!住宅建筑品质</vt:lpstr>
      <vt:lpstr>住宅建筑品质</vt:lpstr>
      <vt:lpstr>'比较法-住宅 (洋房)'!住宅交易情况</vt:lpstr>
      <vt:lpstr>住宅交易情况</vt:lpstr>
      <vt:lpstr>'比较法-住宅 (洋房)'!住宅楼层</vt:lpstr>
      <vt:lpstr>住宅楼层</vt:lpstr>
      <vt:lpstr>'比较法-住宅 (洋房)'!住宅内部装修</vt:lpstr>
      <vt:lpstr>住宅内部装修</vt:lpstr>
      <vt:lpstr>'比较法-住宅 (洋房)'!住宅物业管理</vt:lpstr>
      <vt:lpstr>住宅物业管理</vt:lpstr>
      <vt:lpstr>'比较法-住宅 (洋房)'!住宅用途</vt:lpstr>
      <vt:lpstr>住宅用途</vt:lpstr>
      <vt:lpstr>'比较法-住宅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2019-05-22T01:53:16Z</dcterms:modified>
</cp:coreProperties>
</file>