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R47" i="21" l="1"/>
  <c r="B126" i="21"/>
  <c r="F44" i="21"/>
  <c r="AA44" i="21" s="1"/>
  <c r="B128" i="21"/>
  <c r="F45" i="21" s="1"/>
  <c r="AA45" i="21" s="1"/>
  <c r="B130" i="21"/>
  <c r="F46" i="21"/>
  <c r="AA46" i="21" s="1"/>
  <c r="D123" i="21"/>
  <c r="E123" i="21"/>
  <c r="F123" i="21" s="1"/>
  <c r="T47" i="21"/>
  <c r="H44" i="21"/>
  <c r="AB44" i="21"/>
  <c r="H46" i="21"/>
  <c r="AB46" i="21"/>
  <c r="V47" i="21"/>
  <c r="J44" i="21"/>
  <c r="AC44" i="21" s="1"/>
  <c r="J45" i="21"/>
  <c r="AC45" i="21" s="1"/>
  <c r="J46" i="21"/>
  <c r="AC46" i="21" s="1"/>
  <c r="F9" i="15"/>
  <c r="F6" i="15"/>
  <c r="C6" i="15" s="1"/>
  <c r="F31" i="15"/>
  <c r="F36" i="15"/>
  <c r="C33" i="21"/>
  <c r="F33" i="21" s="1"/>
  <c r="AA33" i="21" s="1"/>
  <c r="F8" i="15"/>
  <c r="B5" i="1"/>
  <c r="E18" i="1" s="1"/>
  <c r="C14" i="15" s="1"/>
  <c r="F7" i="15"/>
  <c r="F113" i="57"/>
  <c r="I113" i="57"/>
  <c r="M50" i="57" s="1"/>
  <c r="F112" i="9"/>
  <c r="I112" i="9" s="1"/>
  <c r="M49" i="9" s="1"/>
  <c r="L3" i="59"/>
  <c r="K3" i="59"/>
  <c r="J3" i="59"/>
  <c r="I3" i="59"/>
  <c r="AH5" i="59"/>
  <c r="AG5" i="59"/>
  <c r="AE5" i="59"/>
  <c r="AF5" i="59"/>
  <c r="AD5" i="59"/>
  <c r="Q5" i="59"/>
  <c r="P5" i="59"/>
  <c r="O5" i="59"/>
  <c r="N5" i="59"/>
  <c r="Q6" i="59"/>
  <c r="P6" i="59"/>
  <c r="O6" i="59"/>
  <c r="N6" i="59"/>
  <c r="Q9" i="59"/>
  <c r="F9" i="59" s="1"/>
  <c r="F8" i="59" s="1"/>
  <c r="F7" i="59" s="1"/>
  <c r="F6" i="59" s="1"/>
  <c r="F5" i="59" s="1"/>
  <c r="Q8" i="59"/>
  <c r="Q7" i="59"/>
  <c r="P9" i="59"/>
  <c r="E9" i="59"/>
  <c r="P8" i="59"/>
  <c r="E8" i="59"/>
  <c r="P7" i="59"/>
  <c r="E7" i="59"/>
  <c r="E6" i="59" s="1"/>
  <c r="E5" i="59" s="1"/>
  <c r="O9" i="59"/>
  <c r="C9" i="59" s="1"/>
  <c r="O8" i="59"/>
  <c r="O7" i="59"/>
  <c r="N9" i="59"/>
  <c r="B9" i="59" s="1"/>
  <c r="B8" i="59" s="1"/>
  <c r="B7" i="59" s="1"/>
  <c r="B6" i="59" s="1"/>
  <c r="B5" i="59" s="1"/>
  <c r="N8" i="59"/>
  <c r="N7" i="59"/>
  <c r="Q10" i="59"/>
  <c r="Q11" i="59"/>
  <c r="Q12" i="59"/>
  <c r="Q13" i="59"/>
  <c r="Q14" i="59"/>
  <c r="Q15" i="59"/>
  <c r="Q16" i="59"/>
  <c r="Q17" i="59"/>
  <c r="Q18" i="59"/>
  <c r="Q19" i="59"/>
  <c r="Q20" i="59"/>
  <c r="AB5" i="59"/>
  <c r="P10" i="59"/>
  <c r="AA5" i="59" s="1"/>
  <c r="P11" i="59"/>
  <c r="P12" i="59"/>
  <c r="P13" i="59"/>
  <c r="P14" i="59"/>
  <c r="P15" i="59"/>
  <c r="P16" i="59"/>
  <c r="P17" i="59"/>
  <c r="P18" i="59"/>
  <c r="P19" i="59"/>
  <c r="P20" i="59"/>
  <c r="O10" i="59"/>
  <c r="Y5" i="59" s="1"/>
  <c r="Z5" i="59" s="1"/>
  <c r="O11" i="59"/>
  <c r="O12" i="59"/>
  <c r="O13" i="59"/>
  <c r="O14" i="59"/>
  <c r="O15" i="59"/>
  <c r="O16" i="59"/>
  <c r="O17" i="59"/>
  <c r="O18" i="59"/>
  <c r="O19" i="59"/>
  <c r="O20" i="59"/>
  <c r="B2" i="1"/>
  <c r="D10" i="59"/>
  <c r="N10" i="59"/>
  <c r="B11" i="59" s="1"/>
  <c r="B12" i="59" s="1"/>
  <c r="B13" i="59" s="1"/>
  <c r="C11" i="59"/>
  <c r="D11" i="59" s="1"/>
  <c r="E11" i="59"/>
  <c r="F11" i="59"/>
  <c r="N11" i="59"/>
  <c r="C12" i="59"/>
  <c r="D12" i="59" s="1"/>
  <c r="E12" i="59"/>
  <c r="F12" i="59"/>
  <c r="N12" i="59"/>
  <c r="C13" i="59"/>
  <c r="D13" i="59" s="1"/>
  <c r="E13" i="59"/>
  <c r="F13" i="59"/>
  <c r="D14" i="59"/>
  <c r="N14" i="59"/>
  <c r="B15" i="59"/>
  <c r="C15" i="59"/>
  <c r="D15" i="59"/>
  <c r="E15" i="59"/>
  <c r="F15" i="59"/>
  <c r="N15" i="59"/>
  <c r="B16" i="59"/>
  <c r="C16" i="59"/>
  <c r="D16" i="59"/>
  <c r="E16" i="59"/>
  <c r="F16" i="59"/>
  <c r="N16" i="59"/>
  <c r="B17" i="59"/>
  <c r="C17" i="59"/>
  <c r="D17" i="59"/>
  <c r="E17" i="59"/>
  <c r="F17" i="59"/>
  <c r="D18" i="59"/>
  <c r="N18" i="59"/>
  <c r="B19" i="59" s="1"/>
  <c r="B20" i="59" s="1"/>
  <c r="B21" i="59" s="1"/>
  <c r="C19" i="59"/>
  <c r="D19" i="59" s="1"/>
  <c r="E19" i="59"/>
  <c r="F19" i="59"/>
  <c r="N19" i="59"/>
  <c r="C20" i="59"/>
  <c r="D20" i="59" s="1"/>
  <c r="E20" i="59"/>
  <c r="F20" i="59"/>
  <c r="N20" i="59"/>
  <c r="C21" i="59"/>
  <c r="D21" i="59" s="1"/>
  <c r="E21" i="59"/>
  <c r="F21" i="59"/>
  <c r="N13" i="59"/>
  <c r="N17" i="59"/>
  <c r="X5" i="59" s="1"/>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c r="B3" i="62"/>
  <c r="M19" i="43"/>
  <c r="X10" i="59"/>
  <c r="Y10" i="59"/>
  <c r="Z10" i="59" s="1"/>
  <c r="AA10" i="59"/>
  <c r="AB10" i="59"/>
  <c r="X11" i="59"/>
  <c r="Y11" i="59"/>
  <c r="Z11" i="59"/>
  <c r="AA11" i="59"/>
  <c r="AB11" i="59"/>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AB19" i="59"/>
  <c r="AA19" i="59"/>
  <c r="Y19" i="59"/>
  <c r="X19" i="59"/>
  <c r="AD3" i="59"/>
  <c r="AE3" i="59"/>
  <c r="AF3" i="59"/>
  <c r="AG3" i="59"/>
  <c r="AH3" i="59"/>
  <c r="AD6" i="59"/>
  <c r="AE6" i="59"/>
  <c r="AF6" i="59" s="1"/>
  <c r="AG6" i="59"/>
  <c r="AH6" i="59"/>
  <c r="AD7" i="59"/>
  <c r="AE7" i="59"/>
  <c r="AF7" i="59"/>
  <c r="AG7" i="59"/>
  <c r="AH7"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7" i="50"/>
  <c r="C15" i="50"/>
  <c r="C18" i="50"/>
  <c r="C21" i="50"/>
  <c r="B20" i="60"/>
  <c r="C35" i="50"/>
  <c r="C34" i="50"/>
  <c r="C33" i="50"/>
  <c r="B13" i="60"/>
  <c r="B9" i="60"/>
  <c r="C42" i="50"/>
  <c r="C36" i="50"/>
  <c r="C39" i="50"/>
  <c r="I19" i="43"/>
  <c r="A135" i="57"/>
  <c r="F118" i="57"/>
  <c r="D70" i="59"/>
  <c r="F69" i="59"/>
  <c r="F68" i="59" s="1"/>
  <c r="F67" i="59" s="1"/>
  <c r="E69" i="59"/>
  <c r="E68" i="59"/>
  <c r="E67" i="59" s="1"/>
  <c r="C69" i="59"/>
  <c r="D69" i="59" s="1"/>
  <c r="B69" i="59"/>
  <c r="B68" i="59" s="1"/>
  <c r="B67" i="59"/>
  <c r="D66" i="59"/>
  <c r="F65" i="59"/>
  <c r="F64" i="59" s="1"/>
  <c r="F63" i="59" s="1"/>
  <c r="E65" i="59"/>
  <c r="E64" i="59"/>
  <c r="E63" i="59" s="1"/>
  <c r="C65" i="59"/>
  <c r="D65" i="59" s="1"/>
  <c r="B65" i="59"/>
  <c r="B64" i="59" s="1"/>
  <c r="B63" i="59" s="1"/>
  <c r="D62" i="59"/>
  <c r="B61" i="59"/>
  <c r="Q61" i="59"/>
  <c r="P61" i="59"/>
  <c r="O61" i="59"/>
  <c r="N61" i="59"/>
  <c r="F61" i="59"/>
  <c r="V61" i="59" s="1"/>
  <c r="E61" i="59"/>
  <c r="C61" i="59"/>
  <c r="T61" i="59" s="1"/>
  <c r="Q60" i="59"/>
  <c r="P60" i="59"/>
  <c r="O60" i="59"/>
  <c r="N60" i="59"/>
  <c r="F60" i="59"/>
  <c r="F59" i="59" s="1"/>
  <c r="Q59" i="59"/>
  <c r="P59" i="59"/>
  <c r="O59" i="59"/>
  <c r="N59" i="59"/>
  <c r="Q58" i="59"/>
  <c r="P58" i="59"/>
  <c r="O58" i="59"/>
  <c r="N58" i="59"/>
  <c r="D58" i="59"/>
  <c r="B57" i="59"/>
  <c r="S57" i="59" s="1"/>
  <c r="Q57" i="59"/>
  <c r="P57" i="59"/>
  <c r="O57" i="59"/>
  <c r="N57" i="59"/>
  <c r="F57" i="59"/>
  <c r="V57" i="59" s="1"/>
  <c r="E57" i="59"/>
  <c r="C57" i="59"/>
  <c r="Q56" i="59"/>
  <c r="P56" i="59"/>
  <c r="O56" i="59"/>
  <c r="N56" i="59"/>
  <c r="F56" i="59"/>
  <c r="F55" i="59" s="1"/>
  <c r="Q55" i="59"/>
  <c r="P55" i="59"/>
  <c r="O55" i="59"/>
  <c r="N55" i="59"/>
  <c r="Q54" i="59"/>
  <c r="P54" i="59"/>
  <c r="O54" i="59"/>
  <c r="N54" i="59"/>
  <c r="D54" i="59"/>
  <c r="B53" i="59"/>
  <c r="S53" i="59"/>
  <c r="Q53" i="59"/>
  <c r="P53" i="59"/>
  <c r="O53" i="59"/>
  <c r="N53" i="59"/>
  <c r="F53" i="59"/>
  <c r="V53" i="59"/>
  <c r="E53" i="59"/>
  <c r="C53" i="59"/>
  <c r="D53" i="59" s="1"/>
  <c r="Q52" i="59"/>
  <c r="P52" i="59"/>
  <c r="O52" i="59"/>
  <c r="N52" i="59"/>
  <c r="F52" i="59"/>
  <c r="F51" i="59"/>
  <c r="B52" i="59"/>
  <c r="B51" i="59"/>
  <c r="Q51" i="59"/>
  <c r="P51" i="59"/>
  <c r="O51" i="59"/>
  <c r="N51" i="59"/>
  <c r="Q50" i="59"/>
  <c r="P50" i="59"/>
  <c r="O50" i="59"/>
  <c r="N50" i="59"/>
  <c r="D50" i="59"/>
  <c r="E49" i="59"/>
  <c r="U49" i="59" s="1"/>
  <c r="B49" i="59"/>
  <c r="P49" i="59"/>
  <c r="F49" i="59"/>
  <c r="E48" i="59"/>
  <c r="C49" i="59"/>
  <c r="B48" i="59"/>
  <c r="N48" i="59" s="1"/>
  <c r="D46" i="59"/>
  <c r="Q45" i="59"/>
  <c r="P45" i="59"/>
  <c r="O45" i="59"/>
  <c r="N45" i="59"/>
  <c r="Q44" i="59"/>
  <c r="P44" i="59"/>
  <c r="O44" i="59"/>
  <c r="N44" i="59"/>
  <c r="Q42" i="59"/>
  <c r="F43" i="59" s="1"/>
  <c r="F44" i="59" s="1"/>
  <c r="Q43" i="59"/>
  <c r="F45" i="59"/>
  <c r="V45" i="59" s="1"/>
  <c r="P43" i="59"/>
  <c r="O43" i="59"/>
  <c r="N43" i="59"/>
  <c r="P42" i="59"/>
  <c r="E43" i="59"/>
  <c r="E44" i="59" s="1"/>
  <c r="O42" i="59"/>
  <c r="C43" i="59"/>
  <c r="C44" i="59" s="1"/>
  <c r="N42" i="59"/>
  <c r="B43" i="59"/>
  <c r="B44" i="59" s="1"/>
  <c r="B45" i="59"/>
  <c r="S45" i="59" s="1"/>
  <c r="D42" i="59"/>
  <c r="Q41" i="59"/>
  <c r="P41" i="59"/>
  <c r="O41" i="59"/>
  <c r="N41" i="59"/>
  <c r="Q40" i="59"/>
  <c r="P40" i="59"/>
  <c r="O40" i="59"/>
  <c r="N40" i="59"/>
  <c r="Q38" i="59"/>
  <c r="F39" i="59"/>
  <c r="Q39" i="59"/>
  <c r="F40" i="59"/>
  <c r="F41" i="59" s="1"/>
  <c r="V41" i="59"/>
  <c r="P39" i="59"/>
  <c r="O39" i="59"/>
  <c r="N39" i="59"/>
  <c r="P38" i="59"/>
  <c r="E39" i="59" s="1"/>
  <c r="O38" i="59"/>
  <c r="C39" i="59" s="1"/>
  <c r="N38" i="59"/>
  <c r="B39" i="59" s="1"/>
  <c r="B40" i="59" s="1"/>
  <c r="B41" i="59" s="1"/>
  <c r="S41" i="59" s="1"/>
  <c r="D38" i="59"/>
  <c r="Q37" i="59"/>
  <c r="P37" i="59"/>
  <c r="O37" i="59"/>
  <c r="N37" i="59"/>
  <c r="Q36" i="59"/>
  <c r="P36" i="59"/>
  <c r="O36" i="59"/>
  <c r="N36" i="59"/>
  <c r="Q34" i="59"/>
  <c r="F35" i="59" s="1"/>
  <c r="F36" i="59" s="1"/>
  <c r="Q35" i="59"/>
  <c r="F37" i="59"/>
  <c r="V37" i="59" s="1"/>
  <c r="P35" i="59"/>
  <c r="O35" i="59"/>
  <c r="N35" i="59"/>
  <c r="P34" i="59"/>
  <c r="E35" i="59"/>
  <c r="E36" i="59" s="1"/>
  <c r="O34" i="59"/>
  <c r="C35" i="59"/>
  <c r="C36" i="59" s="1"/>
  <c r="N34" i="59"/>
  <c r="B35" i="59"/>
  <c r="B36" i="59" s="1"/>
  <c r="B37" i="59"/>
  <c r="S37" i="59" s="1"/>
  <c r="D34" i="59"/>
  <c r="Q33" i="59"/>
  <c r="P33" i="59"/>
  <c r="O33" i="59"/>
  <c r="N33" i="59"/>
  <c r="Q32" i="59"/>
  <c r="P32" i="59"/>
  <c r="O32" i="59"/>
  <c r="N32" i="59"/>
  <c r="Q31" i="59"/>
  <c r="P31" i="59"/>
  <c r="O31" i="59"/>
  <c r="N31" i="59"/>
  <c r="P30" i="59"/>
  <c r="E31" i="59"/>
  <c r="E32" i="59" s="1"/>
  <c r="E33" i="59"/>
  <c r="U33" i="59" s="1"/>
  <c r="Q30" i="59"/>
  <c r="F31" i="59" s="1"/>
  <c r="F32" i="59"/>
  <c r="F33" i="59" s="1"/>
  <c r="V33" i="59" s="1"/>
  <c r="O30" i="59"/>
  <c r="C31" i="59"/>
  <c r="C32" i="59" s="1"/>
  <c r="D32" i="59" s="1"/>
  <c r="N30" i="59"/>
  <c r="B31" i="59"/>
  <c r="B32" i="59" s="1"/>
  <c r="B33" i="59"/>
  <c r="S33" i="59" s="1"/>
  <c r="D30" i="59"/>
  <c r="T29" i="59"/>
  <c r="Q29" i="59"/>
  <c r="P29" i="59"/>
  <c r="O29" i="59"/>
  <c r="N29" i="59"/>
  <c r="D29" i="59"/>
  <c r="Q28" i="59"/>
  <c r="P28" i="59"/>
  <c r="O28" i="59"/>
  <c r="N28" i="59"/>
  <c r="Q27" i="59"/>
  <c r="P27" i="59"/>
  <c r="O27" i="59"/>
  <c r="N27" i="59"/>
  <c r="Q26" i="59"/>
  <c r="F27" i="59"/>
  <c r="F28" i="59" s="1"/>
  <c r="F29" i="59"/>
  <c r="V29" i="59" s="1"/>
  <c r="P26" i="59"/>
  <c r="E27" i="59" s="1"/>
  <c r="E28" i="59"/>
  <c r="E29" i="59" s="1"/>
  <c r="U29" i="59" s="1"/>
  <c r="O26" i="59"/>
  <c r="C27" i="59"/>
  <c r="N26" i="59"/>
  <c r="B27" i="59"/>
  <c r="B28" i="59" s="1"/>
  <c r="B29" i="59"/>
  <c r="S29" i="59" s="1"/>
  <c r="D26" i="59"/>
  <c r="Q25" i="59"/>
  <c r="P25" i="59"/>
  <c r="O25" i="59"/>
  <c r="N25" i="59"/>
  <c r="Q24" i="59"/>
  <c r="P24" i="59"/>
  <c r="O24" i="59"/>
  <c r="N24" i="59"/>
  <c r="Q23" i="59"/>
  <c r="P23" i="59"/>
  <c r="O23" i="59"/>
  <c r="N23" i="59"/>
  <c r="Q22" i="59"/>
  <c r="F23" i="59"/>
  <c r="F24" i="59" s="1"/>
  <c r="F25" i="59"/>
  <c r="V25" i="59" s="1"/>
  <c r="P22" i="59"/>
  <c r="E23" i="59" s="1"/>
  <c r="E24" i="59"/>
  <c r="E25" i="59" s="1"/>
  <c r="U25" i="59" s="1"/>
  <c r="O22" i="59"/>
  <c r="C23" i="59"/>
  <c r="D23" i="59" s="1"/>
  <c r="N22" i="59"/>
  <c r="B23" i="59"/>
  <c r="B24" i="59" s="1"/>
  <c r="B25" i="59"/>
  <c r="S25" i="59" s="1"/>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C28" i="59"/>
  <c r="D28" i="59" s="1"/>
  <c r="D27" i="59"/>
  <c r="D31" i="59"/>
  <c r="E37" i="59"/>
  <c r="U37" i="59" s="1"/>
  <c r="E40" i="59"/>
  <c r="E41" i="59" s="1"/>
  <c r="U41" i="59" s="1"/>
  <c r="E45" i="59"/>
  <c r="U45" i="59" s="1"/>
  <c r="U53" i="59"/>
  <c r="E52" i="59"/>
  <c r="E51" i="59"/>
  <c r="D35" i="59"/>
  <c r="D39" i="59"/>
  <c r="D43" i="59"/>
  <c r="B47" i="59"/>
  <c r="N46" i="59" s="1"/>
  <c r="T49" i="59"/>
  <c r="D49" i="59"/>
  <c r="T53" i="59"/>
  <c r="C52" i="59"/>
  <c r="C56" i="59"/>
  <c r="C55" i="59" s="1"/>
  <c r="C60" i="59"/>
  <c r="D60" i="59" s="1"/>
  <c r="D61" i="59"/>
  <c r="C64" i="59"/>
  <c r="D64" i="59" s="1"/>
  <c r="C68" i="59"/>
  <c r="S9" i="59"/>
  <c r="AB3" i="59"/>
  <c r="AB6" i="59"/>
  <c r="AB7" i="59"/>
  <c r="AB8" i="59"/>
  <c r="AB9" i="59"/>
  <c r="AA7" i="59"/>
  <c r="AA8" i="59"/>
  <c r="AA9" i="59"/>
  <c r="AA3" i="59"/>
  <c r="AA6" i="59"/>
  <c r="D56" i="59"/>
  <c r="D55" i="59"/>
  <c r="C33" i="59"/>
  <c r="D68" i="59"/>
  <c r="C67" i="59"/>
  <c r="D67" i="59"/>
  <c r="C59" i="59"/>
  <c r="D59" i="59" s="1"/>
  <c r="D44" i="59"/>
  <c r="D36" i="59"/>
  <c r="N47" i="59"/>
  <c r="C25" i="59"/>
  <c r="D24" i="59"/>
  <c r="U9" i="59"/>
  <c r="V9" i="59"/>
  <c r="T33" i="59"/>
  <c r="D33" i="59"/>
  <c r="T13" i="59"/>
  <c r="T17" i="59"/>
  <c r="T21" i="59"/>
  <c r="T25" i="59"/>
  <c r="D25" i="59"/>
  <c r="G20" i="20"/>
  <c r="B86" i="43"/>
  <c r="C22" i="20"/>
  <c r="B75" i="43"/>
  <c r="B66"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S18" i="35"/>
  <c r="S21" i="37"/>
  <c r="S21" i="34"/>
  <c r="U21" i="33"/>
  <c r="S21" i="33"/>
  <c r="S21" i="21"/>
  <c r="J25" i="40"/>
  <c r="J27" i="39"/>
  <c r="H27" i="39"/>
  <c r="F27" i="39"/>
  <c r="H18" i="36"/>
  <c r="J18" i="36"/>
  <c r="J21" i="37"/>
  <c r="H21" i="34"/>
  <c r="J21" i="33"/>
  <c r="H21" i="21"/>
  <c r="F52" i="15"/>
  <c r="F15" i="15"/>
  <c r="F16" i="15"/>
  <c r="F17" i="15"/>
  <c r="F18" i="15"/>
  <c r="F20" i="15"/>
  <c r="F23" i="15"/>
  <c r="D23" i="15"/>
  <c r="F26" i="15"/>
  <c r="F21" i="15"/>
  <c r="C21" i="15" s="1"/>
  <c r="F33" i="15"/>
  <c r="F62" i="15" s="1"/>
  <c r="F65" i="15"/>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M48" i="15"/>
  <c r="L47" i="15" s="1"/>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I106" i="57" s="1"/>
  <c r="D126" i="57" s="1"/>
  <c r="D101" i="57"/>
  <c r="C101" i="57"/>
  <c r="C92" i="57"/>
  <c r="E91" i="57"/>
  <c r="D90" i="57"/>
  <c r="C90" i="57"/>
  <c r="C88" i="57" s="1"/>
  <c r="H78" i="57"/>
  <c r="D78" i="57"/>
  <c r="C78" i="57"/>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B23" i="1"/>
  <c r="E1" i="61" s="1"/>
  <c r="K1" i="61" s="1"/>
  <c r="E31" i="1"/>
  <c r="E29" i="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U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s="1"/>
  <c r="D73" i="37"/>
  <c r="E73" i="37"/>
  <c r="J17" i="37"/>
  <c r="D71" i="37"/>
  <c r="E71" i="37" s="1"/>
  <c r="F71" i="37" s="1"/>
  <c r="G71" i="37" s="1"/>
  <c r="B68" i="37"/>
  <c r="H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G123" i="21"/>
  <c r="H123" i="21" s="1"/>
  <c r="I123" i="21" s="1"/>
  <c r="J123" i="21" s="1"/>
  <c r="K123" i="21" s="1"/>
  <c r="L123" i="21" s="1"/>
  <c r="M123" i="21" s="1"/>
  <c r="D119" i="21"/>
  <c r="D117" i="21"/>
  <c r="E117" i="21" s="1"/>
  <c r="F117" i="21" s="1"/>
  <c r="D115" i="21"/>
  <c r="E115" i="21" s="1"/>
  <c r="F115" i="21" s="1"/>
  <c r="G115" i="21" s="1"/>
  <c r="H115" i="21" s="1"/>
  <c r="I115" i="21" s="1"/>
  <c r="J115" i="21" s="1"/>
  <c r="K115" i="21" s="1"/>
  <c r="L115" i="21" s="1"/>
  <c r="M115" i="21" s="1"/>
  <c r="D113" i="21"/>
  <c r="E113" i="21" s="1"/>
  <c r="F113" i="21" s="1"/>
  <c r="G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10" i="21"/>
  <c r="AC10" i="21" s="1"/>
  <c r="F19" i="21"/>
  <c r="AA19" i="21" s="1"/>
  <c r="H19" i="21"/>
  <c r="AB19" i="21" s="1"/>
  <c r="J19" i="21"/>
  <c r="W19" i="21" s="1"/>
  <c r="J12" i="21"/>
  <c r="AC12" i="21" s="1"/>
  <c r="H12" i="21"/>
  <c r="AB12" i="21" s="1"/>
  <c r="AB41" i="21"/>
  <c r="S41" i="21"/>
  <c r="AA41" i="21"/>
  <c r="W41" i="21"/>
  <c r="F45" i="39"/>
  <c r="J45" i="39"/>
  <c r="W45" i="39" s="1"/>
  <c r="J44" i="39"/>
  <c r="F36" i="39"/>
  <c r="S36" i="39"/>
  <c r="H36" i="39"/>
  <c r="AB36" i="39"/>
  <c r="J36" i="39"/>
  <c r="AC36" i="39"/>
  <c r="S8" i="39"/>
  <c r="U38" i="39"/>
  <c r="H32" i="37"/>
  <c r="AB32" i="37"/>
  <c r="W31" i="37"/>
  <c r="F39" i="37"/>
  <c r="S39" i="37"/>
  <c r="S30" i="37"/>
  <c r="F29" i="36"/>
  <c r="AA29" i="36" s="1"/>
  <c r="F16" i="36"/>
  <c r="S16" i="36" s="1"/>
  <c r="U22" i="36"/>
  <c r="AA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F11" i="40"/>
  <c r="AA11" i="40" s="1"/>
  <c r="S8" i="40"/>
  <c r="H11" i="40"/>
  <c r="AB11"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A12" i="33"/>
  <c r="S44" i="39"/>
  <c r="F37" i="39"/>
  <c r="S37" i="39" s="1"/>
  <c r="AC9" i="21"/>
  <c r="J34" i="36"/>
  <c r="W34" i="36"/>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H40" i="34"/>
  <c r="U40" i="34" s="1"/>
  <c r="E114" i="34"/>
  <c r="F114" i="34" s="1"/>
  <c r="G114" i="34" s="1"/>
  <c r="H114" i="34" s="1"/>
  <c r="I114" i="34" s="1"/>
  <c r="J114" i="34" s="1"/>
  <c r="K114" i="34" s="1"/>
  <c r="L114" i="34" s="1"/>
  <c r="M114" i="34" s="1"/>
  <c r="F38" i="34"/>
  <c r="AA3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F37" i="40"/>
  <c r="AA37" i="40" s="1"/>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10" i="35"/>
  <c r="AC10" i="35" s="1"/>
  <c r="J14" i="21"/>
  <c r="W14" i="21" s="1"/>
  <c r="F14" i="21"/>
  <c r="S14" i="21" s="1"/>
  <c r="H14" i="21"/>
  <c r="AB14" i="21" s="1"/>
  <c r="H30" i="21"/>
  <c r="AB30" i="21"/>
  <c r="F30" i="21"/>
  <c r="S30" i="21"/>
  <c r="J30" i="21"/>
  <c r="W30" i="21"/>
  <c r="U44" i="21"/>
  <c r="U46" i="21"/>
  <c r="W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U14" i="21"/>
  <c r="S46" i="33"/>
  <c r="AC13" i="36"/>
  <c r="AC11" i="36"/>
  <c r="U32" i="36"/>
  <c r="AB45" i="33"/>
  <c r="U31" i="33"/>
  <c r="AC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A11" i="35"/>
  <c r="S28" i="37"/>
  <c r="U39" i="37"/>
  <c r="AC8" i="37"/>
  <c r="S25" i="37"/>
  <c r="W47" i="34"/>
  <c r="AB8" i="34"/>
  <c r="W14" i="33"/>
  <c r="AC31" i="33"/>
  <c r="AA30" i="33"/>
  <c r="AB10" i="33"/>
  <c r="AB38" i="21"/>
  <c r="W10" i="36"/>
  <c r="W38" i="37"/>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c r="H16" i="44"/>
  <c r="E17" i="43"/>
  <c r="I17" i="43"/>
  <c r="D108" i="9"/>
  <c r="F22" i="43"/>
  <c r="B56" i="60"/>
  <c r="G22" i="43"/>
  <c r="E22" i="43"/>
  <c r="H14" i="44"/>
  <c r="B57" i="60"/>
  <c r="W40" i="39"/>
  <c r="AC20" i="35"/>
  <c r="S39" i="34"/>
  <c r="AC10" i="34"/>
  <c r="AB12" i="34"/>
  <c r="H23" i="34"/>
  <c r="AB23" i="34" s="1"/>
  <c r="F33" i="34"/>
  <c r="S33" i="34" s="1"/>
  <c r="F109" i="34"/>
  <c r="G109" i="34" s="1"/>
  <c r="H109" i="34"/>
  <c r="I109" i="34" s="1"/>
  <c r="J109" i="34" s="1"/>
  <c r="K109" i="34" s="1"/>
  <c r="L109" i="34" s="1"/>
  <c r="M109" i="34" s="1"/>
  <c r="H36" i="34"/>
  <c r="AB36" i="34" s="1"/>
  <c r="F35" i="34"/>
  <c r="AA35" i="34" s="1"/>
  <c r="F107" i="34"/>
  <c r="G107" i="34" s="1"/>
  <c r="H107" i="34"/>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B101" i="9"/>
  <c r="C112" i="9"/>
  <c r="H110" i="9" s="1"/>
  <c r="F23" i="21"/>
  <c r="AA23" i="21" s="1"/>
  <c r="J23" i="21"/>
  <c r="AC23" i="21" s="1"/>
  <c r="H23" i="21"/>
  <c r="U23" i="21" s="1"/>
  <c r="F17" i="21"/>
  <c r="AA17" i="21" s="1"/>
  <c r="J17" i="21"/>
  <c r="H17" i="21"/>
  <c r="AB17" i="21" s="1"/>
  <c r="J15" i="21"/>
  <c r="W15" i="21" s="1"/>
  <c r="U35" i="21"/>
  <c r="AC35" i="21"/>
  <c r="H102" i="57"/>
  <c r="A131" i="9"/>
  <c r="A134" i="57"/>
  <c r="B102" i="57"/>
  <c r="B106" i="57"/>
  <c r="C111" i="57"/>
  <c r="H106" i="57"/>
  <c r="D127" i="57"/>
  <c r="AC15" i="21"/>
  <c r="C109" i="57"/>
  <c r="H103"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c r="R29" i="31"/>
  <c r="T29" i="31"/>
  <c r="B103" i="9"/>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U33" i="40"/>
  <c r="S12" i="40"/>
  <c r="AB13" i="37"/>
  <c r="U44" i="33"/>
  <c r="U11" i="36"/>
  <c r="AB11" i="35"/>
  <c r="U32" i="34"/>
  <c r="AA30" i="34"/>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J34" i="21"/>
  <c r="AC34" i="21" s="1"/>
  <c r="AC36" i="21"/>
  <c r="W36" i="21"/>
  <c r="E101" i="33"/>
  <c r="F32" i="33"/>
  <c r="AA32" i="33"/>
  <c r="H9" i="34"/>
  <c r="AB9" i="34"/>
  <c r="W27" i="34"/>
  <c r="AC27" i="34"/>
  <c r="H28" i="34"/>
  <c r="U28" i="34"/>
  <c r="E116" i="34"/>
  <c r="F116" i="34"/>
  <c r="G116" i="34" s="1"/>
  <c r="H116" i="34"/>
  <c r="I116" i="34" s="1"/>
  <c r="J116" i="34" s="1"/>
  <c r="K116" i="34" s="1"/>
  <c r="L116" i="34" s="1"/>
  <c r="M116" i="34" s="1"/>
  <c r="J39" i="34"/>
  <c r="W39" i="34" s="1"/>
  <c r="J27" i="36"/>
  <c r="F37" i="34"/>
  <c r="AA37" i="34"/>
  <c r="H37" i="34"/>
  <c r="U37" i="34"/>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AA11"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AC27" i="37" s="1"/>
  <c r="J29" i="37"/>
  <c r="W29" i="37" s="1"/>
  <c r="F29" i="37"/>
  <c r="S29" i="37" s="1"/>
  <c r="H31" i="37"/>
  <c r="AB31" i="37" s="1"/>
  <c r="J36" i="37"/>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W9" i="34"/>
  <c r="S45" i="21"/>
  <c r="AB13" i="21"/>
  <c r="AC37" i="37"/>
  <c r="U38" i="40"/>
  <c r="F23" i="39"/>
  <c r="AA23" i="39"/>
  <c r="G97" i="39"/>
  <c r="S24" i="36"/>
  <c r="F44" i="34"/>
  <c r="F126" i="34"/>
  <c r="G126" i="34" s="1"/>
  <c r="J44" i="34"/>
  <c r="AC44" i="34" s="1"/>
  <c r="S40" i="21"/>
  <c r="W27" i="37"/>
  <c r="AB27" i="37"/>
  <c r="H60" i="37"/>
  <c r="I60" i="37" s="1"/>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12" i="36"/>
  <c r="W45" i="21"/>
  <c r="W13" i="21"/>
  <c r="AC13" i="21"/>
  <c r="AA44" i="34"/>
  <c r="S44" i="34"/>
  <c r="S27" i="36"/>
  <c r="AB25" i="34"/>
  <c r="J10" i="37"/>
  <c r="AC10" i="37" s="1"/>
  <c r="H23" i="39"/>
  <c r="AB23" i="39" s="1"/>
  <c r="J11" i="34"/>
  <c r="W11" i="34" s="1"/>
  <c r="J27" i="33"/>
  <c r="W27" i="33" s="1"/>
  <c r="W17" i="34"/>
  <c r="J25" i="34"/>
  <c r="W25" i="34"/>
  <c r="AC11" i="34"/>
  <c r="H56"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C115" i="57"/>
  <c r="H111" i="57"/>
  <c r="F43" i="15"/>
  <c r="F72" i="15"/>
  <c r="D93" i="9"/>
  <c r="D37" i="11"/>
  <c r="C37" i="11" s="1"/>
  <c r="M29" i="15"/>
  <c r="P51" i="15"/>
  <c r="D10" i="11"/>
  <c r="C10" i="11" s="1"/>
  <c r="C2" i="31"/>
  <c r="I23" i="31" s="1"/>
  <c r="S29" i="31"/>
  <c r="S25" i="31" s="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W34" i="21"/>
  <c r="U27" i="21"/>
  <c r="AB23" i="21"/>
  <c r="U19" i="21"/>
  <c r="U43" i="21"/>
  <c r="U30" i="21"/>
  <c r="AB36" i="21"/>
  <c r="S17" i="21"/>
  <c r="AA36" i="21"/>
  <c r="AA43" i="21"/>
  <c r="AB32"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c r="D22" i="15"/>
  <c r="T28" i="31"/>
  <c r="A14" i="52"/>
  <c r="B61" i="60"/>
  <c r="C29" i="11"/>
  <c r="D27" i="11"/>
  <c r="C47" i="11"/>
  <c r="D45" i="11"/>
  <c r="V25" i="31"/>
  <c r="A4" i="54"/>
  <c r="B6" i="60"/>
  <c r="L103" i="43"/>
  <c r="H102" i="43"/>
  <c r="D109" i="43"/>
  <c r="K107" i="43"/>
  <c r="C106" i="43"/>
  <c r="D3" i="21"/>
  <c r="H73" i="43"/>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M18" i="15"/>
  <c r="D69" i="57"/>
  <c r="F54" i="57"/>
  <c r="F31" i="12"/>
  <c r="C31" i="12" s="1"/>
  <c r="F52" i="9"/>
  <c r="F48" i="9"/>
  <c r="O52" i="9"/>
  <c r="F30" i="11"/>
  <c r="F32" i="15"/>
  <c r="F61" i="15" s="1"/>
  <c r="F28" i="15"/>
  <c r="C28" i="15" s="1"/>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C7" i="43" s="1"/>
  <c r="E10" i="43"/>
  <c r="E11" i="43"/>
  <c r="H60" i="43"/>
  <c r="C95" i="57"/>
  <c r="C93" i="57"/>
  <c r="C92" i="9"/>
  <c r="H7" i="35"/>
  <c r="F7" i="35"/>
  <c r="S7" i="35" s="1"/>
  <c r="J7" i="35"/>
  <c r="AC7" i="35"/>
  <c r="V38" i="35" s="1"/>
  <c r="I38" i="35" s="1"/>
  <c r="C7" i="39"/>
  <c r="C68" i="39" s="1"/>
  <c r="C53" i="10"/>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c r="F115" i="43" s="1"/>
  <c r="G115" i="43" s="1"/>
  <c r="H115" i="43" s="1"/>
  <c r="B117" i="43"/>
  <c r="C117" i="43" s="1"/>
  <c r="M109" i="43"/>
  <c r="I107" i="43"/>
  <c r="N106" i="43"/>
  <c r="J105" i="43"/>
  <c r="F104" i="43"/>
  <c r="G37" i="47"/>
  <c r="C23" i="43"/>
  <c r="F36" i="43"/>
  <c r="C17" i="43"/>
  <c r="F35" i="43"/>
  <c r="F37" i="43"/>
  <c r="F39" i="43"/>
  <c r="G17" i="43"/>
  <c r="C7" i="34"/>
  <c r="C59" i="34" s="1"/>
  <c r="C7" i="36"/>
  <c r="C46" i="36"/>
  <c r="D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M17" i="15"/>
  <c r="F35" i="15"/>
  <c r="F64" i="15" s="1"/>
  <c r="C63" i="15"/>
  <c r="C17" i="15"/>
  <c r="A2" i="9"/>
  <c r="M46" i="9"/>
  <c r="F9" i="48"/>
  <c r="H9" i="48"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F11" i="48"/>
  <c r="H11" i="48" s="1"/>
  <c r="B9" i="48"/>
  <c r="D9" i="48" s="1"/>
  <c r="B7" i="48"/>
  <c r="D7" i="48" s="1"/>
  <c r="B8" i="48"/>
  <c r="D8"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F5" i="48"/>
  <c r="H5" i="48" s="1"/>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W10" i="21"/>
  <c r="W12" i="21"/>
  <c r="S35" i="21"/>
  <c r="C15" i="39"/>
  <c r="C17" i="39"/>
  <c r="C19" i="39"/>
  <c r="C15" i="40"/>
  <c r="C17" i="40"/>
  <c r="B54" i="43"/>
  <c r="B65" i="43"/>
  <c r="U30" i="40"/>
  <c r="B49" i="43"/>
  <c r="B52" i="43"/>
  <c r="B56" i="43"/>
  <c r="B60" i="43"/>
  <c r="B63" i="43"/>
  <c r="B67" i="43"/>
  <c r="C32" i="15"/>
  <c r="C34" i="15"/>
  <c r="N60" i="15"/>
  <c r="L60" i="15"/>
  <c r="Q72" i="15"/>
  <c r="C24" i="43"/>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C18" i="12"/>
  <c r="W7" i="35"/>
  <c r="F34" i="11"/>
  <c r="E19" i="1"/>
  <c r="D20" i="1"/>
  <c r="D18" i="1"/>
  <c r="F50" i="11"/>
  <c r="F19" i="1"/>
  <c r="F18" i="1"/>
  <c r="C11" i="12" s="1"/>
  <c r="D19" i="1"/>
  <c r="K87" i="43"/>
  <c r="J87" i="43" s="1"/>
  <c r="D87" i="43"/>
  <c r="E3" i="4"/>
  <c r="B5" i="55"/>
  <c r="B55" i="60" s="1"/>
  <c r="C16" i="43"/>
  <c r="AA7" i="35"/>
  <c r="R38" i="35" s="1"/>
  <c r="AB7" i="35"/>
  <c r="T38" i="35"/>
  <c r="G38" i="35" s="1"/>
  <c r="U7" i="35"/>
  <c r="K106" i="9"/>
  <c r="E63" i="40"/>
  <c r="E65" i="40" s="1"/>
  <c r="C5" i="43"/>
  <c r="C50" i="15"/>
  <c r="C115" i="43"/>
  <c r="J22" i="43"/>
  <c r="C21" i="43"/>
  <c r="M84" i="43"/>
  <c r="N84" i="43" s="1"/>
  <c r="K84" i="43"/>
  <c r="J84" i="43" s="1"/>
  <c r="D84" i="43"/>
  <c r="J18" i="15"/>
  <c r="M81" i="43"/>
  <c r="N81" i="43" s="1"/>
  <c r="K81" i="43"/>
  <c r="J81" i="43" s="1"/>
  <c r="D81" i="43"/>
  <c r="E81" i="43" s="1"/>
  <c r="B79" i="43" s="1"/>
  <c r="M88" i="43"/>
  <c r="N88" i="43"/>
  <c r="K88" i="43"/>
  <c r="J88" i="43"/>
  <c r="D88" i="43"/>
  <c r="I55" i="15"/>
  <c r="J54" i="15"/>
  <c r="Q59" i="15"/>
  <c r="B40" i="1"/>
  <c r="M27" i="15"/>
  <c r="C34" i="11"/>
  <c r="C36" i="11" s="1"/>
  <c r="F63" i="40"/>
  <c r="G63" i="40" s="1"/>
  <c r="C61" i="15"/>
  <c r="B33" i="1"/>
  <c r="Q50" i="15"/>
  <c r="D130" i="57"/>
  <c r="H14" i="62"/>
  <c r="B7" i="62" s="1"/>
  <c r="C38" i="11"/>
  <c r="F65" i="40"/>
  <c r="D117" i="57"/>
  <c r="D118" i="57"/>
  <c r="I114" i="57"/>
  <c r="D131" i="57" s="1"/>
  <c r="L69" i="57"/>
  <c r="M69" i="57" s="1"/>
  <c r="L68" i="57"/>
  <c r="M68" i="57" s="1"/>
  <c r="L67" i="57"/>
  <c r="M67" i="57" s="1"/>
  <c r="L66" i="57"/>
  <c r="M66" i="57" s="1"/>
  <c r="L65" i="57"/>
  <c r="M65" i="57" s="1"/>
  <c r="L64" i="57"/>
  <c r="M64" i="57" s="1"/>
  <c r="M70" i="57" s="1"/>
  <c r="N70" i="57" s="1"/>
  <c r="G39" i="43"/>
  <c r="I39" i="43" s="1"/>
  <c r="D133" i="57"/>
  <c r="M57" i="57"/>
  <c r="J19" i="15"/>
  <c r="C33" i="15"/>
  <c r="D119" i="57"/>
  <c r="I115" i="57"/>
  <c r="D132" i="57" s="1"/>
  <c r="I14" i="62" s="1"/>
  <c r="B8" i="62" s="1"/>
  <c r="C62" i="15"/>
  <c r="M56" i="9"/>
  <c r="D130" i="9"/>
  <c r="D13" i="52" s="1"/>
  <c r="D114" i="9"/>
  <c r="D115" i="9"/>
  <c r="I113" i="9"/>
  <c r="D41" i="50"/>
  <c r="B63" i="60"/>
  <c r="D39" i="50"/>
  <c r="D40" i="50"/>
  <c r="D18" i="50"/>
  <c r="D127" i="9"/>
  <c r="D10" i="52" s="1"/>
  <c r="D128" i="9"/>
  <c r="D11" i="52" s="1"/>
  <c r="D20" i="50"/>
  <c r="D19" i="50"/>
  <c r="B32" i="60"/>
  <c r="B31" i="60"/>
  <c r="L67" i="9"/>
  <c r="M67" i="9" s="1"/>
  <c r="L65" i="9"/>
  <c r="M65" i="9" s="1"/>
  <c r="L66" i="9"/>
  <c r="M66" i="9" s="1"/>
  <c r="L68" i="9"/>
  <c r="M68" i="9" s="1"/>
  <c r="L63" i="9"/>
  <c r="M63" i="9" s="1"/>
  <c r="M69" i="9" s="1"/>
  <c r="N69" i="9" s="1"/>
  <c r="L64" i="9"/>
  <c r="M64" i="9" s="1"/>
  <c r="I114" i="9"/>
  <c r="D42" i="50" s="1"/>
  <c r="D43" i="50" s="1"/>
  <c r="D116" i="9"/>
  <c r="D129" i="9"/>
  <c r="D12" i="52" s="1"/>
  <c r="D21" i="50"/>
  <c r="D22" i="50" s="1"/>
  <c r="B35" i="60" s="1"/>
  <c r="B6" i="48"/>
  <c r="D6" i="48" s="1"/>
  <c r="F7" i="48"/>
  <c r="H7" i="48" s="1"/>
  <c r="B14" i="48"/>
  <c r="D14" i="48" s="1"/>
  <c r="F21" i="48"/>
  <c r="H21" i="48" s="1"/>
  <c r="F4" i="48"/>
  <c r="H4" i="48" s="1"/>
  <c r="B16" i="48"/>
  <c r="D16" i="48" s="1"/>
  <c r="B10" i="48"/>
  <c r="D10" i="48" s="1"/>
  <c r="B13" i="48"/>
  <c r="D13" i="48" s="1"/>
  <c r="F6" i="48"/>
  <c r="H6" i="48" s="1"/>
  <c r="B11" i="48"/>
  <c r="D11" i="48" s="1"/>
  <c r="B4" i="48"/>
  <c r="D4" i="48" s="1"/>
  <c r="B5" i="48"/>
  <c r="D5" i="48" s="1"/>
  <c r="F22" i="48"/>
  <c r="H22" i="48" s="1"/>
  <c r="B22" i="48"/>
  <c r="D22" i="48" s="1"/>
  <c r="F16" i="48"/>
  <c r="H16" i="48" s="1"/>
  <c r="F8" i="48"/>
  <c r="H8" i="48" s="1"/>
  <c r="F10" i="48"/>
  <c r="H10" i="48" s="1"/>
  <c r="C3" i="4"/>
  <c r="B4" i="55" s="1"/>
  <c r="B53" i="60" s="1"/>
  <c r="D5" i="61"/>
  <c r="E2" i="33"/>
  <c r="F5" i="61"/>
  <c r="G1" i="61"/>
  <c r="E2" i="11"/>
  <c r="C19" i="57"/>
  <c r="F7" i="61"/>
  <c r="E2" i="35"/>
  <c r="F4" i="61"/>
  <c r="F6" i="61"/>
  <c r="D19" i="57"/>
  <c r="D3" i="61"/>
  <c r="H23" i="31"/>
  <c r="E2" i="36"/>
  <c r="E2" i="34"/>
  <c r="D4" i="61"/>
  <c r="D7" i="61"/>
  <c r="D20" i="57"/>
  <c r="F3" i="61"/>
  <c r="D6" i="61"/>
  <c r="C20" i="57"/>
  <c r="E2" i="37"/>
  <c r="D8" i="62" l="1"/>
  <c r="C8" i="62"/>
  <c r="C7" i="62"/>
  <c r="D7" i="62"/>
  <c r="G43" i="35"/>
  <c r="H43" i="35" s="1"/>
  <c r="G42" i="35"/>
  <c r="H42" i="35" s="1"/>
  <c r="E38" i="35"/>
  <c r="R39" i="35"/>
  <c r="D113" i="43"/>
  <c r="D52" i="37"/>
  <c r="E52" i="37" s="1"/>
  <c r="F52" i="37" s="1"/>
  <c r="G52" i="37" s="1"/>
  <c r="H52" i="37" s="1"/>
  <c r="I52" i="37" s="1"/>
  <c r="J52" i="37" s="1"/>
  <c r="K52" i="37" s="1"/>
  <c r="L52" i="37" s="1"/>
  <c r="M52" i="37" s="1"/>
  <c r="N52" i="37" s="1"/>
  <c r="O52" i="37" s="1"/>
  <c r="F7" i="37"/>
  <c r="J7" i="37"/>
  <c r="H7" i="37"/>
  <c r="D58" i="21"/>
  <c r="E58" i="21" s="1"/>
  <c r="F58" i="21" s="1"/>
  <c r="G58" i="21" s="1"/>
  <c r="H58" i="21" s="1"/>
  <c r="I58" i="21" s="1"/>
  <c r="J58" i="21" s="1"/>
  <c r="K58" i="21" s="1"/>
  <c r="L58" i="21" s="1"/>
  <c r="M58" i="21" s="1"/>
  <c r="N58" i="21" s="1"/>
  <c r="O58" i="21" s="1"/>
  <c r="I42" i="35"/>
  <c r="J42" i="35" s="1"/>
  <c r="I43" i="35"/>
  <c r="J43" i="35" s="1"/>
  <c r="B23" i="31"/>
  <c r="B2" i="31" s="1"/>
  <c r="C33" i="57" s="1"/>
  <c r="H124" i="57" s="1"/>
  <c r="R25" i="31"/>
  <c r="B24" i="31" s="1"/>
  <c r="B3" i="31" s="1"/>
  <c r="C34" i="57" s="1"/>
  <c r="I124" i="57" s="1"/>
  <c r="H63" i="40"/>
  <c r="G65" i="40"/>
  <c r="C12" i="12"/>
  <c r="C13" i="12"/>
  <c r="C15" i="12"/>
  <c r="C16" i="12"/>
  <c r="C21" i="12" s="1"/>
  <c r="E46" i="36"/>
  <c r="F46" i="36" s="1"/>
  <c r="G46" i="36" s="1"/>
  <c r="H46" i="36" s="1"/>
  <c r="I46" i="36" s="1"/>
  <c r="J46" i="36" s="1"/>
  <c r="K46" i="36" s="1"/>
  <c r="L46" i="36" s="1"/>
  <c r="M46" i="36" s="1"/>
  <c r="N46" i="36" s="1"/>
  <c r="O46" i="36" s="1"/>
  <c r="F7" i="36"/>
  <c r="D59" i="34"/>
  <c r="E59" i="34" s="1"/>
  <c r="F59" i="34" s="1"/>
  <c r="G59" i="34" s="1"/>
  <c r="H59" i="34" s="1"/>
  <c r="I59" i="34" s="1"/>
  <c r="J59" i="34" s="1"/>
  <c r="K59" i="34" s="1"/>
  <c r="L59" i="34" s="1"/>
  <c r="M59" i="34" s="1"/>
  <c r="N59" i="34" s="1"/>
  <c r="O59" i="34" s="1"/>
  <c r="F7" i="34"/>
  <c r="J7" i="34"/>
  <c r="H7" i="34"/>
  <c r="D58" i="33"/>
  <c r="E58" i="33" s="1"/>
  <c r="F58" i="33" s="1"/>
  <c r="G58" i="33" s="1"/>
  <c r="H58" i="33" s="1"/>
  <c r="I58" i="33" s="1"/>
  <c r="J58" i="33" s="1"/>
  <c r="K58" i="33" s="1"/>
  <c r="L58" i="33" s="1"/>
  <c r="M58" i="33" s="1"/>
  <c r="N58" i="33" s="1"/>
  <c r="O58" i="33" s="1"/>
  <c r="H7" i="33"/>
  <c r="C70" i="39"/>
  <c r="D68" i="39"/>
  <c r="C20" i="11"/>
  <c r="C28" i="11"/>
  <c r="C27" i="11" s="1"/>
  <c r="B33" i="60"/>
  <c r="C35" i="11"/>
  <c r="C33" i="11" s="1"/>
  <c r="H7" i="36"/>
  <c r="J7" i="36"/>
  <c r="AC27" i="33"/>
  <c r="W10" i="37"/>
  <c r="H74" i="43"/>
  <c r="U23" i="39"/>
  <c r="U31" i="37"/>
  <c r="S27" i="37"/>
  <c r="W36" i="37"/>
  <c r="AC36" i="37"/>
  <c r="U34" i="21"/>
  <c r="AB34" i="21"/>
  <c r="S23" i="21"/>
  <c r="F89" i="21"/>
  <c r="G89" i="21" s="1"/>
  <c r="H89" i="21" s="1"/>
  <c r="H26" i="21"/>
  <c r="J26" i="21"/>
  <c r="W12" i="35"/>
  <c r="AC12" i="35"/>
  <c r="AC23" i="36"/>
  <c r="W23" i="36"/>
  <c r="AC39" i="40"/>
  <c r="W39" i="40"/>
  <c r="AA26" i="37"/>
  <c r="S26" i="37"/>
  <c r="S12" i="37"/>
  <c r="AA12" i="37"/>
  <c r="AC17" i="21"/>
  <c r="W17" i="21"/>
  <c r="F26" i="47"/>
  <c r="B24" i="47" s="1"/>
  <c r="H113" i="21"/>
  <c r="H37" i="21"/>
  <c r="J37" i="21"/>
  <c r="F37" i="21"/>
  <c r="AA28" i="34"/>
  <c r="S28" i="34"/>
  <c r="AC9" i="35"/>
  <c r="W9" i="35"/>
  <c r="AB33" i="36"/>
  <c r="U33" i="36"/>
  <c r="AB14" i="37"/>
  <c r="U14" i="37"/>
  <c r="AA32" i="37"/>
  <c r="AB13" i="40"/>
  <c r="AC30" i="34"/>
  <c r="AB30" i="34"/>
  <c r="AC13" i="39"/>
  <c r="AC9" i="37"/>
  <c r="AA23" i="37"/>
  <c r="S11" i="33"/>
  <c r="AA13" i="33"/>
  <c r="AB20" i="35"/>
  <c r="S19" i="21"/>
  <c r="AC14" i="21"/>
  <c r="AC30" i="35"/>
  <c r="S8" i="33"/>
  <c r="S10" i="21"/>
  <c r="AB12" i="33"/>
  <c r="C25" i="39"/>
  <c r="W8" i="40"/>
  <c r="S27" i="35"/>
  <c r="W22" i="36"/>
  <c r="S23" i="36"/>
  <c r="W30" i="37"/>
  <c r="U8" i="37"/>
  <c r="J43" i="21"/>
  <c r="F28" i="21"/>
  <c r="J28" i="21"/>
  <c r="H28" i="21"/>
  <c r="F12" i="34"/>
  <c r="F9" i="35"/>
  <c r="H9" i="35"/>
  <c r="F12" i="35"/>
  <c r="H12" i="35"/>
  <c r="J36" i="35"/>
  <c r="H23" i="36"/>
  <c r="F39" i="40"/>
  <c r="D1" i="58"/>
  <c r="E10" i="58" s="1"/>
  <c r="I21" i="58"/>
  <c r="C51" i="59"/>
  <c r="D51" i="59" s="1"/>
  <c r="D52" i="59"/>
  <c r="P48" i="59"/>
  <c r="E47" i="59"/>
  <c r="U57" i="59"/>
  <c r="E56" i="59"/>
  <c r="E55" i="59" s="1"/>
  <c r="B24" i="60"/>
  <c r="C14" i="50"/>
  <c r="C12" i="50"/>
  <c r="C16" i="15"/>
  <c r="C15" i="15"/>
  <c r="C19" i="15" s="1"/>
  <c r="C18" i="15"/>
  <c r="U27" i="31"/>
  <c r="U25" i="31" s="1"/>
  <c r="C35" i="57" s="1"/>
  <c r="D124" i="57" s="1"/>
  <c r="Y27" i="31"/>
  <c r="Y25" i="31" s="1"/>
  <c r="X27" i="31"/>
  <c r="X25" i="31" s="1"/>
  <c r="C36" i="57" s="1"/>
  <c r="F124" i="57" s="1"/>
  <c r="N100" i="43"/>
  <c r="J100" i="43"/>
  <c r="F100" i="43"/>
  <c r="M100" i="43"/>
  <c r="I100" i="43"/>
  <c r="E100" i="43"/>
  <c r="C30" i="58"/>
  <c r="E26" i="58" s="1"/>
  <c r="U21" i="37"/>
  <c r="U18" i="35"/>
  <c r="C63" i="59"/>
  <c r="D63" i="59" s="1"/>
  <c r="C37" i="59"/>
  <c r="C40" i="59"/>
  <c r="C45" i="59"/>
  <c r="O49" i="59"/>
  <c r="C48" i="59"/>
  <c r="V49" i="59"/>
  <c r="F48" i="59"/>
  <c r="Q49" i="59"/>
  <c r="S49" i="59"/>
  <c r="N49" i="59"/>
  <c r="B56" i="59"/>
  <c r="B55" i="59" s="1"/>
  <c r="T57" i="59"/>
  <c r="D57" i="59"/>
  <c r="U61" i="59"/>
  <c r="E60" i="59"/>
  <c r="E59" i="59" s="1"/>
  <c r="S61" i="59"/>
  <c r="B60" i="59"/>
  <c r="B59" i="59" s="1"/>
  <c r="C13" i="50"/>
  <c r="F42" i="21"/>
  <c r="J42" i="21"/>
  <c r="B13" i="1"/>
  <c r="C8" i="59"/>
  <c r="D9" i="59"/>
  <c r="J56" i="9"/>
  <c r="J57" i="9" s="1"/>
  <c r="J59" i="9" s="1"/>
  <c r="J61" i="9" s="1"/>
  <c r="K57" i="57"/>
  <c r="J33" i="21"/>
  <c r="H42" i="21"/>
  <c r="H45" i="21"/>
  <c r="G19" i="43"/>
  <c r="H33" i="21"/>
  <c r="D102" i="57"/>
  <c r="G20" i="57"/>
  <c r="C103" i="57"/>
  <c r="I1" i="61"/>
  <c r="B30" i="1" s="1"/>
  <c r="D103" i="57"/>
  <c r="G19" i="57"/>
  <c r="C102" i="57"/>
  <c r="D22" i="57"/>
  <c r="E20" i="43"/>
  <c r="E27" i="1"/>
  <c r="B18" i="49"/>
  <c r="B4" i="60" s="1"/>
  <c r="C39" i="11" l="1"/>
  <c r="C46" i="11" s="1"/>
  <c r="C45" i="11" s="1"/>
  <c r="C20" i="15"/>
  <c r="C26" i="15" s="1"/>
  <c r="P25" i="43"/>
  <c r="P21" i="43"/>
  <c r="B71" i="39" s="1"/>
  <c r="P24" i="43"/>
  <c r="B66" i="40" s="1"/>
  <c r="P22" i="43"/>
  <c r="P23" i="43"/>
  <c r="O19" i="43"/>
  <c r="AB42" i="21"/>
  <c r="U42" i="21"/>
  <c r="F41" i="15"/>
  <c r="F70" i="15" s="1"/>
  <c r="I20" i="43"/>
  <c r="C20" i="43" s="1"/>
  <c r="B14" i="1"/>
  <c r="L49" i="15"/>
  <c r="AA42" i="21"/>
  <c r="S42" i="21"/>
  <c r="Q48" i="59"/>
  <c r="F47" i="59"/>
  <c r="O48" i="59"/>
  <c r="D48" i="59"/>
  <c r="C47" i="59"/>
  <c r="T45" i="59"/>
  <c r="D45" i="59"/>
  <c r="T37" i="59"/>
  <c r="D37" i="59"/>
  <c r="U23" i="36"/>
  <c r="AB23" i="36"/>
  <c r="U12" i="35"/>
  <c r="AB12" i="35"/>
  <c r="AB9" i="35"/>
  <c r="U9" i="35"/>
  <c r="S12" i="34"/>
  <c r="AA12" i="34"/>
  <c r="AC28" i="21"/>
  <c r="W28" i="21"/>
  <c r="AC43" i="21"/>
  <c r="W43" i="21"/>
  <c r="AA37" i="21"/>
  <c r="S37" i="21"/>
  <c r="AB37" i="21"/>
  <c r="U37" i="21"/>
  <c r="AB26" i="21"/>
  <c r="U26" i="21"/>
  <c r="U7" i="36"/>
  <c r="AB7" i="36"/>
  <c r="T36" i="36" s="1"/>
  <c r="G36" i="36" s="1"/>
  <c r="AB7" i="33"/>
  <c r="T48" i="33" s="1"/>
  <c r="G48" i="33" s="1"/>
  <c r="U7" i="33"/>
  <c r="U7" i="34"/>
  <c r="AB7" i="34"/>
  <c r="T49" i="34" s="1"/>
  <c r="G49" i="34" s="1"/>
  <c r="AA7" i="34"/>
  <c r="R49" i="34" s="1"/>
  <c r="S7" i="34"/>
  <c r="AA7" i="36"/>
  <c r="R36" i="36" s="1"/>
  <c r="S7" i="36"/>
  <c r="C22" i="12"/>
  <c r="C30" i="12" s="1"/>
  <c r="C28" i="12" s="1"/>
  <c r="I104" i="57"/>
  <c r="C107" i="57"/>
  <c r="D110" i="57"/>
  <c r="H7" i="21"/>
  <c r="AB7" i="37"/>
  <c r="T42" i="37" s="1"/>
  <c r="G42" i="37" s="1"/>
  <c r="U7" i="37"/>
  <c r="S7" i="37"/>
  <c r="AA7" i="37"/>
  <c r="R42" i="37" s="1"/>
  <c r="E43" i="35"/>
  <c r="F43" i="35" s="1"/>
  <c r="E42" i="35"/>
  <c r="F42" i="35" s="1"/>
  <c r="AB33" i="21"/>
  <c r="U33" i="21"/>
  <c r="AB45" i="21"/>
  <c r="U45" i="21"/>
  <c r="AC33" i="21"/>
  <c r="W33" i="21"/>
  <c r="D8" i="59"/>
  <c r="C7" i="59"/>
  <c r="AC42" i="21"/>
  <c r="W42" i="21"/>
  <c r="C41" i="59"/>
  <c r="D40" i="59"/>
  <c r="G124" i="57"/>
  <c r="F125" i="57"/>
  <c r="D125" i="57"/>
  <c r="E124" i="57"/>
  <c r="P47" i="59"/>
  <c r="P46" i="59"/>
  <c r="AA39" i="40"/>
  <c r="S39" i="40"/>
  <c r="AC36" i="35"/>
  <c r="W36" i="35"/>
  <c r="S12" i="35"/>
  <c r="AA12" i="35"/>
  <c r="AA9" i="35"/>
  <c r="S9" i="35"/>
  <c r="AB28" i="21"/>
  <c r="U28" i="21"/>
  <c r="AA28" i="21"/>
  <c r="S28" i="21"/>
  <c r="W37" i="21"/>
  <c r="AC37" i="21"/>
  <c r="W26" i="21"/>
  <c r="AC26" i="21"/>
  <c r="F26" i="21"/>
  <c r="I89" i="21"/>
  <c r="J89" i="21" s="1"/>
  <c r="K89" i="21" s="1"/>
  <c r="L89" i="21" s="1"/>
  <c r="M89" i="21" s="1"/>
  <c r="W7" i="36"/>
  <c r="AC7" i="36"/>
  <c r="V36" i="36" s="1"/>
  <c r="I36" i="36" s="1"/>
  <c r="D70" i="39"/>
  <c r="E68" i="39"/>
  <c r="J7" i="33"/>
  <c r="F7" i="33"/>
  <c r="W7" i="34"/>
  <c r="AC7" i="34"/>
  <c r="V49" i="34" s="1"/>
  <c r="I49" i="34" s="1"/>
  <c r="I63" i="40"/>
  <c r="H65" i="40"/>
  <c r="D14" i="62"/>
  <c r="I103" i="57"/>
  <c r="C106" i="57"/>
  <c r="H125" i="57"/>
  <c r="D109" i="57"/>
  <c r="J7" i="21"/>
  <c r="F7" i="21"/>
  <c r="W7" i="37"/>
  <c r="AC7" i="37"/>
  <c r="V42" i="37" s="1"/>
  <c r="I42" i="37" s="1"/>
  <c r="C38" i="35"/>
  <c r="C39" i="35"/>
  <c r="F11" i="15"/>
  <c r="M11" i="15"/>
  <c r="J10" i="15" s="1"/>
  <c r="J5" i="15" s="1"/>
  <c r="C105" i="57"/>
  <c r="C104" i="57"/>
  <c r="F25" i="12"/>
  <c r="F22" i="11"/>
  <c r="F24" i="15"/>
  <c r="M17" i="43"/>
  <c r="P17" i="43"/>
  <c r="N17" i="43"/>
  <c r="O17" i="43"/>
  <c r="AC7" i="21" l="1"/>
  <c r="W7" i="21"/>
  <c r="I111" i="57"/>
  <c r="D128" i="57" s="1"/>
  <c r="G14" i="62" s="1"/>
  <c r="B6" i="62" s="1"/>
  <c r="D46" i="57"/>
  <c r="M49" i="57"/>
  <c r="I53" i="34"/>
  <c r="J53" i="34" s="1"/>
  <c r="AA7" i="33"/>
  <c r="R48" i="33" s="1"/>
  <c r="S7" i="33"/>
  <c r="E70" i="39"/>
  <c r="F68" i="39"/>
  <c r="I40" i="36"/>
  <c r="J40" i="36" s="1"/>
  <c r="C6" i="59"/>
  <c r="D7" i="59"/>
  <c r="E42" i="37"/>
  <c r="R43" i="37"/>
  <c r="AB7" i="21"/>
  <c r="U7" i="21"/>
  <c r="G54" i="34"/>
  <c r="H54" i="34" s="1"/>
  <c r="G53" i="34"/>
  <c r="H53" i="34" s="1"/>
  <c r="V48" i="21"/>
  <c r="I48" i="21" s="1"/>
  <c r="Q47" i="59"/>
  <c r="Q46" i="59"/>
  <c r="J60" i="15"/>
  <c r="L59" i="15"/>
  <c r="J58" i="15"/>
  <c r="J56" i="15" s="1"/>
  <c r="J59" i="15" s="1"/>
  <c r="Q48" i="15" s="1"/>
  <c r="J61" i="15"/>
  <c r="Q46" i="15" s="1"/>
  <c r="L57" i="15"/>
  <c r="L61" i="15"/>
  <c r="B3" i="35"/>
  <c r="B2" i="35"/>
  <c r="I46" i="37"/>
  <c r="J46" i="37" s="1"/>
  <c r="I47" i="37"/>
  <c r="J47" i="37" s="1"/>
  <c r="AA7" i="21"/>
  <c r="S7" i="21"/>
  <c r="D115" i="57"/>
  <c r="D116" i="57" s="1"/>
  <c r="I112" i="57" s="1"/>
  <c r="D129" i="57" s="1"/>
  <c r="D120" i="57"/>
  <c r="I116" i="57" s="1"/>
  <c r="E14" i="62"/>
  <c r="F14" i="62"/>
  <c r="I65" i="40"/>
  <c r="J63" i="40"/>
  <c r="AC7" i="33"/>
  <c r="V48" i="33" s="1"/>
  <c r="I48" i="33" s="1"/>
  <c r="G53" i="33" s="1"/>
  <c r="H53" i="33" s="1"/>
  <c r="W7" i="33"/>
  <c r="S26" i="21"/>
  <c r="AA26" i="21"/>
  <c r="R48" i="21"/>
  <c r="T48" i="21"/>
  <c r="G48" i="21" s="1"/>
  <c r="T41" i="59"/>
  <c r="D41" i="59"/>
  <c r="G46" i="37"/>
  <c r="H46" i="37" s="1"/>
  <c r="G47" i="37"/>
  <c r="H47" i="37" s="1"/>
  <c r="R37" i="36"/>
  <c r="E36" i="36"/>
  <c r="E49" i="34"/>
  <c r="I54" i="34" s="1"/>
  <c r="J54" i="34" s="1"/>
  <c r="R50" i="34"/>
  <c r="G52" i="33"/>
  <c r="H52" i="33" s="1"/>
  <c r="G41" i="36"/>
  <c r="H41" i="36" s="1"/>
  <c r="G40" i="36"/>
  <c r="H40" i="36" s="1"/>
  <c r="O47" i="59"/>
  <c r="O46" i="59"/>
  <c r="D47" i="59"/>
  <c r="H10" i="39"/>
  <c r="H10" i="40"/>
  <c r="F10" i="39"/>
  <c r="J10" i="39"/>
  <c r="F10" i="40"/>
  <c r="J10" i="40"/>
  <c r="C24" i="11"/>
  <c r="C25" i="11"/>
  <c r="C42" i="11"/>
  <c r="C26" i="11"/>
  <c r="D22" i="11" s="1"/>
  <c r="C43" i="11"/>
  <c r="C44" i="11"/>
  <c r="D41" i="11" s="1"/>
  <c r="C23" i="11"/>
  <c r="C24" i="15"/>
  <c r="C23" i="15"/>
  <c r="C26" i="12"/>
  <c r="D25" i="12" s="1"/>
  <c r="C27" i="12"/>
  <c r="C25" i="12" s="1"/>
  <c r="C10" i="15"/>
  <c r="C5" i="15" s="1"/>
  <c r="C54" i="15"/>
  <c r="C49" i="15" s="1"/>
  <c r="J17" i="15"/>
  <c r="J26" i="15"/>
  <c r="J29" i="15" s="1"/>
  <c r="J24" i="15"/>
  <c r="W10" i="40" l="1"/>
  <c r="AC10" i="40"/>
  <c r="W10" i="39"/>
  <c r="AC10" i="39"/>
  <c r="S10" i="40"/>
  <c r="AA10" i="40"/>
  <c r="AA10" i="39"/>
  <c r="S10" i="39"/>
  <c r="U10" i="39"/>
  <c r="AB10" i="39"/>
  <c r="C49" i="34"/>
  <c r="C50" i="34"/>
  <c r="B2" i="34" s="1"/>
  <c r="B3" i="34" s="1"/>
  <c r="E40" i="36"/>
  <c r="F40" i="36" s="1"/>
  <c r="E41" i="36"/>
  <c r="F41" i="36" s="1"/>
  <c r="G52" i="21"/>
  <c r="H52" i="21" s="1"/>
  <c r="G53" i="21"/>
  <c r="H53" i="21" s="1"/>
  <c r="J65" i="40"/>
  <c r="K63" i="40"/>
  <c r="Q64" i="15"/>
  <c r="Q55" i="15"/>
  <c r="Q71" i="15"/>
  <c r="Q58" i="15"/>
  <c r="I52" i="21"/>
  <c r="J52" i="21" s="1"/>
  <c r="I53" i="21"/>
  <c r="J53" i="21" s="1"/>
  <c r="E47" i="37"/>
  <c r="F47" i="37" s="1"/>
  <c r="E46" i="37"/>
  <c r="F46" i="37" s="1"/>
  <c r="D6" i="59"/>
  <c r="C5" i="59"/>
  <c r="I41" i="36"/>
  <c r="J41" i="36" s="1"/>
  <c r="E48" i="33"/>
  <c r="R49" i="33"/>
  <c r="C6" i="62"/>
  <c r="D6" i="62"/>
  <c r="AB10" i="40"/>
  <c r="U10" i="40"/>
  <c r="E54" i="34"/>
  <c r="F54" i="34" s="1"/>
  <c r="E53" i="34"/>
  <c r="F53" i="34" s="1"/>
  <c r="C37" i="36"/>
  <c r="B2" i="36" s="1"/>
  <c r="B3" i="36" s="1"/>
  <c r="C36" i="36"/>
  <c r="E48" i="21"/>
  <c r="R49" i="21"/>
  <c r="I52" i="33"/>
  <c r="J52" i="33" s="1"/>
  <c r="I53" i="33"/>
  <c r="J53" i="33" s="1"/>
  <c r="C42" i="37"/>
  <c r="C43" i="37"/>
  <c r="B2" i="37" s="1"/>
  <c r="B3" i="37" s="1"/>
  <c r="G68" i="39"/>
  <c r="F70" i="39"/>
  <c r="D53" i="57"/>
  <c r="C79" i="57"/>
  <c r="C74" i="57" s="1"/>
  <c r="D54" i="57"/>
  <c r="D49" i="57" s="1"/>
  <c r="M53" i="57" s="1"/>
  <c r="C73" i="57"/>
  <c r="C80" i="57" s="1"/>
  <c r="D56" i="57"/>
  <c r="M54" i="57" s="1"/>
  <c r="C65" i="57"/>
  <c r="C64" i="57" s="1"/>
  <c r="C68" i="57" s="1"/>
  <c r="C69" i="57" s="1"/>
  <c r="D55" i="57" s="1"/>
  <c r="C86" i="57"/>
  <c r="C96" i="57" s="1"/>
  <c r="C94" i="57"/>
  <c r="C87" i="57" s="1"/>
  <c r="C32" i="12"/>
  <c r="C29" i="15"/>
  <c r="C13" i="15" s="1"/>
  <c r="C22" i="11"/>
  <c r="C31" i="11" s="1"/>
  <c r="C67" i="15"/>
  <c r="C60" i="15"/>
  <c r="C36" i="15"/>
  <c r="J14" i="15"/>
  <c r="C41" i="11"/>
  <c r="C49" i="11" s="1"/>
  <c r="C51" i="11" s="1"/>
  <c r="B2" i="12"/>
  <c r="B3" i="12"/>
  <c r="C38" i="15"/>
  <c r="C31" i="15"/>
  <c r="C48" i="21" l="1"/>
  <c r="C49" i="21"/>
  <c r="C58" i="15"/>
  <c r="C65" i="15" s="1"/>
  <c r="C81" i="57"/>
  <c r="E81" i="57" s="1"/>
  <c r="E82" i="57" s="1"/>
  <c r="C82" i="57"/>
  <c r="G70" i="39"/>
  <c r="H68" i="39"/>
  <c r="E53" i="21"/>
  <c r="F53" i="21" s="1"/>
  <c r="E52" i="21"/>
  <c r="F52" i="21" s="1"/>
  <c r="C48" i="33"/>
  <c r="C49" i="33"/>
  <c r="B2" i="33" s="1"/>
  <c r="B3" i="33" s="1"/>
  <c r="C97" i="57"/>
  <c r="E97" i="57" s="1"/>
  <c r="E98" i="57" s="1"/>
  <c r="C98" i="57"/>
  <c r="D59" i="57" s="1"/>
  <c r="D57" i="57" s="1"/>
  <c r="M55" i="57" s="1"/>
  <c r="N58" i="57" s="1"/>
  <c r="E53" i="33"/>
  <c r="F53" i="33" s="1"/>
  <c r="E52" i="33"/>
  <c r="F52" i="33" s="1"/>
  <c r="D5" i="59"/>
  <c r="M20" i="43"/>
  <c r="C19" i="43" s="1"/>
  <c r="K65" i="40"/>
  <c r="L63" i="40"/>
  <c r="Q47" i="15"/>
  <c r="J13" i="15"/>
  <c r="J23" i="15" s="1"/>
  <c r="J22" i="15"/>
  <c r="C57" i="15"/>
  <c r="C66" i="15" s="1"/>
  <c r="C59" i="15" s="1"/>
  <c r="C68" i="15" s="1"/>
  <c r="C69" i="15" s="1"/>
  <c r="Q68" i="15"/>
  <c r="C37" i="15"/>
  <c r="J34" i="15"/>
  <c r="C56" i="11"/>
  <c r="C57" i="11" s="1"/>
  <c r="C52" i="11"/>
  <c r="C30" i="15"/>
  <c r="C39" i="15" s="1"/>
  <c r="P58" i="57" l="1"/>
  <c r="N60" i="57"/>
  <c r="N59" i="57"/>
  <c r="M63" i="40"/>
  <c r="L65" i="40"/>
  <c r="B3" i="21"/>
  <c r="B2"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9" i="43"/>
  <c r="E39" i="43" s="1"/>
  <c r="C38" i="43"/>
  <c r="C36" i="43"/>
  <c r="C33" i="43"/>
  <c r="C35" i="43"/>
  <c r="C34" i="43"/>
  <c r="T16" i="43"/>
  <c r="V16" i="43" s="1"/>
  <c r="C37" i="43"/>
  <c r="C29" i="43"/>
  <c r="H70" i="39"/>
  <c r="I68" i="39"/>
  <c r="J16" i="15"/>
  <c r="J25" i="15" s="1"/>
  <c r="C40" i="15"/>
  <c r="C47" i="15" s="1"/>
  <c r="Q67" i="15"/>
  <c r="Q66" i="15" s="1"/>
  <c r="C72" i="15"/>
  <c r="B3" i="11"/>
  <c r="B2" i="11"/>
  <c r="J38" i="15"/>
  <c r="J39" i="15" s="1"/>
  <c r="C20" i="9"/>
  <c r="C19" i="9"/>
  <c r="E2" i="21"/>
  <c r="C101" i="9" l="1"/>
  <c r="C102" i="9"/>
  <c r="G37" i="43"/>
  <c r="I37" i="43" s="1"/>
  <c r="E37" i="43"/>
  <c r="G34" i="43"/>
  <c r="I34" i="43" s="1"/>
  <c r="E34" i="43"/>
  <c r="E33" i="43"/>
  <c r="G33" i="43"/>
  <c r="I33" i="43" s="1"/>
  <c r="E38" i="43"/>
  <c r="G38" i="43"/>
  <c r="I38" i="43" s="1"/>
  <c r="I70" i="39"/>
  <c r="J68" i="39"/>
  <c r="E29" i="43"/>
  <c r="C26" i="43" s="1"/>
  <c r="B2" i="43" s="1"/>
  <c r="B3" i="43" s="1"/>
  <c r="C30" i="43"/>
  <c r="E30" i="43" s="1"/>
  <c r="C27" i="43" s="1"/>
  <c r="G35" i="43"/>
  <c r="I35" i="43" s="1"/>
  <c r="E35" i="43"/>
  <c r="G36" i="43"/>
  <c r="I36" i="43" s="1"/>
  <c r="E36" i="43"/>
  <c r="M65" i="40"/>
  <c r="N63" i="40"/>
  <c r="N62" i="57"/>
  <c r="N61" i="57"/>
  <c r="B3" i="15"/>
  <c r="B2" i="15"/>
  <c r="Q54" i="15"/>
  <c r="Q60" i="15" s="1"/>
  <c r="Q63" i="15"/>
  <c r="Q73" i="15" s="1"/>
  <c r="L52" i="15"/>
  <c r="Q45" i="15"/>
  <c r="Q51" i="15" s="1"/>
  <c r="C43" i="15"/>
  <c r="J41" i="15"/>
  <c r="D20" i="9"/>
  <c r="D19" i="9"/>
  <c r="J7" i="40" l="1"/>
  <c r="N65" i="40"/>
  <c r="O63" i="40"/>
  <c r="O65" i="40" s="1"/>
  <c r="J70" i="39"/>
  <c r="K68" i="39"/>
  <c r="D102" i="9"/>
  <c r="G20" i="9"/>
  <c r="D101" i="9"/>
  <c r="D22" i="9"/>
  <c r="G19" i="9"/>
  <c r="L58" i="15"/>
  <c r="Q65" i="15"/>
  <c r="J42" i="15"/>
  <c r="D35" i="9"/>
  <c r="D34" i="9" s="1"/>
  <c r="L68" i="39" l="1"/>
  <c r="K70" i="39"/>
  <c r="F7" i="40"/>
  <c r="H7" i="40"/>
  <c r="W7" i="40"/>
  <c r="AC7" i="40"/>
  <c r="V42" i="40" s="1"/>
  <c r="I42" i="40" s="1"/>
  <c r="C32" i="9"/>
  <c r="D15" i="62"/>
  <c r="U7" i="40" l="1"/>
  <c r="AB7" i="40"/>
  <c r="T42" i="40" s="1"/>
  <c r="G42" i="40" s="1"/>
  <c r="I46" i="40"/>
  <c r="J46" i="40" s="1"/>
  <c r="AA7" i="40"/>
  <c r="R42" i="40" s="1"/>
  <c r="S7" i="40"/>
  <c r="L70" i="39"/>
  <c r="M68" i="39"/>
  <c r="C35" i="9"/>
  <c r="G121" i="9" s="1"/>
  <c r="I121" i="9"/>
  <c r="B5" i="62"/>
  <c r="E15" i="62"/>
  <c r="F15" i="62"/>
  <c r="N68" i="39" l="1"/>
  <c r="M70" i="39"/>
  <c r="G47" i="40"/>
  <c r="H47" i="40" s="1"/>
  <c r="G46" i="40"/>
  <c r="H46" i="40" s="1"/>
  <c r="E42" i="40"/>
  <c r="R43" i="40"/>
  <c r="C34" i="9"/>
  <c r="E121" i="9" s="1"/>
  <c r="C104" i="9"/>
  <c r="D107" i="9"/>
  <c r="I103" i="9"/>
  <c r="H121" i="9"/>
  <c r="I4" i="52"/>
  <c r="G4" i="52"/>
  <c r="B41" i="60" s="1"/>
  <c r="F121" i="9"/>
  <c r="C5" i="62"/>
  <c r="D5" i="62"/>
  <c r="E4" i="52"/>
  <c r="B38" i="60" s="1"/>
  <c r="D121" i="9"/>
  <c r="C43" i="40" l="1"/>
  <c r="C42" i="40"/>
  <c r="E46" i="40"/>
  <c r="F46" i="40" s="1"/>
  <c r="E47" i="40"/>
  <c r="F47" i="40" s="1"/>
  <c r="I47" i="40"/>
  <c r="J47" i="40" s="1"/>
  <c r="O68" i="39"/>
  <c r="O70" i="39" s="1"/>
  <c r="N70" i="39"/>
  <c r="D122" i="9"/>
  <c r="D5" i="52" s="1"/>
  <c r="B39" i="60" s="1"/>
  <c r="D4" i="52"/>
  <c r="B37" i="60" s="1"/>
  <c r="F4" i="52"/>
  <c r="B40" i="60" s="1"/>
  <c r="F122" i="9"/>
  <c r="F5" i="52" s="1"/>
  <c r="B42" i="60" s="1"/>
  <c r="D9" i="50"/>
  <c r="B21" i="60" s="1"/>
  <c r="D30" i="50"/>
  <c r="I102" i="9"/>
  <c r="H122" i="9"/>
  <c r="H5" i="52" s="1"/>
  <c r="H4" i="52"/>
  <c r="D106" i="9"/>
  <c r="D112" i="9" s="1"/>
  <c r="C103" i="9"/>
  <c r="H7" i="39" l="1"/>
  <c r="F7" i="39"/>
  <c r="J7" i="39"/>
  <c r="B53" i="40"/>
  <c r="F53" i="40" s="1"/>
  <c r="B60" i="40"/>
  <c r="F60" i="40" s="1"/>
  <c r="B52" i="40"/>
  <c r="F52" i="40" s="1"/>
  <c r="B51" i="40"/>
  <c r="F51" i="40" s="1"/>
  <c r="F61" i="40" s="1"/>
  <c r="B2" i="40" s="1"/>
  <c r="B3" i="40" s="1"/>
  <c r="B58" i="40"/>
  <c r="F58" i="40" s="1"/>
  <c r="B56" i="40"/>
  <c r="F56" i="40" s="1"/>
  <c r="B59" i="40"/>
  <c r="F59" i="40" s="1"/>
  <c r="B57" i="40"/>
  <c r="F57" i="40" s="1"/>
  <c r="B55" i="40"/>
  <c r="F55" i="40" s="1"/>
  <c r="B54" i="40"/>
  <c r="F54" i="40" s="1"/>
  <c r="D113" i="9"/>
  <c r="D117" i="9"/>
  <c r="D7" i="50"/>
  <c r="D28" i="50"/>
  <c r="D29" i="50" s="1"/>
  <c r="M48" i="9"/>
  <c r="I110" i="9"/>
  <c r="D45" i="9"/>
  <c r="AA7" i="39" l="1"/>
  <c r="R47" i="39" s="1"/>
  <c r="S7" i="39"/>
  <c r="AC7" i="39"/>
  <c r="V47" i="39" s="1"/>
  <c r="I47" i="39" s="1"/>
  <c r="W7" i="39"/>
  <c r="U7" i="39"/>
  <c r="AB7" i="39"/>
  <c r="T47" i="39" s="1"/>
  <c r="G47" i="39" s="1"/>
  <c r="D55" i="9"/>
  <c r="M53" i="9" s="1"/>
  <c r="C85" i="9"/>
  <c r="C72" i="9"/>
  <c r="C78" i="9"/>
  <c r="C73" i="9" s="1"/>
  <c r="D59" i="9"/>
  <c r="M55" i="9" s="1"/>
  <c r="C93" i="9"/>
  <c r="C86" i="9" s="1"/>
  <c r="D52" i="9"/>
  <c r="D53" i="9"/>
  <c r="D48" i="9" s="1"/>
  <c r="M52" i="9" s="1"/>
  <c r="C64" i="9"/>
  <c r="C63" i="9" s="1"/>
  <c r="C67" i="9" s="1"/>
  <c r="C68" i="9" s="1"/>
  <c r="D54" i="9" s="1"/>
  <c r="D8" i="50"/>
  <c r="B22" i="60" s="1"/>
  <c r="B19" i="60"/>
  <c r="D38" i="50"/>
  <c r="B62" i="60" s="1"/>
  <c r="I111" i="9"/>
  <c r="D125" i="9"/>
  <c r="D8" i="52" s="1"/>
  <c r="D15" i="50"/>
  <c r="D36" i="50"/>
  <c r="D37" i="50" s="1"/>
  <c r="D44" i="50"/>
  <c r="I115" i="9"/>
  <c r="D23" i="50" s="1"/>
  <c r="B34" i="60" s="1"/>
  <c r="G51" i="39" l="1"/>
  <c r="H51" i="39" s="1"/>
  <c r="G52" i="39"/>
  <c r="H52" i="39" s="1"/>
  <c r="I51" i="39"/>
  <c r="J51" i="39" s="1"/>
  <c r="I52" i="39"/>
  <c r="J52" i="39" s="1"/>
  <c r="E47" i="39"/>
  <c r="R48" i="39"/>
  <c r="D16" i="50"/>
  <c r="B30" i="60" s="1"/>
  <c r="B29" i="60"/>
  <c r="D126" i="9"/>
  <c r="D9" i="52" s="1"/>
  <c r="D17" i="50"/>
  <c r="C79" i="9"/>
  <c r="C95" i="9"/>
  <c r="C48" i="39" l="1"/>
  <c r="C47" i="39"/>
  <c r="E51" i="39"/>
  <c r="F51" i="39" s="1"/>
  <c r="E52" i="39"/>
  <c r="F52" i="39" s="1"/>
  <c r="C96" i="9"/>
  <c r="E96" i="9" s="1"/>
  <c r="E97" i="9" s="1"/>
  <c r="C80" i="9"/>
  <c r="E80" i="9" s="1"/>
  <c r="E81" i="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97" i="9"/>
  <c r="D58" i="9" s="1"/>
  <c r="D56" i="9" s="1"/>
  <c r="M54" i="9" s="1"/>
  <c r="N57" i="9" s="1"/>
  <c r="N58" i="9" s="1"/>
  <c r="C81" i="9"/>
  <c r="N59" i="9"/>
  <c r="P57" i="9" l="1"/>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<sst xmlns="http://schemas.openxmlformats.org/spreadsheetml/2006/main" count="6899" uniqueCount="2917">
  <si>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</si>
  <si>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</si>
  <si>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</si>
  <si>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</si>
  <si>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</si>
  <si>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</si>
  <si>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</si>
  <si>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</si>
  <si>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</si>
  <si>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</si>
  <si>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</si>
  <si>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</si>
  <si>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</si>
  <si>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</si>
  <si>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</si>
  <si>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</si>
  <si>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</si>
  <si>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</si>
  <si>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</si>
  <si>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</si>
  <si>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</si>
  <si>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</si>
  <si>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</si>
  <si>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</si>
  <si>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</si>
  <si>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</si>
  <si>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</si>
  <si>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</si>
  <si>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</si>
  <si>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</si>
  <si>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</si>
  <si>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</si>
  <si>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</si>
  <si>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</si>
  <si>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</si>
  <si>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</si>
  <si>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</si>
  <si>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</si>
  <si>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</si>
  <si>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</si>
  <si>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</si>
  <si>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</si>
  <si>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</si>
  <si>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</si>
  <si>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</si>
  <si>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</si>
  <si>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</si>
  <si>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</si>
  <si>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</si>
  <si>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</si>
  <si>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</si>
  <si>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</si>
  <si>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</si>
  <si>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</si>
  <si>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</si>
  <si>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</si>
  <si>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</si>
  <si>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</si>
  <si>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</si>
  <si>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</si>
  <si>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</si>
  <si>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</si>
  <si>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</si>
  <si>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</si>
  <si>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</si>
  <si>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</si>
  <si>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</si>
  <si>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</si>
  <si>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</si>
  <si>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</si>
  <si>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</si>
  <si>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</si>
  <si>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</si>
  <si>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</si>
  <si>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</si>
  <si>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</si>
  <si>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</si>
  <si>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</si>
  <si>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</si>
  <si>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</si>
  <si>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</si>
  <si>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</si>
  <si>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</si>
  <si>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</si>
  <si>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</si>
  <si>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</si>
  <si>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</si>
  <si>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</si>
  <si>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</si>
  <si>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</si>
  <si>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</si>
  <si>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</si>
  <si>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</si>
  <si>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</si>
  <si>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</si>
  <si>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</si>
  <si>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</si>
  <si>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</si>
  <si>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</si>
  <si>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</si>
  <si>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</si>
  <si>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</si>
  <si>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</si>
  <si>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</si>
  <si>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</si>
  <si>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</si>
  <si>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</si>
  <si>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</si>
  <si>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</si>
  <si>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</si>
  <si>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</si>
  <si>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</si>
  <si>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</si>
  <si>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</si>
  <si>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</si>
  <si>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</si>
  <si>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</si>
  <si>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</si>
  <si>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</si>
  <si>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</si>
  <si>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</si>
  <si>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</si>
  <si>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</si>
  <si>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</si>
  <si>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</si>
  <si>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</si>
  <si>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</si>
  <si>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</si>
  <si>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</si>
  <si>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</si>
  <si>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</si>
  <si>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</si>
  <si>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</si>
  <si>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</si>
  <si>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</si>
  <si>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</si>
  <si>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</si>
  <si>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</si>
  <si>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</si>
  <si>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</si>
  <si>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</si>
  <si>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</si>
  <si>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</si>
  <si>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</si>
  <si>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</si>
  <si>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</si>
  <si>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</si>
  <si>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</si>
  <si>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</si>
  <si>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</si>
  <si>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</si>
  <si>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</si>
  <si>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</si>
  <si>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</si>
  <si>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</si>
  <si>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</si>
  <si>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</si>
  <si>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</si>
  <si>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</si>
  <si>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</si>
  <si>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</si>
  <si>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</si>
  <si>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</si>
  <si>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</si>
  <si>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</si>
  <si>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</si>
  <si>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</si>
  <si>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</si>
  <si>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</si>
  <si>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</si>
  <si>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</si>
  <si>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</si>
  <si>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</si>
  <si>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</si>
  <si>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</si>
  <si>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</si>
  <si>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</si>
  <si>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</si>
  <si>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</si>
  <si>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</si>
  <si>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</si>
  <si>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</si>
  <si>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</si>
  <si>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</si>
  <si>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</si>
  <si>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</si>
  <si>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</si>
  <si>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</si>
  <si>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</si>
  <si>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</si>
  <si>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</si>
  <si>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</si>
  <si>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</si>
  <si>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</si>
  <si>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</si>
  <si>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</si>
  <si>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</si>
  <si>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</si>
  <si>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</si>
  <si>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</si>
  <si>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</si>
  <si>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</si>
  <si>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</si>
  <si>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</si>
  <si>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</si>
  <si>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</si>
  <si>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</si>
  <si>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</si>
  <si>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</si>
  <si>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</si>
  <si>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</si>
  <si>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</si>
  <si>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</si>
  <si>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</si>
  <si>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</si>
  <si>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</si>
  <si>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</si>
  <si>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</si>
  <si>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</si>
  <si>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</si>
  <si>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</si>
  <si>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</si>
  <si>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</si>
  <si>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</si>
  <si>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</si>
  <si>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</si>
  <si>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</si>
  <si>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</si>
  <si>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</si>
  <si>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</si>
  <si>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</si>
  <si>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</si>
  <si>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</si>
  <si>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</si>
  <si>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</si>
  <si>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</si>
  <si>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</si>
  <si>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</si>
  <si>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</si>
  <si>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</si>
  <si>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</si>
  <si>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</si>
  <si>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</si>
  <si>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</si>
  <si>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</si>
  <si>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</si>
  <si>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</si>
  <si>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</si>
  <si>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</si>
  <si>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</si>
  <si>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</si>
  <si>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</si>
  <si>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</si>
  <si>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</si>
  <si>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</si>
  <si>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</si>
  <si>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</si>
  <si>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</si>
  <si>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</si>
  <si>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</si>
  <si>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</si>
  <si>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</si>
  <si>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</si>
  <si>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</si>
  <si>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</si>
  <si>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</si>
  <si>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</si>
  <si>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</si>
  <si>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</si>
  <si>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</si>
  <si>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</si>
  <si>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</si>
  <si>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</si>
  <si>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</si>
  <si>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</si>
  <si>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</si>
  <si>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</si>
  <si>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</si>
  <si>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</si>
  <si>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</si>
  <si>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</si>
  <si>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</si>
  <si>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</si>
  <si>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</si>
  <si>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</si>
  <si>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</si>
  <si>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</si>
  <si>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</si>
  <si>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</si>
  <si>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</si>
  <si>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</si>
  <si>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</si>
  <si>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</si>
  <si>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</si>
  <si>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</si>
  <si>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</si>
  <si>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</si>
  <si>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</si>
  <si>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</si>
  <si>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</si>
  <si>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</si>
  <si>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</si>
  <si>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</si>
  <si>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</si>
  <si>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</si>
  <si>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</si>
  <si>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</si>
  <si>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</si>
  <si>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</si>
  <si>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</si>
  <si>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</si>
  <si>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</si>
  <si>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</si>
  <si>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</si>
  <si>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</si>
  <si>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</si>
  <si>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</si>
  <si>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</si>
  <si>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</si>
  <si>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</si>
  <si>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</si>
  <si>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</si>
  <si>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</si>
  <si>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</si>
  <si>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</si>
  <si>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</si>
  <si>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</si>
  <si>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</si>
  <si>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</si>
  <si>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</si>
  <si>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</si>
  <si>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</si>
  <si>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</si>
  <si>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</si>
  <si>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</si>
  <si>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</si>
  <si>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</si>
  <si>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</si>
  <si>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</si>
  <si>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</si>
  <si>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</si>
  <si>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</si>
  <si>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</si>
  <si>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</si>
  <si>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</si>
  <si>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</si>
  <si>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</si>
  <si>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</si>
  <si>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</si>
  <si>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</si>
  <si>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</si>
  <si>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</si>
  <si>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</si>
  <si>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</si>
  <si>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</si>
  <si>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</si>
  <si>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</si>
  <si>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</si>
  <si>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</si>
  <si>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</si>
  <si>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</si>
  <si>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</si>
  <si>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</si>
  <si>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</si>
  <si>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</si>
  <si>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</si>
  <si>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</si>
  <si>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</si>
  <si>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</si>
  <si>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</si>
  <si>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</si>
  <si>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</si>
  <si>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</si>
  <si>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</si>
  <si>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</si>
  <si>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</si>
  <si>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</si>
  <si>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</si>
  <si>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</si>
  <si>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</si>
  <si>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</si>
  <si>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</si>
  <si>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</si>
  <si>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</si>
  <si>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</si>
  <si>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</si>
  <si>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</si>
  <si>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</si>
  <si>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</si>
  <si>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</si>
  <si>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</si>
  <si>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</si>
  <si>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</si>
  <si>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</si>
  <si>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</si>
  <si>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</si>
  <si>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</si>
  <si>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</si>
  <si>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</si>
  <si>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</si>
  <si>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</si>
  <si>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</si>
  <si>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</si>
  <si>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</si>
  <si>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</si>
  <si>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</si>
  <si>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</si>
  <si>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</si>
  <si>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</si>
  <si>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</si>
  <si>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</si>
  <si>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</si>
  <si>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</si>
  <si>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</si>
  <si>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</si>
  <si>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</si>
  <si>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</si>
  <si>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</si>
  <si>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</si>
  <si>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</si>
  <si>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</si>
  <si>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</si>
  <si>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</si>
  <si>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</si>
  <si>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</si>
  <si>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</si>
  <si>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</si>
  <si>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</si>
  <si>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</si>
  <si>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</si>
  <si>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</si>
  <si>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</si>
  <si>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</si>
  <si>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</si>
  <si>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</si>
  <si>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</si>
  <si>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</si>
  <si>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</si>
  <si>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</si>
  <si>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</si>
  <si>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</si>
  <si>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</si>
  <si>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</si>
  <si>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</si>
  <si>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</si>
  <si>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</si>
  <si>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</si>
  <si>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</si>
  <si>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</si>
  <si>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</si>
  <si>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</si>
  <si>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</si>
  <si>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</si>
  <si>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</si>
  <si>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</si>
  <si>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</si>
  <si>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</si>
  <si>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</si>
  <si>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</si>
  <si>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</si>
  <si>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</si>
  <si>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</si>
  <si>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</si>
  <si>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</si>
  <si>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</si>
  <si>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</si>
  <si>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</si>
  <si>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</si>
  <si>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</si>
  <si>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</si>
  <si>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</si>
  <si>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</si>
  <si>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</si>
  <si>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</si>
  <si>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</si>
  <si>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</si>
  <si>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</si>
  <si>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</si>
  <si>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</si>
  <si>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</si>
  <si>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</si>
  <si>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</si>
  <si>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</si>
  <si>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</si>
  <si>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</si>
  <si>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</si>
  <si>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</si>
  <si>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</si>
  <si>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</si>
  <si>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</si>
  <si>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</si>
  <si>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</si>
  <si>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</si>
  <si>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</si>
  <si>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</si>
  <si>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</si>
  <si>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</si>
  <si>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</si>
  <si>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</si>
  <si>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</si>
  <si>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</si>
  <si>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</si>
  <si>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</si>
  <si>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</si>
  <si>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</si>
  <si>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</si>
  <si>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</si>
  <si>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</si>
  <si>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</si>
  <si>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</si>
  <si>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</si>
  <si>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</si>
  <si>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</si>
  <si>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</si>
  <si>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</si>
  <si>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</si>
  <si>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</si>
  <si>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</si>
  <si>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</si>
  <si>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</si>
  <si>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</si>
  <si>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</si>
  <si>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</si>
  <si>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</si>
  <si>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</si>
  <si>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</si>
  <si>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</si>
  <si>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</si>
  <si>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</si>
  <si>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</si>
  <si>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</si>
  <si>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</si>
  <si>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</si>
  <si>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</si>
  <si>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</si>
  <si>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</si>
  <si>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</si>
  <si>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</si>
  <si>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</si>
  <si>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</si>
  <si>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</si>
  <si>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</si>
  <si>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</si>
  <si>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</si>
  <si>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</si>
  <si>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</si>
  <si>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</si>
  <si>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</si>
  <si>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</si>
  <si>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</si>
  <si>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</si>
  <si>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</si>
  <si>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</si>
  <si>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</si>
  <si>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</si>
  <si>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</si>
  <si>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</si>
  <si>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</si>
  <si>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</si>
  <si>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</si>
  <si>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</si>
  <si>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</si>
  <si>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</si>
  <si>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</si>
  <si>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</si>
  <si>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</si>
  <si>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</si>
  <si>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</si>
  <si>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</si>
  <si>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</si>
  <si>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</si>
  <si>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</si>
  <si>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</si>
  <si>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</si>
  <si>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</si>
  <si>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</si>
  <si>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</si>
  <si>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</si>
  <si>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</si>
  <si>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</si>
  <si>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</si>
  <si>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</si>
  <si>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</si>
  <si>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</si>
  <si>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</si>
  <si>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</si>
  <si>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</si>
  <si>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</si>
  <si>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</si>
  <si>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</si>
  <si>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</si>
  <si>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</si>
  <si>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</si>
  <si>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</si>
  <si>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</si>
  <si>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</si>
  <si>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</si>
  <si>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</si>
  <si>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</si>
  <si>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</si>
  <si>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</si>
  <si>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</si>
  <si>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</si>
  <si>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</si>
  <si>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</si>
  <si>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</si>
  <si>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</si>
  <si>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</si>
  <si>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</si>
  <si>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</si>
  <si>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</si>
  <si>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</si>
  <si>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</si>
  <si>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</si>
  <si>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</si>
  <si>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</si>
  <si>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</si>
  <si>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</si>
  <si>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</si>
  <si>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</si>
  <si>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</si>
  <si>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</si>
  <si>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</si>
  <si>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</si>
  <si>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</si>
  <si>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</si>
  <si>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</si>
  <si>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</si>
  <si>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</si>
  <si>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</si>
  <si>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</si>
  <si>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</si>
  <si>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</si>
  <si>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</si>
  <si>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</si>
  <si>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</si>
  <si>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</si>
  <si>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</si>
  <si>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</si>
  <si>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</si>
  <si>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</si>
  <si>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</si>
  <si>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</si>
  <si>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</si>
  <si>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</si>
  <si>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</si>
  <si>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</si>
  <si>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</si>
  <si>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</si>
  <si>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</si>
  <si>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</si>
  <si>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</si>
  <si>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</si>
  <si>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</si>
  <si>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</si>
  <si>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</si>
  <si>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</si>
  <si>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</si>
  <si>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</si>
  <si>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</si>
  <si>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</si>
  <si>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</si>
  <si>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</si>
  <si>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</si>
  <si>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</si>
  <si>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</si>
  <si>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</si>
  <si>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</si>
  <si>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</si>
  <si>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</si>
  <si>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</si>
  <si>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</si>
  <si>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</si>
  <si>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</si>
  <si>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</si>
  <si>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</si>
  <si>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</si>
  <si>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</si>
  <si>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</si>
  <si>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</si>
  <si>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</si>
  <si>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</si>
  <si>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</si>
  <si>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</si>
  <si>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</si>
  <si>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</si>
  <si>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</si>
  <si>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</si>
  <si>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</si>
  <si>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</si>
  <si>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</si>
  <si>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</si>
  <si>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</si>
  <si>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</si>
  <si>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</si>
  <si>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</si>
  <si>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</si>
  <si>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</si>
  <si>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</si>
  <si>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</si>
  <si>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</si>
  <si>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</si>
  <si>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</si>
  <si>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</si>
  <si>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</si>
  <si>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</si>
  <si>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</si>
  <si>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</si>
  <si>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</si>
  <si>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</si>
  <si>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</si>
  <si>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</si>
  <si>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</si>
  <si>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</si>
  <si>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</si>
  <si>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</si>
  <si>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</si>
  <si>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</si>
  <si>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</si>
  <si>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</si>
  <si>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</si>
  <si>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</si>
  <si>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</si>
  <si>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</si>
  <si>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</si>
  <si>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</si>
  <si>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</si>
  <si>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</si>
  <si>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</si>
  <si>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</si>
  <si>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</si>
  <si>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</si>
  <si>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</si>
  <si>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</si>
  <si>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</si>
  <si>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</si>
  <si>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</si>
  <si>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</si>
  <si>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</si>
  <si>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</si>
  <si>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</si>
  <si>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</si>
  <si>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</si>
  <si>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</si>
  <si>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</si>
  <si>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</si>
  <si>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</si>
  <si>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</si>
  <si>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</si>
  <si>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</si>
  <si>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</si>
  <si>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</si>
  <si>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</si>
  <si>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</si>
  <si>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</si>
  <si>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</si>
  <si>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</si>
  <si>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</si>
  <si>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</si>
  <si>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</si>
  <si>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</si>
  <si>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</si>
  <si>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</si>
  <si>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</si>
  <si>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</si>
  <si>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</si>
  <si>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</si>
  <si>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</si>
  <si>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</si>
  <si>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</si>
  <si>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</si>
  <si>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</si>
  <si>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</si>
  <si>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</si>
  <si>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</si>
  <si>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</si>
  <si>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</si>
  <si>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</si>
  <si>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</si>
  <si>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</si>
  <si>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</si>
  <si>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</si>
  <si>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</si>
  <si>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</si>
  <si>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</si>
  <si>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</si>
  <si>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</si>
  <si>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</si>
  <si>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</si>
  <si>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</si>
  <si>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</si>
  <si>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</si>
  <si>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</si>
  <si>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</si>
  <si>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</si>
  <si>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</si>
  <si>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</si>
  <si>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</si>
  <si>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</si>
  <si>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</si>
  <si>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</si>
  <si>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</si>
  <si>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</si>
  <si>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</si>
  <si>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</si>
  <si>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</si>
  <si>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</si>
  <si>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</si>
  <si>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</si>
  <si>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</si>
  <si>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</si>
  <si>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</si>
  <si>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</si>
  <si>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</si>
  <si>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</si>
  <si>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</si>
  <si>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</si>
  <si>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</si>
  <si>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</si>
  <si>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</si>
  <si>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</si>
  <si>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</si>
  <si>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</si>
  <si>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</si>
  <si>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</si>
  <si>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</si>
  <si>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</si>
  <si>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</si>
  <si>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</si>
  <si>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</si>
  <si>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</si>
  <si>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</si>
  <si>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</si>
  <si>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</si>
  <si>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</si>
  <si>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</si>
  <si>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</si>
  <si>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</si>
  <si>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</si>
  <si>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</si>
  <si>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</si>
  <si>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</si>
  <si>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</si>
  <si>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</si>
  <si>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</si>
  <si>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</si>
  <si>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</si>
  <si>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</si>
  <si>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</si>
  <si>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</si>
  <si>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</si>
  <si>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</si>
  <si>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</si>
  <si>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</si>
  <si>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</si>
  <si>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</si>
  <si>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</si>
  <si>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</si>
  <si>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</si>
  <si>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</si>
  <si>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</si>
  <si>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</si>
  <si>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</si>
  <si>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</si>
  <si>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</si>
  <si>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</si>
  <si>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</si>
  <si>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</si>
  <si>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</si>
  <si>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</si>
  <si>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</si>
  <si>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</si>
  <si>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</si>
  <si>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</si>
  <si>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</si>
  <si>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</si>
  <si>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</si>
  <si>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</si>
  <si>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</si>
  <si>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</si>
  <si>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</si>
  <si>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</si>
  <si>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</si>
  <si>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</si>
  <si>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</si>
  <si>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</si>
  <si>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</si>
  <si>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</si>
  <si>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</si>
  <si>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</si>
  <si>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</si>
  <si>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</si>
  <si>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</si>
  <si>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</si>
  <si>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</si>
  <si>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</si>
  <si>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</si>
  <si>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</si>
  <si>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</si>
  <si>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</si>
  <si>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</si>
  <si>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</si>
  <si>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</si>
  <si>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</si>
  <si>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</si>
  <si>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</si>
  <si>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</si>
  <si>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</si>
  <si>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</si>
  <si>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</si>
  <si>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</si>
  <si>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</si>
  <si>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</si>
  <si>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</si>
  <si>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</si>
  <si>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</si>
  <si>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</si>
  <si>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</si>
  <si>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</si>
  <si>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</si>
  <si>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</si>
  <si>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</si>
  <si>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</si>
  <si>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</si>
  <si>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</si>
  <si>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</si>
  <si>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</si>
  <si>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</si>
  <si>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</si>
  <si>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</si>
  <si>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</si>
  <si>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</si>
  <si>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</si>
  <si>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</si>
  <si>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</si>
  <si>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</si>
  <si>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</si>
  <si>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</si>
  <si>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</si>
  <si>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</si>
  <si>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</si>
  <si>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</si>
  <si>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</si>
  <si>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</si>
  <si>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</si>
  <si>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</si>
  <si>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</si>
  <si>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</si>
  <si>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</si>
  <si>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</si>
  <si>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</si>
  <si>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</si>
  <si>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</si>
  <si>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</si>
  <si>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</si>
  <si>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</si>
  <si>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</si>
  <si>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</si>
  <si>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</si>
  <si>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</si>
  <si>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</si>
  <si>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</si>
  <si>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</si>
  <si>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</si>
  <si>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</si>
  <si>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</si>
  <si>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</si>
  <si>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</si>
  <si>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</si>
  <si>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</si>
  <si>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</si>
  <si>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</si>
  <si>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</si>
  <si>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</si>
  <si>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</si>
  <si>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</si>
  <si>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</si>
  <si>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</si>
  <si>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</si>
  <si>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</si>
  <si>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</si>
  <si>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</si>
  <si>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</si>
  <si>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</si>
  <si>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</si>
  <si>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</si>
  <si>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</si>
  <si>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</si>
  <si>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</si>
  <si>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</si>
  <si>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</si>
  <si>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</si>
  <si>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</si>
  <si>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</si>
  <si>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</si>
  <si>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</si>
  <si>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</si>
  <si>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</si>
  <si>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</si>
  <si>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</si>
  <si>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</si>
  <si>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</si>
  <si>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</si>
  <si>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</si>
  <si>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</si>
  <si>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</si>
  <si>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</si>
  <si>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</si>
  <si>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</si>
  <si>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</si>
  <si>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</si>
  <si>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</si>
  <si>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</si>
  <si>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</si>
  <si>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</si>
  <si>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</si>
  <si>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</si>
  <si>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</si>
  <si>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</si>
  <si>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</si>
  <si>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</si>
  <si>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</si>
  <si>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</si>
  <si>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</si>
  <si>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</si>
  <si>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</si>
  <si>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</si>
  <si>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</si>
  <si>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</si>
  <si>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</si>
  <si>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</si>
  <si>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</si>
  <si>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</si>
  <si>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</si>
  <si>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</si>
  <si>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</si>
  <si>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</si>
  <si>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</si>
  <si>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</si>
  <si>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</si>
  <si>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</si>
  <si>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</si>
  <si>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</si>
  <si>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</si>
  <si>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</si>
  <si>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</si>
  <si>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</si>
  <si>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</si>
  <si>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</si>
  <si>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</si>
  <si>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</si>
  <si>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</si>
  <si>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</si>
  <si>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</si>
  <si>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</si>
  <si>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</si>
  <si>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</si>
  <si>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</si>
  <si>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</si>
  <si>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</si>
  <si>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</si>
  <si>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</si>
  <si>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</si>
  <si>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</si>
  <si>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</si>
  <si>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</si>
  <si>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</si>
  <si>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</si>
  <si>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</si>
  <si>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</si>
  <si>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</si>
  <si>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</si>
  <si>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</si>
  <si>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</si>
  <si>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</si>
  <si>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</si>
  <si>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</si>
  <si>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</si>
  <si>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</si>
  <si>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</si>
  <si>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</si>
  <si>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</si>
  <si>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</si>
  <si>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</si>
  <si>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</si>
  <si>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</si>
  <si>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</si>
  <si>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</si>
  <si>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</si>
  <si>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</si>
  <si>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</si>
  <si>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</si>
  <si>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</si>
  <si>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</si>
  <si>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</si>
  <si>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</si>
  <si>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</si>
  <si>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</si>
  <si>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</si>
  <si>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</si>
  <si>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</si>
  <si>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</si>
  <si>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</si>
  <si>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</si>
  <si>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</si>
  <si>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</si>
  <si>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</si>
  <si>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</si>
  <si>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</si>
  <si>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</si>
  <si>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</si>
  <si>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</si>
  <si>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</si>
  <si>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</si>
  <si>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</si>
  <si>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</si>
  <si>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</si>
  <si>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</si>
  <si>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</si>
  <si>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</si>
  <si>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</si>
  <si>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</si>
  <si>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</si>
  <si>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</si>
  <si>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</si>
  <si>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</si>
  <si>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</si>
  <si>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</si>
  <si>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</si>
  <si>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</si>
  <si>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</si>
  <si>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</si>
  <si>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</si>
  <si>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</si>
  <si>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</si>
  <si>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</si>
  <si>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</si>
  <si>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</si>
  <si>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</si>
  <si>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</si>
  <si>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</si>
  <si>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</si>
  <si>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</si>
  <si>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</si>
  <si>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</si>
  <si>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</si>
  <si>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</si>
  <si>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</si>
  <si>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</si>
  <si>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</si>
  <si>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</si>
  <si>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</si>
  <si>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</si>
  <si>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</si>
  <si>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</si>
  <si>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</si>
  <si>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</si>
  <si>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</si>
  <si>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</si>
  <si>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</si>
  <si>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</si>
  <si>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</si>
  <si>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</si>
  <si>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</si>
  <si>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</si>
  <si>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</si>
  <si>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</si>
  <si>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</si>
  <si>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</si>
  <si>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</si>
  <si>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</si>
  <si>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</si>
  <si>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</si>
  <si>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</si>
  <si>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</si>
  <si>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</si>
  <si>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</si>
  <si>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</si>
  <si>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</si>
  <si>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</si>
  <si>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</si>
  <si>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</si>
  <si>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</si>
  <si>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</si>
  <si>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</si>
  <si>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</si>
  <si>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</si>
  <si>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</si>
  <si>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</si>
  <si>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</si>
  <si>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</si>
  <si>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</si>
  <si>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</si>
  <si>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</si>
  <si>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</si>
  <si>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</si>
  <si>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</si>
  <si>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</si>
  <si>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</si>
  <si>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</si>
  <si>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</si>
  <si>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</si>
  <si>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</si>
  <si>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</si>
  <si>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</si>
  <si>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</si>
  <si>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</si>
  <si>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</si>
  <si>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</si>
  <si>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</si>
  <si>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</si>
  <si>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</si>
  <si>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</si>
  <si>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</si>
  <si>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</si>
  <si>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</si>
  <si>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</si>
  <si>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</si>
  <si>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</si>
  <si>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</si>
  <si>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</si>
  <si>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</si>
  <si>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</si>
  <si>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</si>
  <si>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</si>
  <si>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</si>
  <si>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</si>
  <si>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</si>
  <si>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</si>
  <si>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</si>
  <si>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</si>
  <si>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</si>
  <si>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</si>
  <si>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</si>
  <si>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</si>
  <si>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</si>
  <si>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</si>
  <si>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</si>
  <si>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</si>
  <si>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</si>
  <si>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</si>
  <si>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</si>
  <si>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</si>
  <si>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</si>
  <si>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</si>
  <si>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</si>
  <si>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</si>
  <si>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</si>
  <si>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</si>
  <si>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</si>
  <si>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</si>
  <si>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</si>
  <si>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</si>
  <si>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</si>
  <si>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</si>
  <si>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</si>
  <si>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</si>
  <si>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</si>
  <si>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</si>
  <si>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</si>
  <si>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</si>
  <si>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</si>
  <si>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</si>
  <si>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</si>
  <si>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</si>
  <si>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</si>
  <si>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</si>
  <si>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</si>
  <si>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</si>
  <si>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</si>
  <si>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</si>
  <si>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</si>
  <si>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</si>
  <si>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</si>
  <si>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</si>
  <si>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</si>
  <si>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</si>
  <si>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</si>
  <si>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</si>
  <si>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</si>
  <si>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</si>
  <si>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</si>
  <si>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</si>
  <si>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</si>
  <si>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</si>
  <si>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</si>
  <si>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</si>
  <si>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</si>
  <si>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</si>
  <si>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</si>
  <si>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</si>
  <si>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</si>
  <si>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</si>
  <si>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</si>
  <si>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</si>
  <si>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</si>
  <si>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</si>
  <si>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</si>
  <si>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</si>
  <si>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</si>
  <si>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</si>
  <si>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</si>
  <si>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</si>
  <si>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</si>
  <si>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</si>
  <si>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</si>
  <si>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</si>
  <si>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</si>
  <si>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</si>
  <si>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</si>
  <si>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</si>
  <si>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</si>
  <si>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</si>
  <si>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</si>
  <si>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</si>
  <si>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</si>
  <si>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</si>
  <si>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</si>
  <si>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</si>
  <si>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</si>
  <si>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</si>
  <si>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</si>
  <si>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</si>
  <si>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</si>
  <si>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</si>
  <si>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</si>
  <si>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</si>
  <si>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</si>
  <si>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</si>
  <si>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</si>
  <si>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</si>
  <si>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</si>
  <si>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</si>
  <si>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</si>
  <si>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</si>
  <si>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</si>
  <si>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</si>
  <si>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</si>
  <si>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</si>
  <si>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</si>
  <si>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</si>
  <si>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</si>
  <si>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</si>
  <si>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</si>
  <si>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</si>
  <si>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</si>
  <si>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</si>
  <si>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</si>
  <si>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</si>
  <si>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</si>
  <si>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</si>
  <si>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</si>
  <si>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</si>
  <si>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</si>
  <si>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</si>
  <si>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</si>
  <si>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</si>
  <si>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</si>
  <si>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</si>
  <si>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</si>
  <si>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</si>
  <si>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</si>
  <si>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</si>
  <si>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</si>
  <si>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</si>
  <si>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</si>
  <si>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</si>
  <si>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</si>
  <si>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</si>
  <si>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</si>
  <si>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</si>
  <si>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</si>
  <si>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</si>
  <si>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</si>
  <si>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</si>
  <si>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</si>
  <si>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</si>
  <si>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</si>
  <si>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</si>
  <si>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</si>
  <si>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</si>
  <si>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</si>
  <si>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</si>
  <si>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</si>
  <si>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</si>
  <si>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</si>
  <si>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</si>
  <si>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</si>
  <si>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</si>
  <si>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</si>
  <si>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</si>
  <si>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</si>
  <si>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</si>
  <si>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</si>
  <si>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</si>
  <si>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</si>
  <si>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</si>
  <si>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</si>
  <si>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</si>
  <si>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</si>
  <si>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</si>
  <si>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</si>
  <si>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</si>
  <si>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</si>
  <si>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</si>
  <si>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</si>
  <si>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</si>
  <si>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</si>
  <si>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</si>
  <si>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</si>
  <si>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</si>
  <si>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</si>
  <si>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</si>
  <si>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</si>
  <si>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</si>
  <si>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</si>
  <si>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</si>
  <si>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</si>
  <si>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</si>
  <si>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</si>
  <si>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</si>
  <si>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</si>
  <si>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</si>
  <si>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</si>
  <si>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</si>
  <si>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</si>
  <si>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</si>
  <si>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</si>
  <si>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</si>
  <si>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</si>
  <si>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</si>
  <si>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</si>
  <si>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</si>
  <si>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</si>
  <si>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</si>
  <si>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</si>
  <si>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</si>
  <si>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</si>
  <si>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</si>
  <si>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</si>
  <si>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</si>
  <si>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</si>
  <si>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</si>
  <si>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</si>
  <si>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</si>
  <si>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</si>
  <si>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</si>
  <si>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</si>
  <si>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</si>
  <si>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</si>
  <si>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</si>
  <si>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</si>
  <si>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</si>
  <si>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</si>
  <si>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</si>
  <si>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</si>
  <si>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</si>
  <si>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</si>
  <si>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</si>
  <si>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</si>
  <si>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</si>
  <si>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</si>
  <si>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</si>
  <si>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</si>
  <si>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</si>
  <si>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</si>
  <si>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</si>
  <si>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</si>
  <si>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</si>
  <si>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</si>
  <si>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</si>
  <si>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</si>
  <si>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</si>
  <si>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</si>
  <si>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</si>
  <si>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</si>
  <si>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</si>
  <si>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</si>
  <si>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</si>
  <si>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</si>
  <si>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</si>
  <si>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</si>
  <si>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</si>
  <si>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</si>
  <si>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</si>
  <si>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</si>
  <si>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</si>
  <si>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</si>
  <si>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</si>
  <si>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</si>
  <si>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</si>
  <si>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</si>
  <si>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</si>
  <si>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</si>
  <si>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</si>
  <si>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</si>
  <si>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</si>
  <si>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</si>
  <si>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</si>
  <si>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</si>
  <si>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</si>
  <si>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</si>
  <si>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</si>
  <si>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</si>
  <si>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</si>
  <si>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</si>
  <si>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</si>
  <si>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</si>
  <si>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</si>
  <si>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</si>
  <si>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</si>
  <si>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</si>
  <si>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</si>
  <si>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</si>
  <si>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</si>
  <si>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</si>
  <si>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</si>
  <si>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</si>
  <si>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</si>
  <si>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</si>
  <si>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</si>
  <si>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</si>
  <si>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</si>
  <si>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</si>
  <si>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</si>
  <si>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</si>
  <si>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</si>
  <si>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</si>
  <si>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</si>
  <si>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</si>
  <si>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</si>
  <si>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</si>
  <si>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</si>
  <si>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</si>
  <si>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</si>
  <si>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</si>
  <si>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</si>
  <si>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</si>
  <si>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</si>
  <si>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</si>
  <si>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</si>
  <si>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</si>
  <si>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</si>
  <si>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</si>
  <si>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</si>
  <si>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</si>
  <si>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</si>
  <si>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</si>
  <si>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</si>
  <si>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</si>
  <si>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</si>
  <si>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</si>
  <si>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</si>
  <si>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</si>
  <si>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</si>
  <si>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</si>
  <si>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</si>
  <si>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</si>
  <si>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</si>
  <si>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</si>
  <si>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</si>
  <si>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</si>
  <si>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</si>
  <si>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</si>
  <si>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</si>
  <si>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</si>
  <si>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</si>
  <si>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</si>
  <si>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</si>
  <si>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</si>
  <si>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</si>
  <si>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</si>
  <si>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</si>
  <si>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</si>
  <si>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</si>
  <si>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</si>
  <si>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</si>
  <si>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</si>
  <si>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</si>
  <si>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</si>
  <si>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</si>
  <si>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</si>
  <si>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</si>
  <si>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</si>
  <si>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</si>
  <si>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</si>
  <si>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</si>
  <si>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</si>
  <si>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</si>
  <si>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</si>
  <si>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</si>
  <si>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</si>
  <si>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</si>
  <si>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</si>
  <si>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</si>
  <si>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</si>
  <si>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</si>
  <si>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</si>
  <si>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</si>
  <si>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</si>
  <si>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</si>
  <si>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</si>
  <si>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</si>
  <si>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</si>
  <si>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</si>
  <si>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</si>
  <si>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</si>
  <si>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</si>
  <si>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</si>
  <si>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</si>
  <si>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</si>
  <si>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</si>
  <si>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</si>
  <si>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</si>
  <si>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</si>
  <si>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</si>
  <si>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</si>
  <si>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</si>
  <si>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</si>
  <si>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</si>
  <si>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</si>
  <si>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</si>
  <si>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</si>
  <si>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</si>
  <si>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</si>
  <si>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</si>
  <si>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</si>
  <si>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</si>
  <si>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</si>
  <si>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</si>
  <si>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</si>
  <si>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</si>
  <si>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</si>
  <si>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</si>
  <si>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</si>
  <si>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</si>
  <si>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</si>
  <si>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</si>
  <si>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</si>
  <si>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</si>
  <si>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</si>
  <si>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</si>
  <si>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</si>
  <si>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</si>
  <si>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</si>
  <si>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</si>
  <si>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</si>
  <si>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</si>
  <si>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</si>
  <si>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</si>
  <si>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</si>
  <si>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</si>
  <si>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</si>
  <si>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</si>
  <si>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</si>
  <si>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</si>
  <si>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</si>
  <si>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</si>
  <si>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</si>
  <si>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</si>
  <si>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</si>
  <si>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</si>
  <si>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</si>
  <si>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</si>
  <si>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</si>
  <si>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</si>
  <si>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</si>
  <si>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</si>
  <si>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</si>
  <si>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</si>
  <si>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</si>
  <si>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</si>
  <si>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</si>
  <si>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</si>
  <si>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</si>
  <si>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</si>
  <si>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</si>
  <si>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</si>
  <si>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</si>
  <si>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</si>
  <si>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</si>
  <si>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</si>
  <si>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</si>
  <si>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</si>
  <si>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</si>
  <si>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</si>
  <si>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</si>
  <si>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</si>
  <si>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</si>
  <si>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</si>
  <si>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</si>
  <si>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</si>
  <si>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</si>
  <si>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</si>
  <si>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</si>
  <si>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</si>
  <si>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</si>
  <si>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</si>
  <si>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</si>
  <si>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</si>
  <si>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</si>
  <si>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</si>
  <si>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</si>
  <si>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</si>
  <si>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</si>
  <si>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</si>
  <si>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</si>
  <si>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</si>
  <si>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</si>
  <si>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</si>
  <si>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</si>
  <si>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</si>
  <si>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</si>
  <si>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</si>
  <si>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</si>
  <si>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</si>
  <si>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</si>
  <si>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</si>
  <si>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</si>
  <si>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</si>
  <si>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</si>
  <si>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</si>
  <si>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</si>
  <si>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</si>
  <si>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</si>
  <si>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</si>
  <si>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</si>
  <si>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</si>
  <si>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</si>
  <si>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</si>
  <si>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</si>
  <si>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</si>
  <si>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</si>
  <si>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</si>
  <si>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</si>
  <si>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</si>
  <si>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</si>
  <si>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</si>
  <si>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</si>
  <si>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</si>
  <si>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</si>
  <si>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</si>
  <si>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</si>
  <si>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</si>
  <si>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</si>
  <si>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</si>
  <si>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</si>
  <si>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</si>
  <si>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</si>
  <si>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</si>
  <si>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</si>
  <si>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</si>
  <si>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</si>
  <si>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</si>
  <si>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</si>
  <si>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</si>
  <si>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</si>
  <si>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</si>
  <si>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</si>
  <si>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</si>
  <si>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</si>
  <si>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</si>
  <si>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</si>
  <si>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</si>
  <si>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</si>
  <si>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</si>
  <si>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</si>
  <si>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</si>
  <si>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</si>
  <si>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</si>
  <si>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</si>
  <si>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</si>
  <si>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</si>
  <si>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</si>
  <si>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</si>
  <si>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</si>
  <si>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</si>
  <si>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</si>
  <si>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</si>
  <si>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</si>
  <si>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</si>
  <si>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</si>
  <si>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</si>
  <si>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</si>
  <si>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</si>
  <si>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</si>
  <si>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</si>
  <si>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</si>
  <si>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</si>
  <si>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</si>
  <si>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</si>
  <si>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</si>
  <si>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</si>
  <si>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</si>
  <si>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</si>
  <si>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</si>
  <si>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</si>
  <si>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</si>
  <si>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</si>
  <si>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</si>
  <si>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</si>
  <si>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</si>
  <si>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</si>
  <si>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</si>
  <si>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</si>
  <si>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</si>
  <si>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</si>
  <si>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</si>
  <si>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</si>
  <si>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</si>
  <si>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</si>
  <si>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</si>
  <si>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</si>
  <si>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</si>
  <si>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</si>
  <si>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</si>
  <si>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</si>
  <si>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</si>
  <si>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</si>
  <si>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</si>
  <si>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</si>
  <si>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</si>
  <si>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</si>
  <si>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</si>
  <si>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</si>
  <si>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</si>
  <si>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</si>
  <si>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</si>
  <si>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</si>
  <si>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</si>
  <si>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</si>
  <si>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</si>
  <si>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</si>
  <si>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</si>
  <si>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</si>
  <si>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</si>
  <si>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</si>
  <si>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</si>
  <si>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</si>
  <si>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</si>
  <si>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</si>
  <si>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</si>
  <si>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</si>
  <si>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</si>
  <si>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</si>
  <si>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</si>
  <si>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</si>
  <si>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</si>
  <si>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</si>
  <si>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</si>
  <si>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</si>
  <si>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</si>
  <si>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</si>
  <si>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</si>
  <si>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</si>
  <si>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</si>
  <si>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</si>
  <si>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</si>
  <si>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</si>
  <si>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</si>
  <si>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</si>
  <si>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</si>
  <si>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</si>
  <si>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</si>
  <si>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</si>
  <si>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</si>
  <si>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</si>
  <si>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</si>
  <si>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</si>
  <si>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</si>
  <si>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</si>
  <si>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</si>
  <si>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</si>
  <si>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</si>
  <si>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</si>
  <si>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</si>
  <si>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</si>
  <si>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</si>
  <si>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</si>
  <si>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</si>
  <si>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</si>
  <si>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</si>
  <si>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</si>
  <si>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</si>
  <si>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</si>
  <si>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</si>
  <si>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</si>
  <si>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</si>
  <si>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</si>
  <si>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</si>
  <si>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</si>
  <si>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</si>
  <si>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</si>
  <si>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</si>
  <si>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</si>
  <si>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</si>
  <si>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</si>
  <si>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</si>
  <si>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</si>
  <si>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</si>
  <si>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</si>
  <si>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</si>
  <si>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</si>
  <si>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</si>
  <si>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</si>
  <si>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</si>
  <si>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</si>
  <si>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</si>
  <si>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</si>
  <si>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</si>
  <si>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</si>
  <si>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</si>
  <si>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</si>
  <si>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</si>
  <si>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</si>
  <si>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</si>
  <si>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</si>
  <si>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</si>
  <si>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</si>
  <si>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</si>
  <si>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</si>
  <si>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</si>
  <si>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</si>
  <si>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</si>
  <si>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</si>
  <si>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</si>
  <si>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</si>
  <si>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</si>
  <si>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</si>
  <si>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</si>
  <si>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</si>
  <si>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</si>
  <si>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</si>
  <si>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</si>
  <si>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</si>
  <si>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</si>
  <si>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</si>
  <si>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</si>
  <si>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</si>
  <si>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</si>
  <si>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</si>
  <si>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</si>
  <si>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</si>
  <si>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</si>
  <si>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</si>
  <si>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</si>
  <si>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</si>
  <si>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</si>
  <si>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</si>
  <si>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</si>
  <si>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</si>
  <si>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</si>
  <si>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</si>
  <si>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</si>
  <si>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</si>
  <si>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</si>
  <si>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</si>
  <si>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</si>
  <si>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</si>
  <si>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</si>
  <si>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</si>
  <si>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</si>
  <si>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</si>
  <si>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</si>
  <si>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</si>
  <si>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</si>
  <si>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</si>
  <si>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</si>
  <si>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</si>
  <si>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</si>
  <si>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</si>
  <si>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</si>
  <si>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</si>
  <si>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</si>
  <si>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</si>
  <si>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</si>
  <si>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</si>
  <si>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</si>
  <si>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</si>
  <si>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</si>
  <si>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</si>
  <si>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</si>
  <si>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</si>
  <si>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</si>
  <si>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</si>
  <si>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</si>
  <si>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</si>
  <si>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</si>
  <si>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</si>
  <si>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</si>
  <si>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</si>
  <si>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</si>
  <si>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</si>
  <si>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</si>
  <si>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</si>
  <si>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</si>
  <si>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</si>
  <si>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</si>
  <si>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</si>
  <si>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</si>
  <si>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</si>
  <si>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</si>
  <si>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</si>
  <si>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</si>
  <si>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</si>
  <si>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</si>
  <si>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</si>
  <si>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</si>
  <si>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</si>
  <si>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</si>
  <si>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</si>
  <si>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</si>
  <si>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</si>
  <si>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</si>
  <si>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</si>
  <si>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</si>
  <si>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</si>
  <si>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</si>
  <si>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</si>
  <si>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</si>
  <si>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</si>
  <si>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</si>
  <si>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</si>
  <si>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</si>
  <si>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</si>
  <si>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</si>
  <si>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</si>
  <si>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</si>
  <si>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</si>
  <si>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</si>
  <si>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</si>
  <si>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</si>
  <si>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</si>
  <si>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</si>
  <si>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</si>
  <si>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</si>
  <si>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</si>
  <si>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</si>
  <si>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</si>
  <si>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</si>
  <si>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</si>
  <si>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</si>
  <si>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</si>
  <si>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</si>
  <si>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</si>
  <si>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</si>
  <si>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</si>
  <si>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</si>
  <si>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</si>
  <si>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</si>
  <si>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</si>
  <si>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</si>
  <si>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</si>
  <si>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</si>
  <si>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</si>
  <si>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</si>
  <si>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</si>
  <si>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</si>
  <si>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</si>
  <si>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</si>
  <si>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</si>
  <si>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</si>
  <si>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</si>
  <si>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</si>
  <si>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</si>
  <si>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</si>
  <si>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</si>
  <si>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</si>
  <si>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</si>
  <si>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</si>
  <si>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</si>
  <si>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</si>
  <si>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</si>
  <si>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</si>
  <si>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</si>
  <si>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</si>
  <si>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</si>
  <si>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</si>
  <si>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</si>
  <si>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</si>
  <si>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</si>
  <si>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</si>
  <si>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</si>
  <si>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</si>
  <si>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</si>
  <si>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</si>
  <si>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</si>
  <si>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</si>
  <si>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</si>
  <si>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</si>
  <si>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</si>
  <si>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</si>
  <si>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</si>
  <si>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</si>
  <si>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</si>
  <si>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</si>
  <si>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</si>
  <si>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</si>
  <si>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</si>
  <si>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</si>
  <si>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</si>
  <si>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</si>
  <si>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</si>
  <si>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</si>
  <si>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</si>
  <si>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</si>
  <si>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</si>
  <si>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</si>
  <si>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</si>
  <si>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</si>
  <si>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</si>
  <si>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</si>
  <si>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</si>
  <si>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</si>
  <si>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</si>
  <si>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</si>
  <si>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</si>
  <si>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</si>
  <si>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</si>
  <si>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</si>
  <si>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</si>
  <si>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</si>
  <si>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</si>
  <si>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</si>
  <si>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</si>
  <si>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</si>
  <si>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</si>
  <si>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</si>
  <si>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</si>
  <si>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</si>
  <si>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</si>
  <si>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</si>
  <si>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</si>
  <si>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</si>
  <si>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</si>
  <si>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</si>
  <si>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</si>
  <si>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</si>
  <si>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</si>
  <si>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</si>
  <si>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</si>
  <si>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</si>
  <si>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</si>
  <si>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</si>
  <si>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</si>
  <si>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</si>
  <si>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</si>
  <si>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</si>
  <si>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</si>
  <si>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</si>
  <si>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</si>
  <si>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</si>
  <si>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</si>
  <si>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</si>
  <si>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</si>
  <si>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</si>
  <si>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</si>
  <si>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</si>
  <si>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</si>
  <si>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</si>
  <si>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</si>
  <si>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</si>
  <si>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</si>
  <si>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</si>
  <si>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</si>
  <si>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</si>
  <si>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</si>
  <si>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</si>
  <si>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</si>
  <si>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</si>
  <si>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</si>
  <si>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</si>
  <si>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</si>
  <si>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</si>
  <si>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</si>
  <si>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</si>
  <si>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</si>
  <si>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</si>
  <si>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</si>
  <si>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</si>
  <si>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</si>
  <si>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</si>
  <si>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</si>
  <si>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</si>
  <si>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</si>
  <si>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</si>
  <si>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</si>
  <si>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</si>
  <si>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</si>
  <si>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</si>
  <si>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</si>
  <si>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</si>
  <si>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</si>
  <si>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</si>
  <si>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</si>
  <si>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</si>
  <si>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</si>
  <si>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</si>
  <si>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</si>
  <si>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</si>
  <si>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</si>
  <si>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</si>
  <si>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</si>
  <si>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</si>
  <si>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</si>
  <si>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</si>
  <si>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</si>
  <si>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</si>
  <si>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</si>
  <si>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</si>
  <si>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</si>
  <si>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</si>
  <si>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</si>
  <si>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</si>
  <si>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</si>
  <si>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</si>
  <si>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</si>
  <si>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</si>
  <si>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</si>
  <si>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</si>
  <si>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</si>
  <si>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</si>
  <si>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</si>
  <si>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</si>
  <si>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</si>
  <si>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</si>
  <si>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</si>
  <si>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</si>
  <si>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</si>
  <si>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</si>
  <si>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</si>
  <si>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</si>
  <si>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</si>
  <si>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</si>
  <si>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</si>
  <si>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</si>
  <si>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</si>
  <si>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</si>
  <si>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</si>
  <si>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</si>
  <si>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</si>
  <si>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</si>
  <si>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</si>
  <si>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</si>
  <si>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</si>
  <si>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</si>
  <si>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</si>
  <si>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</si>
  <si>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</si>
  <si>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</si>
  <si>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</si>
  <si>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</si>
  <si>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</si>
  <si>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</si>
  <si>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</si>
  <si>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</si>
  <si>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</si>
  <si>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</si>
  <si>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</si>
  <si>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</si>
  <si>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</si>
  <si>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</si>
  <si>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</si>
  <si>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</si>
  <si>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</si>
  <si>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</si>
  <si>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</si>
  <si>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</si>
  <si>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</si>
  <si>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</si>
  <si>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</si>
  <si>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</si>
  <si>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</si>
  <si>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</si>
  <si>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</si>
  <si>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</si>
  <si>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</si>
  <si>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</si>
  <si>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</si>
  <si>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</si>
  <si>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</si>
  <si>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</si>
  <si>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</si>
  <si>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</si>
  <si>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</si>
  <si>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</si>
  <si>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</si>
  <si>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</si>
  <si>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</si>
  <si>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</si>
  <si>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</si>
  <si>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</si>
  <si>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</si>
  <si>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</si>
  <si>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</si>
  <si>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</si>
  <si>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</si>
  <si>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</si>
  <si>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</si>
  <si>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</si>
  <si>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</si>
  <si>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</si>
  <si>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</si>
  <si>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</si>
  <si>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</si>
  <si>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</si>
  <si>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</si>
  <si>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</si>
  <si>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</si>
  <si>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</si>
  <si>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</si>
  <si>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</si>
  <si>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</si>
  <si>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</si>
  <si>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</si>
  <si>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</si>
  <si>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</si>
  <si>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</si>
  <si>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</si>
  <si>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</si>
  <si>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</si>
  <si>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</si>
  <si>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</si>
  <si>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</si>
  <si>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</si>
  <si>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</si>
  <si>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</si>
  <si>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</si>
  <si>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</si>
  <si>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</si>
  <si>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</si>
  <si>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</si>
  <si>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</si>
  <si>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</si>
  <si>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</si>
  <si>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</si>
  <si>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</si>
  <si>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</si>
  <si>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</si>
  <si>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</si>
  <si>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</si>
  <si>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</si>
  <si>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</si>
  <si>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</si>
  <si>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</si>
  <si>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</si>
  <si>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</si>
  <si>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</si>
  <si>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</si>
  <si>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</si>
  <si>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</si>
  <si>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</si>
  <si>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</si>
  <si>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</si>
  <si>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</si>
  <si>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</si>
  <si>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</si>
  <si>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</si>
  <si>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</si>
  <si>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</si>
  <si>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</si>
  <si>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</si>
  <si>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</si>
  <si>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</si>
  <si>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</si>
  <si>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</si>
  <si>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</si>
  <si>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</si>
  <si>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</si>
  <si>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</si>
  <si>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</si>
  <si>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</si>
  <si>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</si>
  <si>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</si>
  <si>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</si>
  <si>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</si>
  <si>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</si>
  <si>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</si>
  <si>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</si>
  <si>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</si>
  <si>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</si>
  <si>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</si>
  <si>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</si>
  <si>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</si>
  <si>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</si>
  <si>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</si>
  <si>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</si>
  <si>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</si>
  <si>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</si>
  <si>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</si>
  <si>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</si>
  <si>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</si>
  <si>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</si>
  <si>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</si>
  <si>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</si>
  <si>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</si>
  <si>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</si>
  <si>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</si>
  <si>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</si>
  <si>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</si>
  <si>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</si>
  <si>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</si>
  <si>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</si>
  <si>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</si>
  <si>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</si>
  <si>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</si>
  <si>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</si>
  <si>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</si>
  <si>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</si>
  <si>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</si>
  <si>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</si>
  <si>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</si>
  <si>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</si>
  <si>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</si>
  <si>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</si>
  <si>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</si>
  <si>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</si>
  <si>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</si>
  <si>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</si>
  <si>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</si>
  <si>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</si>
  <si>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</si>
  <si>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</si>
  <si>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</si>
  <si>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</si>
  <si>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</si>
  <si>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</si>
  <si>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</si>
  <si>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</si>
  <si>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</si>
  <si>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</si>
  <si>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</si>
  <si>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</si>
  <si>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</si>
  <si>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</si>
  <si>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</si>
  <si>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</si>
  <si>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</si>
  <si>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</si>
  <si>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</si>
  <si>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</si>
  <si>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</si>
  <si>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</si>
  <si>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</si>
  <si>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</si>
  <si>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</si>
  <si>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</si>
  <si>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</si>
  <si>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</si>
  <si>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</si>
  <si>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</si>
  <si>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</si>
  <si>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</si>
  <si>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</si>
  <si>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</si>
  <si>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</si>
  <si>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</si>
  <si>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</si>
  <si>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</si>
  <si>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</si>
  <si>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</si>
  <si>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</si>
  <si>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</si>
  <si>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</si>
  <si>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</si>
  <si>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</si>
  <si>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</si>
  <si>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</si>
  <si>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</si>
  <si>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</si>
  <si>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</si>
  <si>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</si>
  <si>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</si>
  <si>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</si>
  <si>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</si>
  <si>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</si>
  <si>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</si>
  <si>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</si>
  <si>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</si>
  <si>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</si>
  <si>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</si>
  <si>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</si>
  <si>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</si>
  <si>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</si>
  <si>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</si>
  <si>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</si>
  <si>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</si>
  <si>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</si>
  <si>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</si>
  <si>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</si>
  <si>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</si>
  <si>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</si>
  <si>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</si>
  <si>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</si>
  <si>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</si>
  <si>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</si>
  <si>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</si>
  <si>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</si>
  <si>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</si>
  <si>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</si>
  <si>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</si>
  <si>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</si>
  <si>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</si>
  <si>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</si>
  <si>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</si>
  <si>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</si>
  <si>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</si>
  <si>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</si>
  <si>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</si>
  <si>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</si>
  <si>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</si>
  <si>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</si>
  <si>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</si>
  <si>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</si>
  <si>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</si>
  <si>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</si>
  <si>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</si>
  <si>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</si>
  <si>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</si>
  <si>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</si>
  <si>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</si>
  <si>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</si>
  <si>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</si>
  <si>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</si>
  <si>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</si>
  <si>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</si>
  <si>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</si>
  <si>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</si>
  <si>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</si>
  <si>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</si>
  <si>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</si>
  <si>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</si>
  <si>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</si>
  <si>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</si>
  <si>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</si>
  <si>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</si>
  <si>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</si>
  <si>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</si>
  <si>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</si>
  <si>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</si>
  <si>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</si>
  <si>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</si>
  <si>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</si>
  <si>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</si>
  <si>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</si>
  <si>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</si>
  <si>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</si>
  <si>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</si>
  <si>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</si>
  <si>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</si>
  <si>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</si>
  <si>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</si>
  <si>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</si>
  <si>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</si>
  <si>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</si>
  <si>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</si>
  <si>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</si>
  <si>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</si>
  <si>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</si>
  <si>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</si>
  <si>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</si>
  <si>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</si>
  <si>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</si>
  <si>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</si>
  <si>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</si>
  <si>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</si>
  <si>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</si>
  <si>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</si>
  <si>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</si>
  <si>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</si>
  <si>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</si>
  <si>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</si>
  <si>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</si>
  <si>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</si>
  <si>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</si>
  <si>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</si>
  <si>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</si>
  <si>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</si>
  <si>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</si>
  <si>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</si>
  <si>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</si>
  <si>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</si>
  <si>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</si>
  <si>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</si>
  <si>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</si>
  <si>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</si>
  <si>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</si>
  <si>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</si>
  <si>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</si>
  <si>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</si>
  <si>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</si>
  <si>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</si>
  <si>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</si>
  <si>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</si>
  <si>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</si>
  <si>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</si>
  <si>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</si>
  <si>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</si>
  <si>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</si>
  <si>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</si>
  <si>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</si>
  <si>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</si>
  <si>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</si>
  <si>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</si>
  <si>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</si>
  <si>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</si>
  <si>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</si>
  <si>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</si>
  <si>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</si>
  <si>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</si>
  <si>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</si>
  <si>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</si>
  <si>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</si>
  <si>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</si>
  <si>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</si>
  <si>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</si>
  <si>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</si>
  <si>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</si>
  <si>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</si>
  <si>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</si>
  <si>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</si>
  <si>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</si>
  <si>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</si>
  <si>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</si>
  <si>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</si>
  <si>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</si>
  <si>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</si>
  <si>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</si>
  <si>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</si>
  <si>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</si>
  <si>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</si>
  <si>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</si>
  <si>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</si>
  <si>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</si>
  <si>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</si>
  <si>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</si>
  <si>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</si>
  <si>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</si>
  <si>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</si>
  <si>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</si>
  <si>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</si>
  <si>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</si>
  <si>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</si>
  <si>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</si>
  <si>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</si>
  <si>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</si>
  <si>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</si>
  <si>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</si>
  <si>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</si>
  <si>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</si>
  <si>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</si>
  <si>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</si>
  <si>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</si>
  <si>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</si>
  <si>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</si>
  <si>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</si>
  <si>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</si>
  <si>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</si>
  <si>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</si>
  <si>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</si>
  <si>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</si>
  <si>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</si>
  <si>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</si>
  <si>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</si>
  <si>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</si>
  <si>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</si>
  <si>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</si>
  <si>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</si>
  <si>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</si>
  <si>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</si>
  <si>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</si>
  <si>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</si>
  <si>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</si>
  <si>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</si>
  <si>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</si>
  <si>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</si>
  <si>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</si>
  <si>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</si>
  <si>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</si>
  <si>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</si>
  <si>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</si>
  <si>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</si>
  <si>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</si>
  <si>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</si>
  <si>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</si>
  <si>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</si>
  <si>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</si>
  <si>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</si>
  <si>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</si>
  <si>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</si>
  <si>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</si>
  <si>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</si>
  <si>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</si>
  <si>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</si>
  <si>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</si>
  <si>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</si>
  <si>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</si>
  <si>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</si>
  <si>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</si>
  <si>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</si>
  <si>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</si>
  <si>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</si>
  <si>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</si>
  <si>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</si>
  <si>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</si>
  <si>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</si>
  <si>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</si>
  <si>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</si>
  <si>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</si>
  <si>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</si>
  <si>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</si>
  <si>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</si>
  <si>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</si>
  <si>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</si>
  <si>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</si>
  <si>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</si>
  <si>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</si>
  <si>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</si>
  <si>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</si>
  <si>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</si>
  <si>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</si>
  <si>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</si>
  <si>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</si>
  <si>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</si>
  <si>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</si>
  <si>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</si>
  <si>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</si>
  <si>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</si>
  <si>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</si>
  <si>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</si>
  <si>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</si>
  <si>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</si>
  <si>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</si>
  <si>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</si>
  <si>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</si>
  <si>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</si>
  <si>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</si>
  <si>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</si>
  <si>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</si>
  <si>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</si>
  <si>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</si>
  <si>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</si>
  <si>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</si>
  <si>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</si>
  <si>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</si>
  <si>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</si>
  <si>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</si>
  <si>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</si>
  <si>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</si>
  <si>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</si>
  <si>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</si>
  <si>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</si>
  <si>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</si>
  <si>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</si>
  <si>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</si>
  <si>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</si>
  <si>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</si>
  <si>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</si>
  <si>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</si>
  <si>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</si>
  <si>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</si>
  <si>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</si>
  <si>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</si>
  <si>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</si>
  <si>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</si>
  <si>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</si>
  <si>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</si>
  <si>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</si>
  <si>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</si>
  <si>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</si>
  <si>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</si>
  <si>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</si>
  <si>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</si>
  <si>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</si>
  <si>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</si>
  <si>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</si>
  <si>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</si>
  <si>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</si>
  <si>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</si>
  <si>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</si>
  <si>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</si>
  <si>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</si>
  <si>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</si>
  <si>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</si>
  <si>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</si>
  <si>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</si>
  <si>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</si>
  <si>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</si>
  <si>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</si>
  <si>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</si>
  <si>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</si>
  <si>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</si>
  <si>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</si>
  <si>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</si>
  <si>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</si>
  <si>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</si>
  <si>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</si>
  <si>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</si>
  <si>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</si>
  <si>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</si>
  <si>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</si>
  <si>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</si>
  <si>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</si>
  <si>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</si>
  <si>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</si>
  <si>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</si>
  <si>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</si>
  <si>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</si>
  <si>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</si>
  <si>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</si>
  <si>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</si>
  <si>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</si>
  <si>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</si>
  <si>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</si>
  <si>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</si>
  <si>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</si>
  <si>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</si>
  <si>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</si>
  <si>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</si>
  <si>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</si>
  <si>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</si>
  <si>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</si>
  <si>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</si>
  <si>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</si>
  <si>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</si>
  <si>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</si>
  <si>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</si>
  <si>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</si>
  <si>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</si>
  <si>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</si>
  <si>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</si>
  <si>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</si>
  <si>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</si>
  <si>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</si>
  <si>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</si>
  <si>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</si>
  <si>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</si>
  <si>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</si>
  <si>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</si>
  <si>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</si>
  <si>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</si>
  <si>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</si>
  <si>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</si>
  <si>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</si>
  <si>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</si>
  <si>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</si>
  <si>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</si>
  <si>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</si>
  <si>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</si>
  <si>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</si>
  <si>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</si>
  <si>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</si>
  <si>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</si>
  <si>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</si>
  <si>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</si>
  <si>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</si>
  <si>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</si>
  <si>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</si>
  <si>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</si>
  <si>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</si>
  <si>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</si>
  <si>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</si>
  <si>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</si>
  <si>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</si>
  <si>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</si>
  <si>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</si>
  <si>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</si>
  <si>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</si>
  <si>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</si>
  <si>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</si>
  <si>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</si>
  <si>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</si>
  <si>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</si>
  <si>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</si>
  <si>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</si>
  <si>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</si>
  <si>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</si>
  <si>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</si>
  <si>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</si>
  <si>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</si>
  <si>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</si>
  <si>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</si>
  <si>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</si>
  <si>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</si>
  <si>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</si>
  <si>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</si>
  <si>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</si>
  <si>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</si>
  <si>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</si>
  <si>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</si>
  <si>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</si>
  <si>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</si>
  <si>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</si>
  <si>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</si>
  <si>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</si>
  <si>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</si>
  <si>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</si>
  <si>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</si>
  <si>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</si>
  <si>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</si>
  <si>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</si>
  <si>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</si>
  <si>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</si>
  <si>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</si>
  <si>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</si>
  <si>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</si>
  <si>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</si>
  <si>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</si>
  <si>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</si>
  <si>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</si>
  <si>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</si>
  <si>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</si>
  <si>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</si>
  <si>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</si>
  <si>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</si>
  <si>
    <t>毛坯</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</si>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</sst>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cstate="print"/>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cstate="print"/>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cstate="print"/>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cstate="print"/>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cstate="print"/>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cstate="print"/>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cstate="print"/>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cstate="print"/>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cstate="print"/>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cstate="print"/>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cstate="print"/>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cstate="print"/>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cstate="print"/>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cstate="print"/>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4237788</v>
      </c>
    </row>
    <row r="20" spans="1:2">
      <c r="A20" s="1702" t="s">
        <v>1164</v>
      </c>
      <c r="B20" s="1689" t="str">
        <f>'预评函-2（1）'!C7</f>
        <v>总价（元）</v>
      </c>
    </row>
    <row r="21" spans="1:2">
      <c r="A21" s="1702" t="s">
        <v>1127</v>
      </c>
      <c r="B21" s="1689">
        <f ca="1">'预评函-2（1）'!D9</f>
        <v>42344</v>
      </c>
    </row>
    <row r="22" spans="1:2">
      <c r="A22" s="1702" t="s">
        <v>1128</v>
      </c>
      <c r="B22" s="1689" t="str">
        <f ca="1">'预评函-2（1）'!D8</f>
        <v>肆佰贰拾叁万柒仟柒佰捌拾捌元整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4237788</v>
      </c>
    </row>
    <row r="30" spans="1:2">
      <c r="A30" s="1702" t="s">
        <v>1134</v>
      </c>
      <c r="B30" s="1689" t="str">
        <f ca="1">'预评函-2（1）'!D16</f>
        <v>肆佰贰拾叁万柒仟柒佰捌拾捌元整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3233385</v>
      </c>
    </row>
    <row r="38" spans="1:2">
      <c r="A38" s="1702" t="s">
        <v>1142</v>
      </c>
      <c r="B38" s="1689">
        <f ca="1">'预评函-2（2）'!E4</f>
        <v>32308</v>
      </c>
    </row>
    <row r="39" spans="1:2">
      <c r="A39" s="1702" t="s">
        <v>1143</v>
      </c>
      <c r="B39" s="1689" t="str">
        <f ca="1">'预评函-2（2）'!D5</f>
        <v>叁佰贰拾叁万叁仟叁佰捌拾伍元整</v>
      </c>
    </row>
    <row r="40" spans="1:2">
      <c r="A40" s="1702" t="s">
        <v>1144</v>
      </c>
      <c r="B40" s="1689">
        <f ca="1">'预评函-2（2）'!F4</f>
        <v>1004403</v>
      </c>
    </row>
    <row r="41" spans="1:2">
      <c r="A41" s="1702" t="s">
        <v>1145</v>
      </c>
      <c r="B41" s="1689">
        <f ca="1">'预评函-2（2）'!G4</f>
        <v>10036</v>
      </c>
    </row>
    <row r="42" spans="1:2" s="1699" customFormat="1" ht="15.75" thickBot="1">
      <c r="A42" s="1703" t="s">
        <v>1146</v>
      </c>
      <c r="B42" s="1691" t="str">
        <f ca="1">'预评函-2（2）'!F5</f>
        <v>壹佰万肆仟肆佰零叁元整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42344</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2821</v>
      </c>
      <c r="D9" s="2023"/>
      <c r="E9" s="1010" t="s">
        <v>1563</v>
      </c>
      <c r="F9" s="996"/>
      <c r="G9" s="1012"/>
    </row>
    <row r="10" spans="1:10" ht="13.5" thickBot="1">
      <c r="A10" s="2806"/>
      <c r="B10" s="344" t="s">
        <v>1564</v>
      </c>
      <c r="C10" s="2821"/>
      <c r="D10" s="2822"/>
      <c r="E10" s="2024" t="s">
        <v>1565</v>
      </c>
      <c r="F10" s="1013"/>
      <c r="G10" s="1014"/>
    </row>
    <row r="11" spans="1:10" ht="13.5" thickBot="1">
      <c r="A11" s="2806"/>
      <c r="B11" s="2025" t="s">
        <v>1566</v>
      </c>
      <c r="C11" s="2823"/>
      <c r="D11" s="2824"/>
      <c r="E11" s="1022"/>
      <c r="F11" s="1021"/>
      <c r="G11" s="1074"/>
    </row>
    <row r="12" spans="1:10" ht="24.75" thickBot="1">
      <c r="A12" s="2810" t="s">
        <v>1567</v>
      </c>
      <c r="B12" s="2026" t="s">
        <v>1568</v>
      </c>
      <c r="C12" s="1016">
        <v>100.08</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9"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5" t="s">
        <v>1581</v>
      </c>
      <c r="C17" s="2826"/>
      <c r="D17" s="2827" t="s">
        <v>1582</v>
      </c>
      <c r="E17" s="2828"/>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5" t="s">
        <v>1604</v>
      </c>
      <c r="D30" s="2068"/>
      <c r="E30" s="1023" t="str">
        <f>E31&amp;" "&amp;E32&amp;" "&amp;E33&amp;" "&amp;E34</f>
        <v xml:space="preserve">   </v>
      </c>
      <c r="F30" s="1894" t="s">
        <v>1605</v>
      </c>
      <c r="G30" s="978"/>
    </row>
    <row r="31" spans="1:15">
      <c r="A31" s="1008" t="s">
        <v>1606</v>
      </c>
      <c r="B31" s="978"/>
      <c r="C31" s="2836"/>
      <c r="D31" s="1893" t="s">
        <v>1607</v>
      </c>
      <c r="E31" s="978"/>
      <c r="F31" s="1894" t="s">
        <v>1608</v>
      </c>
      <c r="G31" s="978"/>
    </row>
    <row r="32" spans="1:15" ht="24.75" thickBot="1">
      <c r="A32" s="1009" t="s">
        <v>1609</v>
      </c>
      <c r="B32" s="1005"/>
      <c r="C32" s="2836"/>
      <c r="D32" s="1893" t="s">
        <v>1610</v>
      </c>
      <c r="E32" s="978"/>
      <c r="F32" s="1894" t="s">
        <v>1611</v>
      </c>
      <c r="G32" s="978"/>
    </row>
    <row r="33" spans="1:7">
      <c r="A33" s="1007" t="s">
        <v>1612</v>
      </c>
      <c r="B33" s="1004"/>
      <c r="C33" s="2836"/>
      <c r="D33" s="1893" t="s">
        <v>1613</v>
      </c>
      <c r="E33" s="978"/>
      <c r="F33" s="1894" t="s">
        <v>1614</v>
      </c>
      <c r="G33" s="978"/>
    </row>
    <row r="34" spans="1:7" ht="13.5" thickBot="1">
      <c r="A34" s="1008" t="s">
        <v>1615</v>
      </c>
      <c r="B34" s="978"/>
      <c r="C34" s="2837"/>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30" t="s">
        <v>1633</v>
      </c>
      <c r="D41" s="2831"/>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2" t="s">
        <v>1636</v>
      </c>
      <c r="D48" s="2833"/>
      <c r="E48" s="1055"/>
      <c r="F48" s="1895" t="s">
        <v>1637</v>
      </c>
      <c r="G48" s="1005"/>
    </row>
    <row r="49" spans="1:15">
      <c r="A49" s="1008" t="s">
        <v>1638</v>
      </c>
      <c r="B49" s="1054"/>
      <c r="C49" s="2807" t="s">
        <v>1639</v>
      </c>
      <c r="D49" s="2834"/>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4" t="s">
        <v>1967</v>
      </c>
      <c r="B2" s="2864"/>
      <c r="C2" s="2864"/>
      <c r="D2" s="2864"/>
      <c r="E2" s="2864"/>
      <c r="F2" s="2864"/>
      <c r="G2" s="2864"/>
      <c r="H2" s="2864"/>
      <c r="I2" s="2864"/>
    </row>
    <row r="3" spans="1:12" ht="12.75">
      <c r="A3" s="2865" t="s">
        <v>1771</v>
      </c>
      <c r="B3" s="2866"/>
      <c r="C3" s="2866"/>
      <c r="D3" s="2866"/>
      <c r="E3" s="2866"/>
      <c r="F3" s="2866"/>
      <c r="G3" s="2866"/>
      <c r="H3" s="2866"/>
      <c r="I3" s="2866"/>
    </row>
    <row r="4" spans="1:12" ht="14.25">
      <c r="A4" s="2197" t="s">
        <v>1772</v>
      </c>
      <c r="B4" s="2198" t="s">
        <v>1773</v>
      </c>
      <c r="C4" s="2199"/>
      <c r="D4" s="2199"/>
      <c r="E4" s="2867" t="s">
        <v>1968</v>
      </c>
      <c r="F4" s="2868"/>
      <c r="G4" s="2868"/>
      <c r="H4" s="2868"/>
      <c r="I4" s="286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5" t="s">
        <v>1775</v>
      </c>
      <c r="B5" s="2846">
        <v>25</v>
      </c>
      <c r="C5" s="2847"/>
      <c r="D5" s="2849"/>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3" t="s">
        <v>1980</v>
      </c>
      <c r="B37" s="2237" t="s">
        <v>1981</v>
      </c>
      <c r="C37" s="69"/>
      <c r="D37" s="2238"/>
      <c r="E37" s="2239"/>
      <c r="F37" s="2239"/>
      <c r="G37" s="2195"/>
      <c r="H37" s="2195"/>
      <c r="I37" s="2195"/>
    </row>
    <row r="38" spans="1:16" ht="15.75" thickBot="1">
      <c r="A38" s="2874"/>
      <c r="B38" s="2240" t="s">
        <v>1982</v>
      </c>
      <c r="C38" s="71"/>
      <c r="D38" s="2205"/>
      <c r="E38" s="2205"/>
      <c r="F38" s="2239"/>
      <c r="G38" s="2205"/>
      <c r="H38" s="2205"/>
      <c r="I38" s="2205"/>
    </row>
    <row r="39" spans="1:16" ht="15.75" thickBot="1">
      <c r="A39" s="287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50" t="s">
        <v>1993</v>
      </c>
      <c r="B46" s="2851"/>
      <c r="C46" s="2852"/>
      <c r="D46" s="80">
        <f>ROUND(I103*F46,0)</f>
        <v>0</v>
      </c>
      <c r="E46" s="81" t="s">
        <v>1994</v>
      </c>
      <c r="F46" s="82">
        <v>1</v>
      </c>
      <c r="G46" s="83" t="s">
        <v>1995</v>
      </c>
      <c r="H46" s="2195"/>
      <c r="I46" s="2195"/>
      <c r="J46" s="2853" t="s">
        <v>1827</v>
      </c>
      <c r="K46" s="2853"/>
      <c r="L46" s="2853"/>
      <c r="M46" s="2853"/>
      <c r="N46" s="2853"/>
      <c r="O46" s="2853"/>
      <c r="P46" s="1845"/>
    </row>
    <row r="47" spans="1:16" ht="14.25" customHeight="1">
      <c r="A47" s="2854" t="s">
        <v>1828</v>
      </c>
      <c r="B47" s="2855"/>
      <c r="C47" s="2855"/>
      <c r="D47" s="2855"/>
      <c r="E47" s="2855"/>
      <c r="F47" s="2855"/>
      <c r="G47" s="2856"/>
      <c r="H47" s="2257"/>
      <c r="I47" s="1144"/>
      <c r="J47" s="1883">
        <v>1</v>
      </c>
      <c r="K47" s="2853" t="s">
        <v>1829</v>
      </c>
      <c r="L47" s="2853"/>
      <c r="M47" s="2857"/>
      <c r="N47" s="2857"/>
      <c r="O47" s="2857"/>
      <c r="P47" s="1845"/>
    </row>
    <row r="48" spans="1:16" ht="12" customHeight="1">
      <c r="A48" s="85" t="s">
        <v>1830</v>
      </c>
      <c r="B48" s="86"/>
      <c r="C48" s="87"/>
      <c r="D48" s="88" t="s">
        <v>1831</v>
      </c>
      <c r="E48" s="14" t="s">
        <v>1832</v>
      </c>
      <c r="F48" s="89" t="s">
        <v>1833</v>
      </c>
      <c r="G48" s="90" t="s">
        <v>1834</v>
      </c>
      <c r="H48" s="2257"/>
      <c r="I48" s="1144"/>
      <c r="J48" s="1883">
        <v>2</v>
      </c>
      <c r="K48" s="2853" t="s">
        <v>1835</v>
      </c>
      <c r="L48" s="2853"/>
      <c r="M48" s="2861">
        <f>'数据-取费表'!B2</f>
        <v>43251</v>
      </c>
      <c r="N48" s="2861"/>
      <c r="O48" s="2861"/>
      <c r="P48" s="1845"/>
    </row>
    <row r="49" spans="1:16" ht="25.5">
      <c r="A49" s="2862" t="s">
        <v>1836</v>
      </c>
      <c r="B49" s="2863"/>
      <c r="C49" s="286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3" t="s">
        <v>1839</v>
      </c>
      <c r="L49" s="2853"/>
      <c r="M49" s="2876">
        <f>I103</f>
        <v>0</v>
      </c>
      <c r="N49" s="2876"/>
      <c r="O49" s="2876"/>
      <c r="P49" s="1845"/>
    </row>
    <row r="50" spans="1:16" ht="25.5" customHeight="1">
      <c r="A50" s="92" t="s">
        <v>1840</v>
      </c>
      <c r="B50" s="2858" t="s">
        <v>1841</v>
      </c>
      <c r="C50" s="2858"/>
      <c r="D50" s="93">
        <v>0</v>
      </c>
      <c r="E50" s="13" t="s">
        <v>1842</v>
      </c>
      <c r="F50" s="18" t="s">
        <v>48</v>
      </c>
      <c r="G50" s="2877"/>
      <c r="H50" s="2195"/>
      <c r="I50" s="2260"/>
      <c r="J50" s="1883">
        <v>4</v>
      </c>
      <c r="K50" s="2853" t="str">
        <f>IF(项目基本情况!F5="房地产抵押价值","房地产抵押价值","抵押担保权已注销时的房地产抵押价值")</f>
        <v>抵押担保权已注销时的房地产抵押价值</v>
      </c>
      <c r="L50" s="2853"/>
      <c r="M50" s="2876" t="str">
        <f>IF(项目基本情况!F5="房地产抵押价值",I111,I113)</f>
        <v>——</v>
      </c>
      <c r="N50" s="2876"/>
      <c r="O50" s="2876"/>
      <c r="P50" s="1845"/>
    </row>
    <row r="51" spans="1:16" ht="25.5" customHeight="1">
      <c r="A51" s="94"/>
      <c r="B51" s="2858" t="s">
        <v>1843</v>
      </c>
      <c r="C51" s="2858"/>
      <c r="D51" s="95"/>
      <c r="E51" s="21"/>
      <c r="F51" s="96"/>
      <c r="G51" s="2878"/>
      <c r="H51" s="2195"/>
      <c r="I51" s="2260"/>
      <c r="J51" s="2853" t="s">
        <v>1844</v>
      </c>
      <c r="K51" s="2853"/>
      <c r="L51" s="2853"/>
      <c r="M51" s="2853"/>
      <c r="N51" s="2853"/>
      <c r="O51" s="2853"/>
      <c r="P51" s="1845"/>
    </row>
    <row r="52" spans="1:16" ht="12" customHeight="1">
      <c r="A52" s="97"/>
      <c r="B52" s="2858" t="s">
        <v>1845</v>
      </c>
      <c r="C52" s="2858"/>
      <c r="D52" s="98"/>
      <c r="E52" s="20"/>
      <c r="F52" s="96"/>
      <c r="G52" s="2879"/>
      <c r="H52" s="2195"/>
      <c r="I52" s="2260"/>
      <c r="J52" s="2261" t="s">
        <v>1846</v>
      </c>
      <c r="K52" s="2853" t="s">
        <v>1847</v>
      </c>
      <c r="L52" s="2853"/>
      <c r="M52" s="2261" t="s">
        <v>1848</v>
      </c>
      <c r="N52" s="2261" t="s">
        <v>1849</v>
      </c>
      <c r="O52" s="2261" t="s">
        <v>1850</v>
      </c>
      <c r="P52" s="1845"/>
    </row>
    <row r="53" spans="1:16" ht="24" customHeight="1">
      <c r="A53" s="99" t="s">
        <v>1851</v>
      </c>
      <c r="B53" s="2858" t="s">
        <v>1852</v>
      </c>
      <c r="C53" s="2858"/>
      <c r="D53" s="98">
        <f>ROUND(D46*'数据-取费表'!E29/(1+'数据-取费表'!F30),0)</f>
        <v>0</v>
      </c>
      <c r="E53" s="10" t="s">
        <v>1853</v>
      </c>
      <c r="F53" s="100">
        <f>'数据-取费表'!E29</f>
        <v>5.6000000000000001E-2</v>
      </c>
      <c r="G53" s="2262"/>
      <c r="H53" s="2195"/>
      <c r="I53" s="2260"/>
      <c r="J53" s="1883">
        <v>1</v>
      </c>
      <c r="K53" s="2859" t="s">
        <v>1854</v>
      </c>
      <c r="L53" s="2859"/>
      <c r="M53" s="778">
        <f>D49</f>
        <v>0</v>
      </c>
      <c r="N53" s="1883" t="str">
        <f>E49</f>
        <v>销售额×税（费）率</v>
      </c>
      <c r="O53" s="779">
        <f>F49</f>
        <v>5.6000000000000001E-2</v>
      </c>
      <c r="P53" s="1845"/>
    </row>
    <row r="54" spans="1:16" ht="12" customHeight="1">
      <c r="A54" s="99" t="s">
        <v>1855</v>
      </c>
      <c r="B54" s="2860" t="s">
        <v>1856</v>
      </c>
      <c r="C54" s="2816"/>
      <c r="D54" s="98">
        <f>ROUND(D46*'数据-取费表'!E29/(1+'数据-取费表'!F30),0)</f>
        <v>0</v>
      </c>
      <c r="E54" s="10" t="s">
        <v>1853</v>
      </c>
      <c r="F54" s="100">
        <f>'数据-取费表'!E29</f>
        <v>5.6000000000000001E-2</v>
      </c>
      <c r="G54" s="2262"/>
      <c r="H54" s="2195"/>
      <c r="I54" s="2260"/>
      <c r="J54" s="1883">
        <v>2</v>
      </c>
      <c r="K54" s="2859" t="s">
        <v>1857</v>
      </c>
      <c r="L54" s="2859"/>
      <c r="M54" s="778">
        <f t="shared" ref="M54:O55" si="1">D56</f>
        <v>0</v>
      </c>
      <c r="N54" s="1883" t="str">
        <f t="shared" si="1"/>
        <v>销售额×税（费）率</v>
      </c>
      <c r="O54" s="779">
        <f t="shared" si="1"/>
        <v>5.0000000000000001E-4</v>
      </c>
      <c r="P54" s="1845"/>
    </row>
    <row r="55" spans="1:16" ht="12" customHeight="1">
      <c r="A55" s="99" t="s">
        <v>1858</v>
      </c>
      <c r="B55" s="2860" t="s">
        <v>1859</v>
      </c>
      <c r="C55" s="2816"/>
      <c r="D55" s="98">
        <f>C69</f>
        <v>0</v>
      </c>
      <c r="E55" s="20" t="s">
        <v>1860</v>
      </c>
      <c r="F55" s="100">
        <f>'数据-取费表'!E29</f>
        <v>5.6000000000000001E-2</v>
      </c>
      <c r="G55" s="2262"/>
      <c r="H55" s="2263"/>
      <c r="I55" s="2260"/>
      <c r="J55" s="1883">
        <v>3</v>
      </c>
      <c r="K55" s="2859" t="s">
        <v>1861</v>
      </c>
      <c r="L55" s="2859"/>
      <c r="M55" s="778">
        <f t="shared" si="1"/>
        <v>0</v>
      </c>
      <c r="N55" s="1883" t="str">
        <f t="shared" si="1"/>
        <v>增值额×税（费）率</v>
      </c>
      <c r="O55" s="780" t="str">
        <f t="shared" si="1"/>
        <v>——</v>
      </c>
      <c r="P55" s="1845"/>
    </row>
    <row r="56" spans="1:16" ht="24" customHeight="1">
      <c r="A56" s="2808" t="s">
        <v>1862</v>
      </c>
      <c r="B56" s="2863"/>
      <c r="C56" s="286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9" t="str">
        <f>IF(H60="非个人房产","——","个人所得税")</f>
        <v>——</v>
      </c>
      <c r="L56" s="2859"/>
      <c r="M56" s="781" t="str">
        <f>D60</f>
        <v>——</v>
      </c>
      <c r="N56" s="1886" t="str">
        <f>E60</f>
        <v>——</v>
      </c>
      <c r="O56" s="782" t="str">
        <f>F60</f>
        <v>——</v>
      </c>
      <c r="P56" s="1845"/>
    </row>
    <row r="57" spans="1:16" ht="24.75">
      <c r="A57" s="2808" t="s">
        <v>1865</v>
      </c>
      <c r="B57" s="2863"/>
      <c r="C57" s="2863"/>
      <c r="D57" s="101">
        <f>IF(H57="个人住宅",D58,D59)</f>
        <v>0</v>
      </c>
      <c r="E57" s="10" t="s">
        <v>1866</v>
      </c>
      <c r="F57" s="100" t="str">
        <f>IF(H57="正常",F59,"免征")</f>
        <v>——</v>
      </c>
      <c r="G57" s="2264" t="s">
        <v>1867</v>
      </c>
      <c r="H57" s="2265" t="s">
        <v>1864</v>
      </c>
      <c r="I57" s="1022"/>
      <c r="J57" s="1883" t="str">
        <f>IF(项目基本情况!I6="上海银行",IF(J56="",4,J56+1),"")</f>
        <v/>
      </c>
      <c r="K57" s="2885" t="str">
        <f>IF(项目基本情况!I6="上海银行","其他处置费用","")</f>
        <v/>
      </c>
      <c r="L57" s="2886"/>
      <c r="M57" s="778" t="str">
        <f>IF(项目基本情况!I6="上海银行",M70,"")</f>
        <v/>
      </c>
      <c r="N57" s="2880" t="str">
        <f>IF(项目基本情况!I6="上海银行","包含处置中涉及的律师、诉讼、拍卖、评估等费用","")</f>
        <v/>
      </c>
      <c r="O57" s="2881"/>
      <c r="P57" s="1845"/>
    </row>
    <row r="58" spans="1:16" ht="12.75">
      <c r="A58" s="99" t="s">
        <v>1840</v>
      </c>
      <c r="B58" s="2867" t="s">
        <v>1868</v>
      </c>
      <c r="C58" s="2869"/>
      <c r="D58" s="103">
        <v>0</v>
      </c>
      <c r="E58" s="13" t="s">
        <v>1842</v>
      </c>
      <c r="F58" s="70"/>
      <c r="G58" s="2262"/>
      <c r="H58" s="1022"/>
      <c r="I58" s="1022"/>
      <c r="J58" s="2859">
        <f>IF(AND(J56="",J57=""),4,IF(项目基本情况!I6="上海银行",J57+1,J56+1))</f>
        <v>4</v>
      </c>
      <c r="K58" s="2859" t="s">
        <v>1869</v>
      </c>
      <c r="L58" s="2266" t="s">
        <v>1870</v>
      </c>
      <c r="M58" s="783"/>
      <c r="N58" s="784">
        <f>SUMIF(M53:M57,"&lt;9e307")</f>
        <v>0</v>
      </c>
      <c r="O58" s="2267"/>
      <c r="P58" s="1841" t="e">
        <f>N58/M50</f>
        <v>#VALUE!</v>
      </c>
    </row>
    <row r="59" spans="1:16" ht="24.75">
      <c r="A59" s="99" t="s">
        <v>1851</v>
      </c>
      <c r="B59" s="2867" t="s">
        <v>1871</v>
      </c>
      <c r="C59" s="2868"/>
      <c r="D59" s="101">
        <f>IF(H59="转让取得",C82,C98)</f>
        <v>0</v>
      </c>
      <c r="E59" s="10" t="s">
        <v>1866</v>
      </c>
      <c r="F59" s="14" t="s">
        <v>48</v>
      </c>
      <c r="G59" s="2262"/>
      <c r="H59" s="2265" t="s">
        <v>1872</v>
      </c>
      <c r="I59" s="1022"/>
      <c r="J59" s="2859"/>
      <c r="K59" s="2859"/>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2">
        <f>J58+1</f>
        <v>5</v>
      </c>
      <c r="K60" s="2859" t="s">
        <v>1876</v>
      </c>
      <c r="L60" s="1883" t="s">
        <v>1870</v>
      </c>
      <c r="M60" s="786"/>
      <c r="N60" s="787" t="e">
        <f>M50-N58</f>
        <v>#VALUE!</v>
      </c>
      <c r="O60" s="2271"/>
      <c r="P60" s="1845"/>
    </row>
    <row r="61" spans="1:16" ht="12" customHeight="1">
      <c r="A61" s="2068"/>
      <c r="B61" s="2195"/>
      <c r="C61" s="2195"/>
      <c r="D61" s="2195"/>
      <c r="E61" s="1022"/>
      <c r="F61" s="1022"/>
      <c r="G61" s="1022"/>
      <c r="H61" s="2248"/>
      <c r="I61" s="2195"/>
      <c r="J61" s="2883"/>
      <c r="K61" s="2859"/>
      <c r="L61" s="2266" t="s">
        <v>1873</v>
      </c>
      <c r="M61" s="785"/>
      <c r="N61" s="2268" t="e">
        <f>IF(H19="元",NUMBERSTRING(INT(N60),2)&amp;"元整",NUMBERSTRING(INT(N60*10000),2)&amp;"元整")</f>
        <v>#VALUE!</v>
      </c>
      <c r="O61" s="2269"/>
      <c r="P61" s="1845"/>
    </row>
    <row r="62" spans="1:16" ht="13.5" thickBot="1">
      <c r="A62" s="2884" t="s">
        <v>1877</v>
      </c>
      <c r="B62" s="2884"/>
      <c r="C62" s="2884"/>
      <c r="D62" s="2884"/>
      <c r="E62" s="2884"/>
      <c r="F62" s="1022"/>
      <c r="G62" s="1022"/>
      <c r="H62" s="2248"/>
      <c r="I62" s="2195"/>
      <c r="J62" s="1883">
        <f>J60+1</f>
        <v>6</v>
      </c>
      <c r="K62" s="2859" t="s">
        <v>1878</v>
      </c>
      <c r="L62" s="2859"/>
      <c r="M62" s="788"/>
      <c r="N62" s="789" t="e">
        <f>IF(H19="元",ROUND(N60/项目基本情况!C12,0),ROUND(N60*10000/项目基本情况!C12,0))</f>
        <v>#VALUE!</v>
      </c>
      <c r="O62" s="2272"/>
      <c r="P62" s="1845"/>
    </row>
    <row r="63" spans="1:16" ht="12.75">
      <c r="A63" s="2887" t="s">
        <v>1879</v>
      </c>
      <c r="B63" s="2888"/>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1899</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7" t="s">
        <v>1879</v>
      </c>
      <c r="B72" s="2888"/>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60" t="s">
        <v>1909</v>
      </c>
      <c r="F77" s="2858"/>
      <c r="G77" s="2858"/>
      <c r="H77" s="290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9" t="s">
        <v>1914</v>
      </c>
      <c r="F79" s="2890"/>
      <c r="G79" s="2890"/>
      <c r="H79" s="289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7" t="s">
        <v>1879</v>
      </c>
      <c r="B85" s="2888"/>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9" t="s">
        <v>1926</v>
      </c>
      <c r="F92" s="2890"/>
      <c r="G92" s="289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9" t="s">
        <v>1929</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9" t="s">
        <v>1914</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9" t="s">
        <v>1931</v>
      </c>
      <c r="F95" s="2890"/>
      <c r="G95" s="2890"/>
      <c r="H95" s="289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2" t="s">
        <v>1933</v>
      </c>
      <c r="B100" s="2893"/>
      <c r="C100" s="2893"/>
      <c r="D100" s="2894"/>
      <c r="E100" s="2195"/>
      <c r="F100" s="2895" t="s">
        <v>1934</v>
      </c>
      <c r="G100" s="2896"/>
      <c r="H100" s="2896"/>
      <c r="I100" s="2897"/>
    </row>
    <row r="101" spans="1:35" ht="15.75">
      <c r="A101" s="2901" t="s">
        <v>1935</v>
      </c>
      <c r="B101" s="2902"/>
      <c r="C101" s="720">
        <f>C4</f>
        <v>0</v>
      </c>
      <c r="D101" s="721">
        <f>D4</f>
        <v>0</v>
      </c>
      <c r="E101" s="2195"/>
      <c r="F101" s="2903" t="s">
        <v>1936</v>
      </c>
      <c r="G101" s="2904"/>
      <c r="H101" s="2905" t="s">
        <v>1937</v>
      </c>
      <c r="I101" s="2906"/>
    </row>
    <row r="102" spans="1:35" ht="15.75">
      <c r="A102" s="2907" t="s">
        <v>1997</v>
      </c>
      <c r="B102" s="2290" t="str">
        <f>IF(H19="元","总价（元）","总价（万元）")</f>
        <v>总价（元）</v>
      </c>
      <c r="C102" s="720" t="e">
        <f ca="1">C19</f>
        <v>#REF!</v>
      </c>
      <c r="D102" s="721" t="e">
        <f ca="1">D19</f>
        <v>#REF!</v>
      </c>
      <c r="E102" s="2195"/>
      <c r="F102" s="2908"/>
      <c r="G102" s="2909"/>
      <c r="H102" s="2910">
        <f>典型户型修正!B25</f>
        <v>0</v>
      </c>
      <c r="I102" s="2906"/>
    </row>
    <row r="103" spans="1:35" ht="15.75">
      <c r="A103" s="2907"/>
      <c r="B103" s="2290" t="s">
        <v>1939</v>
      </c>
      <c r="C103" s="722" t="e">
        <f ca="1">C20</f>
        <v>#REF!</v>
      </c>
      <c r="D103" s="723" t="e">
        <f ca="1">D20</f>
        <v>#REF!</v>
      </c>
      <c r="E103" s="2195"/>
      <c r="F103" s="2911" t="s">
        <v>1940</v>
      </c>
      <c r="G103" s="2912"/>
      <c r="H103" s="2291" t="str">
        <f>C109</f>
        <v>总价（元）</v>
      </c>
      <c r="I103" s="1862">
        <f>H124</f>
        <v>0</v>
      </c>
    </row>
    <row r="104" spans="1:35" ht="15">
      <c r="A104" s="2907" t="s">
        <v>1998</v>
      </c>
      <c r="B104" s="2292" t="str">
        <f>B102</f>
        <v>总价（元）</v>
      </c>
      <c r="C104" s="1190" t="e">
        <f ca="1">ROUND(IF('数据-取费表'!B4="总价",G19,IF(H19="元",G20*'数据-取费表'!E5,G20*'数据-取费表'!E5/10000)),0)</f>
        <v>#REF!</v>
      </c>
      <c r="D104" s="725"/>
      <c r="E104" s="2195"/>
      <c r="F104" s="2911"/>
      <c r="G104" s="2912"/>
      <c r="H104" s="2291" t="s">
        <v>1939</v>
      </c>
      <c r="I104" s="1050" t="e">
        <f>I124</f>
        <v>#DIV/0!</v>
      </c>
    </row>
    <row r="105" spans="1:35" ht="15.75">
      <c r="A105" s="2907"/>
      <c r="B105" s="2290" t="s">
        <v>1939</v>
      </c>
      <c r="C105" s="1191" t="e">
        <f ca="1">ROUND(IF('数据-取费表'!B4="楼面单价",G20,IF(H19="元",G19/'数据-取费表'!E5,G19*10000/'数据-取费表'!E5)),0)</f>
        <v>#REF!</v>
      </c>
      <c r="D105" s="725"/>
      <c r="E105" s="2195"/>
      <c r="F105" s="2913"/>
      <c r="G105" s="2914"/>
      <c r="H105" s="2915"/>
      <c r="I105" s="2916"/>
    </row>
    <row r="106" spans="1:35" ht="15.75">
      <c r="A106" s="2954" t="s">
        <v>1999</v>
      </c>
      <c r="B106" s="2330" t="str">
        <f>B102</f>
        <v>总价（元）</v>
      </c>
      <c r="C106" s="724">
        <f>H124</f>
        <v>0</v>
      </c>
      <c r="D106" s="1189"/>
      <c r="E106" s="2195"/>
      <c r="F106" s="2922" t="s">
        <v>1943</v>
      </c>
      <c r="G106" s="2923"/>
      <c r="H106" s="2294" t="str">
        <f>C111</f>
        <v>总额（元）</v>
      </c>
      <c r="I106" s="1862">
        <f>SUMIF(I107:I109,"&lt;9E307")</f>
        <v>0</v>
      </c>
    </row>
    <row r="107" spans="1:35" ht="15.75" thickBot="1">
      <c r="A107" s="2955"/>
      <c r="B107" s="2293" t="s">
        <v>1939</v>
      </c>
      <c r="C107" s="726" t="e">
        <f>I124</f>
        <v>#DIV/0!</v>
      </c>
      <c r="D107" s="727"/>
      <c r="E107" s="2195"/>
      <c r="F107" s="2920" t="s">
        <v>1945</v>
      </c>
      <c r="G107" s="2921"/>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7" t="s">
        <v>1942</v>
      </c>
      <c r="B108" s="2918"/>
      <c r="C108" s="2918"/>
      <c r="D108" s="2919"/>
      <c r="E108" s="2195"/>
      <c r="F108" s="2920" t="s">
        <v>1946</v>
      </c>
      <c r="G108" s="2921"/>
      <c r="H108" s="2294" t="str">
        <f>C113</f>
        <v>总额（元）</v>
      </c>
      <c r="I108" s="1050">
        <f>C38</f>
        <v>0</v>
      </c>
      <c r="K108" s="2295"/>
    </row>
    <row r="109" spans="1:35" ht="15">
      <c r="A109" s="2924" t="s">
        <v>2000</v>
      </c>
      <c r="B109" s="2925"/>
      <c r="C109" s="2291" t="str">
        <f>B102</f>
        <v>总价（元）</v>
      </c>
      <c r="D109" s="1051">
        <f>H124</f>
        <v>0</v>
      </c>
      <c r="E109" s="2195"/>
      <c r="F109" s="2920" t="s">
        <v>1948</v>
      </c>
      <c r="G109" s="2921"/>
      <c r="H109" s="2294" t="str">
        <f>C114</f>
        <v>总额（元）</v>
      </c>
      <c r="I109" s="1050">
        <f>C39</f>
        <v>0</v>
      </c>
    </row>
    <row r="110" spans="1:35" ht="15.75">
      <c r="A110" s="2924"/>
      <c r="B110" s="2925"/>
      <c r="C110" s="2291" t="s">
        <v>1939</v>
      </c>
      <c r="D110" s="1052" t="e">
        <f>I124</f>
        <v>#DIV/0!</v>
      </c>
      <c r="E110" s="2195"/>
      <c r="F110" s="2913"/>
      <c r="G110" s="2914"/>
      <c r="H110" s="2928"/>
      <c r="I110" s="2929"/>
    </row>
    <row r="111" spans="1:35" ht="28.5" customHeight="1">
      <c r="A111" s="2926" t="s">
        <v>1947</v>
      </c>
      <c r="B111" s="2927"/>
      <c r="C111" s="2294" t="str">
        <f>IF(H19="元","总额（元）","总额（万元）")</f>
        <v>总额（元）</v>
      </c>
      <c r="D111" s="1051">
        <f>IF(D37="正常操作",I107+I108+I109,I108+I109)</f>
        <v>0</v>
      </c>
      <c r="E111" s="2195"/>
      <c r="F111" s="2930" t="str">
        <f>IF(项目基本情况!F5="已注销","——","3.房地产抵押价值")</f>
        <v>3.房地产抵押价值</v>
      </c>
      <c r="G111" s="2931"/>
      <c r="H111" s="2331" t="str">
        <f>C115</f>
        <v>总价（元）</v>
      </c>
      <c r="I111" s="1862">
        <f>IF(F111="——","——",I103-I106)</f>
        <v>0</v>
      </c>
    </row>
    <row r="112" spans="1:35" ht="15">
      <c r="A112" s="2920" t="s">
        <v>1945</v>
      </c>
      <c r="B112" s="2921"/>
      <c r="C112" s="2294" t="str">
        <f>C111</f>
        <v>总额（元）</v>
      </c>
      <c r="D112" s="637">
        <f>IF(D37="同一抵押权人同一抵押物续贷",C37&amp;"（未扣减，详见特别提示）",C37)</f>
        <v>0</v>
      </c>
      <c r="E112" s="2195"/>
      <c r="F112" s="2932"/>
      <c r="G112" s="2933"/>
      <c r="H112" s="2291" t="s">
        <v>1939</v>
      </c>
      <c r="I112" s="2297" t="e">
        <f>D116</f>
        <v>#DIV/0!</v>
      </c>
    </row>
    <row r="113" spans="1:26" ht="15.75">
      <c r="A113" s="2920" t="s">
        <v>1946</v>
      </c>
      <c r="B113" s="2921"/>
      <c r="C113" s="2294" t="str">
        <f>C111</f>
        <v>总额（元）</v>
      </c>
      <c r="D113" s="637">
        <f>C38</f>
        <v>0</v>
      </c>
      <c r="E113" s="2195"/>
      <c r="F113" s="2930" t="str">
        <f>IF(项目基本情况!F5="已注销及未注销","4.抵押担保权已注销时的房地产抵押价值",IF(项目基本情况!F5="已注销","3.抵押担保权已注销时的房地产抵押价值","——"))</f>
        <v>——</v>
      </c>
      <c r="G113" s="2931"/>
      <c r="H113" s="2331" t="str">
        <f>C117</f>
        <v>总价（元）</v>
      </c>
      <c r="I113" s="1862" t="str">
        <f>IF(F113="——","——",I103-I108-I109)</f>
        <v>——</v>
      </c>
    </row>
    <row r="114" spans="1:26" ht="15">
      <c r="A114" s="2920" t="s">
        <v>1948</v>
      </c>
      <c r="B114" s="2921"/>
      <c r="C114" s="2294" t="str">
        <f>C111</f>
        <v>总额（元）</v>
      </c>
      <c r="D114" s="637">
        <f>C39</f>
        <v>0</v>
      </c>
      <c r="E114" s="2195"/>
      <c r="F114" s="2932"/>
      <c r="G114" s="2933"/>
      <c r="H114" s="2291" t="s">
        <v>1939</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930" t="str">
        <f>IF(项目基本情况!G5="抵押净值",IF(OR(项目基本情况!F5="已注销",项目基本情况!F5="房地产抵押价值"),"4.抵押净值","5.抵押净值"),"——")</f>
        <v>——</v>
      </c>
      <c r="G115" s="2931"/>
      <c r="H115" s="2291" t="str">
        <f>C119</f>
        <v>总价（元）</v>
      </c>
      <c r="I115" s="1862" t="str">
        <f>IF(F115="——","——",N60)</f>
        <v>——</v>
      </c>
    </row>
    <row r="116" spans="1:26" ht="15.75" thickBot="1">
      <c r="A116" s="2924"/>
      <c r="B116" s="2925"/>
      <c r="C116" s="2291" t="s">
        <v>2001</v>
      </c>
      <c r="D116" s="1052" t="e">
        <f>ROUND(IF(D115=D109,D110,IF(H19="元",D115/B124,D115*10000/B124)),0)</f>
        <v>#DIV/0!</v>
      </c>
      <c r="E116" s="2195"/>
      <c r="F116" s="2939"/>
      <c r="G116" s="2940"/>
      <c r="H116" s="2299" t="s">
        <v>2001</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943"/>
      <c r="G117" s="2943"/>
      <c r="H117" s="2944"/>
      <c r="I117" s="2944"/>
      <c r="N117" s="55"/>
      <c r="O117" s="55"/>
    </row>
    <row r="118" spans="1:26" s="1845" customFormat="1" ht="15">
      <c r="A118" s="2924"/>
      <c r="B118" s="2925"/>
      <c r="C118" s="2291" t="s">
        <v>2001</v>
      </c>
      <c r="D118" s="1052" t="str">
        <f>IF(A117="——","——",IF(H19="元",ROUND(D117/B124,0),ROUND(D117*10000/B124,0)))</f>
        <v>——</v>
      </c>
      <c r="E118" s="2195"/>
      <c r="F118" s="2945" t="str">
        <f>IF(B32="总价","（以上估价结果中楼面单价为总价除以建筑面积得出）","（以上估价结果中总价为楼面单价乘以建筑面积得出）")</f>
        <v>（以上估价结果中总价为楼面单价乘以建筑面积得出）</v>
      </c>
      <c r="G118" s="2945"/>
      <c r="H118" s="2945"/>
      <c r="I118" s="294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1"/>
      <c r="B120" s="294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6" t="s">
        <v>2002</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2" t="s">
        <v>1950</v>
      </c>
      <c r="B122" s="2934" t="s">
        <v>2003</v>
      </c>
      <c r="C122" s="2934" t="s">
        <v>2004</v>
      </c>
      <c r="D122" s="2936" t="s">
        <v>1953</v>
      </c>
      <c r="E122" s="2937"/>
      <c r="F122" s="2846" t="s">
        <v>2005</v>
      </c>
      <c r="G122" s="2846"/>
      <c r="H122" s="2846" t="s">
        <v>1954</v>
      </c>
      <c r="I122" s="293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2"/>
      <c r="B123" s="2935"/>
      <c r="C123" s="293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2" t="s">
        <v>1958</v>
      </c>
      <c r="B125" s="2846"/>
      <c r="C125" s="2846"/>
      <c r="D125" s="2975" t="str">
        <f>IF(H19="元",NUMBERSTRING(INT(D124),2)&amp;"元整",NUMBERSTRING(INT(D124*10000),2)&amp;"元整")</f>
        <v>零元整</v>
      </c>
      <c r="E125" s="2976"/>
      <c r="F125" s="2975" t="str">
        <f>IF(H19="元",NUMBERSTRING(INT(F124),2)&amp;"元整",NUMBERSTRING(INT(F124*10000),2)&amp;"元整")</f>
        <v>零元整</v>
      </c>
      <c r="G125" s="2976"/>
      <c r="H125" s="2975"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8" t="str">
        <f>IF(项目基本情况!D5="房地产市场价值","——",MID(A111,3,LEN(A111)-2))</f>
        <v>——</v>
      </c>
      <c r="B126" s="2973"/>
      <c r="C126" s="2979"/>
      <c r="D126" s="2965">
        <f>I106</f>
        <v>0</v>
      </c>
      <c r="E126" s="2973"/>
      <c r="F126" s="2973"/>
      <c r="G126" s="2973"/>
      <c r="H126" s="2973"/>
      <c r="I126" s="297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7" t="s">
        <v>1958</v>
      </c>
      <c r="B127" s="2968"/>
      <c r="C127" s="2969"/>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7" t="str">
        <f>IF(项目基本情况!D5="房地产市场价值","——",MID(A115,3,LEN(A115)-2))</f>
        <v>——</v>
      </c>
      <c r="B128" s="2958"/>
      <c r="C128" s="2958"/>
      <c r="D128" s="2965">
        <f>I111</f>
        <v>0</v>
      </c>
      <c r="E128" s="2973"/>
      <c r="F128" s="2973"/>
      <c r="G128" s="2973"/>
      <c r="H128" s="2973"/>
      <c r="I128" s="297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2" t="s">
        <v>1958</v>
      </c>
      <c r="B129" s="2846"/>
      <c r="C129" s="2846"/>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7" t="str">
        <f>IF(项目基本情况!D5="房地产市场价值","——",MID(A117,3,LEN(A117)-2))</f>
        <v>——</v>
      </c>
      <c r="B130" s="2958"/>
      <c r="C130" s="2958"/>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2" t="s">
        <v>1958</v>
      </c>
      <c r="B131" s="2846"/>
      <c r="C131" s="2963"/>
      <c r="D131" s="2964" t="str">
        <f>I114</f>
        <v>——</v>
      </c>
      <c r="E131" s="2964"/>
      <c r="F131" s="2964"/>
      <c r="G131" s="2964"/>
      <c r="H131" s="2964"/>
      <c r="I131" s="296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7" t="str">
        <f>IF(项目基本情况!D5="房地产市场价值","——",MID(F115,3,LEN(F115)-2))</f>
        <v>——</v>
      </c>
      <c r="B132" s="2958"/>
      <c r="C132" s="2965"/>
      <c r="D132" s="2966" t="str">
        <f>I115</f>
        <v>——</v>
      </c>
      <c r="E132" s="2966"/>
      <c r="F132" s="2966"/>
      <c r="G132" s="2966"/>
      <c r="H132" s="2966"/>
      <c r="I132" s="29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8" t="s">
        <v>1958</v>
      </c>
      <c r="B133" s="2949"/>
      <c r="C133" s="2949"/>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55" sqref="D5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1025</v>
      </c>
      <c r="B1" s="2986"/>
      <c r="C1" s="2987"/>
      <c r="D1" s="2988">
        <f>SUM(I10,I15,I20,I21,I23)</f>
        <v>0</v>
      </c>
      <c r="E1" s="2988"/>
      <c r="F1" s="2988"/>
      <c r="G1" s="2988"/>
      <c r="H1" s="2988"/>
      <c r="I1" s="2989"/>
    </row>
    <row r="2" spans="1:9">
      <c r="A2" s="2990" t="s">
        <v>1026</v>
      </c>
      <c r="B2" s="2991" t="s">
        <v>975</v>
      </c>
      <c r="C2" s="2991"/>
      <c r="D2" s="1389" t="s">
        <v>976</v>
      </c>
      <c r="E2" s="1389" t="s">
        <v>977</v>
      </c>
      <c r="F2" s="1389" t="s">
        <v>978</v>
      </c>
      <c r="G2" s="1389" t="s">
        <v>979</v>
      </c>
      <c r="H2" s="1389" t="s">
        <v>980</v>
      </c>
      <c r="I2" s="1390" t="s">
        <v>981</v>
      </c>
    </row>
    <row r="3" spans="1:9">
      <c r="A3" s="2990"/>
      <c r="B3" s="2991" t="s">
        <v>982</v>
      </c>
      <c r="C3" s="2991"/>
      <c r="D3" s="1391"/>
      <c r="E3" s="1389"/>
      <c r="F3" s="1392"/>
      <c r="G3" s="1392"/>
      <c r="H3" s="1393"/>
      <c r="I3" s="1394">
        <f>ROUND(D3*E3*F3*G3*H3/10000,0)</f>
        <v>0</v>
      </c>
    </row>
    <row r="4" spans="1:9">
      <c r="A4" s="2990"/>
      <c r="B4" s="2991" t="s">
        <v>983</v>
      </c>
      <c r="C4" s="2991"/>
      <c r="D4" s="1391"/>
      <c r="E4" s="1389"/>
      <c r="F4" s="1392"/>
      <c r="G4" s="1392"/>
      <c r="H4" s="1393"/>
      <c r="I4" s="1394">
        <f t="shared" ref="I4:I9" si="0">ROUND(D4*E4*F4*G4*H4/10000,0)</f>
        <v>0</v>
      </c>
    </row>
    <row r="5" spans="1:9">
      <c r="A5" s="2990"/>
      <c r="B5" s="2991" t="s">
        <v>984</v>
      </c>
      <c r="C5" s="2991"/>
      <c r="D5" s="1391"/>
      <c r="E5" s="1389"/>
      <c r="F5" s="1392"/>
      <c r="G5" s="1392"/>
      <c r="H5" s="1393"/>
      <c r="I5" s="1394">
        <f t="shared" si="0"/>
        <v>0</v>
      </c>
    </row>
    <row r="6" spans="1:9">
      <c r="A6" s="2990"/>
      <c r="B6" s="2991" t="s">
        <v>985</v>
      </c>
      <c r="C6" s="2991"/>
      <c r="D6" s="1391"/>
      <c r="E6" s="1389"/>
      <c r="F6" s="1392"/>
      <c r="G6" s="1392"/>
      <c r="H6" s="1393"/>
      <c r="I6" s="1394">
        <f t="shared" si="0"/>
        <v>0</v>
      </c>
    </row>
    <row r="7" spans="1:9">
      <c r="A7" s="2990"/>
      <c r="B7" s="2991" t="s">
        <v>986</v>
      </c>
      <c r="C7" s="2991"/>
      <c r="D7" s="1391"/>
      <c r="E7" s="1389"/>
      <c r="F7" s="1392"/>
      <c r="G7" s="1392"/>
      <c r="H7" s="1393"/>
      <c r="I7" s="1394">
        <f t="shared" si="0"/>
        <v>0</v>
      </c>
    </row>
    <row r="8" spans="1:9">
      <c r="A8" s="2990"/>
      <c r="B8" s="2991" t="s">
        <v>987</v>
      </c>
      <c r="C8" s="2991"/>
      <c r="D8" s="1391"/>
      <c r="E8" s="1389"/>
      <c r="F8" s="1392"/>
      <c r="G8" s="1392"/>
      <c r="H8" s="1393"/>
      <c r="I8" s="1394">
        <f t="shared" si="0"/>
        <v>0</v>
      </c>
    </row>
    <row r="9" spans="1:9">
      <c r="A9" s="2990"/>
      <c r="B9" s="2991" t="s">
        <v>988</v>
      </c>
      <c r="C9" s="2991"/>
      <c r="D9" s="1391"/>
      <c r="E9" s="1389"/>
      <c r="F9" s="1392"/>
      <c r="G9" s="1392"/>
      <c r="H9" s="1393"/>
      <c r="I9" s="1394">
        <f t="shared" si="0"/>
        <v>0</v>
      </c>
    </row>
    <row r="10" spans="1:9">
      <c r="A10" s="2990"/>
      <c r="B10" s="2992" t="s">
        <v>989</v>
      </c>
      <c r="C10" s="2992"/>
      <c r="D10" s="1395">
        <v>527</v>
      </c>
      <c r="E10" s="1395" t="e">
        <f>ROUND(D1*10000/D10/H9,0)</f>
        <v>#DIV/0!</v>
      </c>
      <c r="F10" s="1396"/>
      <c r="G10" s="1396"/>
      <c r="H10" s="1397"/>
      <c r="I10" s="1398">
        <f>SUM(I3:I9)</f>
        <v>0</v>
      </c>
    </row>
    <row r="11" spans="1:9" ht="14.25">
      <c r="A11" s="2990" t="s">
        <v>1027</v>
      </c>
      <c r="B11" s="2991" t="s">
        <v>990</v>
      </c>
      <c r="C11" s="2991"/>
      <c r="D11" s="1391" t="s">
        <v>991</v>
      </c>
      <c r="E11" s="1391" t="s">
        <v>992</v>
      </c>
      <c r="F11" s="1392" t="s">
        <v>993</v>
      </c>
      <c r="G11" s="1392" t="s">
        <v>980</v>
      </c>
      <c r="H11" s="1399" t="s">
        <v>994</v>
      </c>
      <c r="I11" s="1390" t="s">
        <v>981</v>
      </c>
    </row>
    <row r="12" spans="1:9">
      <c r="A12" s="2990"/>
      <c r="B12" s="2991" t="s">
        <v>995</v>
      </c>
      <c r="C12" s="2991"/>
      <c r="D12" s="1391"/>
      <c r="E12" s="1391"/>
      <c r="F12" s="1392"/>
      <c r="G12" s="1393"/>
      <c r="H12" s="1400"/>
      <c r="I12" s="1390">
        <f>ROUND(D12*E12*F12*G12/10000,0)</f>
        <v>0</v>
      </c>
    </row>
    <row r="13" spans="1:9">
      <c r="A13" s="2990"/>
      <c r="B13" s="2991" t="s">
        <v>996</v>
      </c>
      <c r="C13" s="2991"/>
      <c r="D13" s="1391"/>
      <c r="E13" s="1391"/>
      <c r="F13" s="1392"/>
      <c r="G13" s="1393"/>
      <c r="H13" s="1400"/>
      <c r="I13" s="1390">
        <f>ROUND(D13*E13*F13*G13/10000,0)</f>
        <v>0</v>
      </c>
    </row>
    <row r="14" spans="1:9">
      <c r="A14" s="2990"/>
      <c r="B14" s="2991" t="s">
        <v>997</v>
      </c>
      <c r="C14" s="2991"/>
      <c r="D14" s="1391"/>
      <c r="E14" s="1391"/>
      <c r="F14" s="1392"/>
      <c r="G14" s="1393"/>
      <c r="H14" s="1400"/>
      <c r="I14" s="1390">
        <f>ROUND(D14*E14*F14*G14/10000,0)</f>
        <v>0</v>
      </c>
    </row>
    <row r="15" spans="1:9">
      <c r="A15" s="2990"/>
      <c r="B15" s="2992" t="s">
        <v>989</v>
      </c>
      <c r="C15" s="2992"/>
      <c r="D15" s="1395"/>
      <c r="E15" s="1395">
        <f>SUM(E12:E14)</f>
        <v>0</v>
      </c>
      <c r="F15" s="1396"/>
      <c r="G15" s="1393"/>
      <c r="H15" s="1400"/>
      <c r="I15" s="1401">
        <f>SUM(I12:I14)</f>
        <v>0</v>
      </c>
    </row>
    <row r="16" spans="1:9" ht="24">
      <c r="A16" s="2990" t="s">
        <v>1028</v>
      </c>
      <c r="B16" s="2991" t="s">
        <v>998</v>
      </c>
      <c r="C16" s="2991"/>
      <c r="D16" s="1391" t="s">
        <v>976</v>
      </c>
      <c r="E16" s="1402" t="s">
        <v>999</v>
      </c>
      <c r="F16" s="1392" t="s">
        <v>1000</v>
      </c>
      <c r="G16" s="1393" t="s">
        <v>980</v>
      </c>
      <c r="H16" s="1399" t="s">
        <v>994</v>
      </c>
      <c r="I16" s="1390" t="s">
        <v>981</v>
      </c>
    </row>
    <row r="17" spans="1:9" ht="14.25">
      <c r="A17" s="2990"/>
      <c r="B17" s="2991" t="s">
        <v>1001</v>
      </c>
      <c r="C17" s="2991"/>
      <c r="D17" s="1391"/>
      <c r="E17" s="1391"/>
      <c r="F17" s="1392"/>
      <c r="G17" s="1393"/>
      <c r="H17" s="1403"/>
      <c r="I17" s="1404">
        <f>ROUND(D17*E17*F17*G17/10000,0)</f>
        <v>0</v>
      </c>
    </row>
    <row r="18" spans="1:9" ht="14.25">
      <c r="A18" s="2990"/>
      <c r="B18" s="2991" t="s">
        <v>1002</v>
      </c>
      <c r="C18" s="2991"/>
      <c r="D18" s="1391"/>
      <c r="E18" s="1391"/>
      <c r="F18" s="1392"/>
      <c r="G18" s="1393"/>
      <c r="H18" s="1403"/>
      <c r="I18" s="1404">
        <f>ROUND(D18*E18*F18*G18/10000,0)</f>
        <v>0</v>
      </c>
    </row>
    <row r="19" spans="1:9" ht="14.25">
      <c r="A19" s="2990"/>
      <c r="B19" s="2991" t="s">
        <v>1003</v>
      </c>
      <c r="C19" s="2991"/>
      <c r="D19" s="1391"/>
      <c r="E19" s="1391"/>
      <c r="F19" s="1392"/>
      <c r="G19" s="1393"/>
      <c r="H19" s="1403"/>
      <c r="I19" s="1404">
        <f>ROUND(D19*E19*F19*G19/10000,0)</f>
        <v>0</v>
      </c>
    </row>
    <row r="20" spans="1:9">
      <c r="A20" s="2990"/>
      <c r="B20" s="2992" t="s">
        <v>989</v>
      </c>
      <c r="C20" s="2992"/>
      <c r="D20" s="1395">
        <f>SUM(D17:D19)</f>
        <v>0</v>
      </c>
      <c r="E20" s="1395"/>
      <c r="F20" s="1396"/>
      <c r="G20" s="1393"/>
      <c r="H20" s="1400"/>
      <c r="I20" s="1401">
        <f>SUM(I17:I19)</f>
        <v>0</v>
      </c>
    </row>
    <row r="21" spans="1:9">
      <c r="A21" s="2990"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3001">
        <f>C27-C30-C31-C32</f>
        <v>0</v>
      </c>
      <c r="F26" s="3001"/>
      <c r="G26" s="3001"/>
      <c r="H26" s="1829" t="s">
        <v>1220</v>
      </c>
    </row>
    <row r="27" spans="1:9">
      <c r="A27" s="1413">
        <v>1</v>
      </c>
      <c r="B27" s="1414" t="s">
        <v>1008</v>
      </c>
      <c r="C27" s="1414">
        <f>C28+C29</f>
        <v>0</v>
      </c>
      <c r="D27" s="1414"/>
      <c r="E27" s="3002"/>
      <c r="F27" s="3002"/>
      <c r="G27" s="3002"/>
    </row>
    <row r="28" spans="1:9">
      <c r="A28" s="1415" t="s">
        <v>1009</v>
      </c>
      <c r="B28" s="1414" t="s">
        <v>1010</v>
      </c>
      <c r="C28" s="1414"/>
      <c r="D28" s="1414"/>
      <c r="E28" s="3002"/>
      <c r="F28" s="3002"/>
      <c r="G28" s="300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3003" t="s">
        <v>1019</v>
      </c>
      <c r="B33" s="3004"/>
      <c r="C33" s="3004"/>
      <c r="D33" s="3005"/>
      <c r="E33" s="3001"/>
      <c r="F33" s="3001"/>
      <c r="G33" s="3001"/>
    </row>
    <row r="34" spans="1:7" hidden="1">
      <c r="A34" s="1417">
        <v>1</v>
      </c>
      <c r="B34" s="1414" t="s">
        <v>1020</v>
      </c>
      <c r="C34" s="1414"/>
      <c r="D34" s="1414"/>
      <c r="E34" s="3002"/>
      <c r="F34" s="3002"/>
      <c r="G34" s="3002"/>
    </row>
    <row r="35" spans="1:7" hidden="1">
      <c r="A35" s="1417">
        <v>2</v>
      </c>
      <c r="B35" s="1414" t="s">
        <v>1021</v>
      </c>
      <c r="C35" s="1414"/>
      <c r="D35" s="1414"/>
      <c r="E35" s="3002"/>
      <c r="F35" s="3002"/>
      <c r="G35" s="3002"/>
    </row>
    <row r="36" spans="1:7" hidden="1">
      <c r="A36" s="1417">
        <v>3</v>
      </c>
      <c r="B36" s="1414" t="s">
        <v>1022</v>
      </c>
      <c r="C36" s="1414"/>
      <c r="D36" s="1414"/>
      <c r="E36" s="3002"/>
      <c r="F36" s="3002"/>
      <c r="G36" s="3002"/>
    </row>
    <row r="37" spans="1:7" hidden="1">
      <c r="A37" s="1417">
        <v>4</v>
      </c>
      <c r="B37" s="1414" t="s">
        <v>1023</v>
      </c>
      <c r="C37" s="1414"/>
      <c r="D37" s="1414"/>
      <c r="E37" s="3002"/>
      <c r="F37" s="3002"/>
      <c r="G37" s="3002"/>
    </row>
    <row r="38" spans="1:7" hidden="1">
      <c r="A38" s="3003" t="s">
        <v>1024</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2" zoomScale="90" zoomScaleNormal="90" workbookViewId="0">
      <selection activeCell="K54" sqref="K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4885405</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48815</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5" t="s">
        <v>2342</v>
      </c>
      <c r="D4" s="3016"/>
      <c r="E4" s="3017" t="s">
        <v>2343</v>
      </c>
      <c r="F4" s="3018"/>
      <c r="G4" s="3015" t="s">
        <v>2344</v>
      </c>
      <c r="H4" s="3016"/>
      <c r="I4" s="3015" t="s">
        <v>2345</v>
      </c>
      <c r="J4" s="3016"/>
      <c r="K4" s="2396"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2" t="s">
        <v>2344</v>
      </c>
      <c r="AC4" s="3012" t="s">
        <v>2345</v>
      </c>
    </row>
    <row r="5" spans="1:29" ht="45" customHeight="1" thickBot="1">
      <c r="A5" s="383"/>
      <c r="B5" s="384"/>
      <c r="C5" s="3034" t="s">
        <v>2910</v>
      </c>
      <c r="D5" s="3035"/>
      <c r="E5" s="3032" t="s">
        <v>2895</v>
      </c>
      <c r="F5" s="3033"/>
      <c r="G5" s="3032" t="s">
        <v>2895</v>
      </c>
      <c r="H5" s="3033"/>
      <c r="I5" s="3032" t="s">
        <v>2895</v>
      </c>
      <c r="J5" s="3033"/>
      <c r="K5" s="2397"/>
      <c r="L5" s="1243"/>
      <c r="M5" s="1244"/>
      <c r="N5" s="1244"/>
      <c r="O5" s="1244"/>
      <c r="P5" s="3021"/>
      <c r="Q5" s="3022"/>
      <c r="R5" s="3027"/>
      <c r="S5" s="3028"/>
      <c r="T5" s="3027"/>
      <c r="U5" s="3028"/>
      <c r="V5" s="3031"/>
      <c r="W5" s="3031"/>
      <c r="X5" s="1900"/>
      <c r="Y5" s="3027"/>
      <c r="Z5" s="3028"/>
      <c r="AA5" s="3013"/>
      <c r="AB5" s="3013"/>
      <c r="AC5" s="3013"/>
    </row>
    <row r="6" spans="1:29" ht="15.75" hidden="1" thickBot="1">
      <c r="A6" s="385"/>
      <c r="B6" s="386"/>
      <c r="C6" s="3036" t="s">
        <v>2352</v>
      </c>
      <c r="D6" s="3037"/>
      <c r="E6" s="3038" t="s">
        <v>2352</v>
      </c>
      <c r="F6" s="3039"/>
      <c r="G6" s="3036" t="s">
        <v>2352</v>
      </c>
      <c r="H6" s="3037"/>
      <c r="I6" s="3036" t="s">
        <v>2352</v>
      </c>
      <c r="J6" s="3037"/>
      <c r="K6" s="2397"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47" t="s">
        <v>2355</v>
      </c>
      <c r="Q7" s="3049"/>
      <c r="R7" s="749" t="s">
        <v>34</v>
      </c>
      <c r="S7" s="750">
        <f t="shared" ref="S7:S15" si="0">F7</f>
        <v>99</v>
      </c>
      <c r="T7" s="749" t="s">
        <v>34</v>
      </c>
      <c r="U7" s="750">
        <f t="shared" ref="U7:U15" si="1">H7</f>
        <v>99</v>
      </c>
      <c r="V7" s="749" t="s">
        <v>34</v>
      </c>
      <c r="W7" s="750">
        <f t="shared" ref="W7:W15" si="2">J7</f>
        <v>99</v>
      </c>
      <c r="X7" s="751"/>
      <c r="Y7" s="3047" t="s">
        <v>2355</v>
      </c>
      <c r="Z7" s="3048"/>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47" t="s">
        <v>2358</v>
      </c>
      <c r="Q8" s="3048"/>
      <c r="R8" s="749" t="s">
        <v>34</v>
      </c>
      <c r="S8" s="750">
        <f t="shared" si="0"/>
        <v>100</v>
      </c>
      <c r="T8" s="749" t="s">
        <v>34</v>
      </c>
      <c r="U8" s="750">
        <f t="shared" si="1"/>
        <v>100</v>
      </c>
      <c r="V8" s="749" t="s">
        <v>34</v>
      </c>
      <c r="W8" s="750">
        <f t="shared" si="2"/>
        <v>100</v>
      </c>
      <c r="X8" s="751"/>
      <c r="Y8" s="3047" t="s">
        <v>2358</v>
      </c>
      <c r="Z8" s="3048"/>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0"/>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0"/>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0"/>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0"/>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53" t="s">
        <v>2366</v>
      </c>
      <c r="Q15" s="1899" t="str">
        <f t="shared" si="6"/>
        <v>居住社区成熟度</v>
      </c>
      <c r="R15" s="753" t="s">
        <v>28</v>
      </c>
      <c r="S15" s="754">
        <f t="shared" si="0"/>
        <v>100</v>
      </c>
      <c r="T15" s="753" t="s">
        <v>28</v>
      </c>
      <c r="U15" s="754">
        <f t="shared" si="1"/>
        <v>100</v>
      </c>
      <c r="V15" s="753" t="s">
        <v>28</v>
      </c>
      <c r="W15" s="754">
        <f t="shared" si="2"/>
        <v>100</v>
      </c>
      <c r="X15" s="1900"/>
      <c r="Y15" s="3040"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4"/>
      <c r="Q16" s="1899"/>
      <c r="R16" s="753"/>
      <c r="S16" s="754"/>
      <c r="T16" s="753"/>
      <c r="U16" s="754"/>
      <c r="V16" s="753"/>
      <c r="W16" s="754"/>
      <c r="X16" s="1900"/>
      <c r="Y16" s="3041"/>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54"/>
      <c r="Q17" s="1899" t="str">
        <f>B17</f>
        <v>交通便捷度</v>
      </c>
      <c r="R17" s="753" t="s">
        <v>28</v>
      </c>
      <c r="S17" s="754">
        <f>F17</f>
        <v>100</v>
      </c>
      <c r="T17" s="753" t="s">
        <v>28</v>
      </c>
      <c r="U17" s="754">
        <f>H17</f>
        <v>100</v>
      </c>
      <c r="V17" s="753" t="s">
        <v>28</v>
      </c>
      <c r="W17" s="754">
        <f>J17</f>
        <v>100</v>
      </c>
      <c r="X17" s="1900"/>
      <c r="Y17" s="3041"/>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54"/>
      <c r="Q19" s="1899" t="str">
        <f>B19</f>
        <v>公共配套设施</v>
      </c>
      <c r="R19" s="753" t="s">
        <v>28</v>
      </c>
      <c r="S19" s="754">
        <f>F19</f>
        <v>100</v>
      </c>
      <c r="T19" s="753" t="s">
        <v>28</v>
      </c>
      <c r="U19" s="754">
        <f>H19</f>
        <v>100</v>
      </c>
      <c r="V19" s="753" t="s">
        <v>28</v>
      </c>
      <c r="W19" s="754">
        <f>J19</f>
        <v>100</v>
      </c>
      <c r="X19" s="1900"/>
      <c r="Y19" s="304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54"/>
      <c r="Q20" s="1899"/>
      <c r="R20" s="753"/>
      <c r="S20" s="754"/>
      <c r="T20" s="753"/>
      <c r="U20" s="754"/>
      <c r="V20" s="753"/>
      <c r="W20" s="754"/>
      <c r="X20" s="1900"/>
      <c r="Y20" s="3041"/>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54"/>
      <c r="Q21" s="1899" t="str">
        <f>B21</f>
        <v>基础设施水平</v>
      </c>
      <c r="R21" s="753" t="s">
        <v>28</v>
      </c>
      <c r="S21" s="754">
        <f>F21</f>
        <v>100</v>
      </c>
      <c r="T21" s="753" t="s">
        <v>28</v>
      </c>
      <c r="U21" s="754">
        <f>H21</f>
        <v>100</v>
      </c>
      <c r="V21" s="753" t="s">
        <v>28</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54"/>
      <c r="Q22" s="1899"/>
      <c r="R22" s="753"/>
      <c r="S22" s="754"/>
      <c r="T22" s="753"/>
      <c r="U22" s="754"/>
      <c r="V22" s="753"/>
      <c r="W22" s="754"/>
      <c r="X22" s="1900"/>
      <c r="Y22" s="3041"/>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54"/>
      <c r="Q23" s="1899" t="str">
        <f>B23</f>
        <v>自然及人文环境</v>
      </c>
      <c r="R23" s="753" t="s">
        <v>28</v>
      </c>
      <c r="S23" s="754">
        <f>F23</f>
        <v>100</v>
      </c>
      <c r="T23" s="753" t="s">
        <v>28</v>
      </c>
      <c r="U23" s="754">
        <f>H23</f>
        <v>100</v>
      </c>
      <c r="V23" s="753" t="s">
        <v>28</v>
      </c>
      <c r="W23" s="754">
        <f>J23</f>
        <v>100</v>
      </c>
      <c r="X23" s="1900"/>
      <c r="Y23" s="304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4"/>
      <c r="Q24" s="1899"/>
      <c r="R24" s="753"/>
      <c r="S24" s="754"/>
      <c r="T24" s="753"/>
      <c r="U24" s="754"/>
      <c r="V24" s="753"/>
      <c r="W24" s="754"/>
      <c r="X24" s="1900"/>
      <c r="Y24" s="3041"/>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4"/>
      <c r="Q25" s="1899" t="str">
        <f t="shared" ref="Q25:Q46" si="11">B25</f>
        <v>楼层-1</v>
      </c>
      <c r="R25" s="753" t="s">
        <v>28</v>
      </c>
      <c r="S25" s="754">
        <f>F25</f>
        <v>100</v>
      </c>
      <c r="T25" s="753" t="s">
        <v>28</v>
      </c>
      <c r="U25" s="754">
        <f>H25</f>
        <v>100</v>
      </c>
      <c r="V25" s="753" t="s">
        <v>28</v>
      </c>
      <c r="W25" s="754">
        <f>J25</f>
        <v>100</v>
      </c>
      <c r="X25" s="1900"/>
      <c r="Y25" s="3041"/>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54"/>
      <c r="Q26" s="1899" t="str">
        <f t="shared" si="11"/>
        <v>朝向</v>
      </c>
      <c r="R26" s="753" t="s">
        <v>28</v>
      </c>
      <c r="S26" s="754">
        <f>F26</f>
        <v>97</v>
      </c>
      <c r="T26" s="753" t="s">
        <v>28</v>
      </c>
      <c r="U26" s="754">
        <f>H26</f>
        <v>100</v>
      </c>
      <c r="V26" s="753" t="s">
        <v>28</v>
      </c>
      <c r="W26" s="754">
        <f>J26</f>
        <v>100</v>
      </c>
      <c r="X26" s="1900"/>
      <c r="Y26" s="3041"/>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54"/>
      <c r="Q27" s="1887" t="str">
        <f t="shared" si="11"/>
        <v>道路级别</v>
      </c>
      <c r="R27" s="749" t="s">
        <v>28</v>
      </c>
      <c r="S27" s="750">
        <f>F27</f>
        <v>100</v>
      </c>
      <c r="T27" s="749" t="s">
        <v>28</v>
      </c>
      <c r="U27" s="750">
        <f>H27</f>
        <v>100</v>
      </c>
      <c r="V27" s="749" t="s">
        <v>28</v>
      </c>
      <c r="W27" s="750">
        <f>J27</f>
        <v>100</v>
      </c>
      <c r="X27" s="751"/>
      <c r="Y27" s="3041"/>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103</v>
      </c>
      <c r="G28" s="414" t="s">
        <v>2913</v>
      </c>
      <c r="H28" s="415">
        <f>SUMIF(92:92,G28,93:93)-SUMIF(92:92,C28,93:93)+100</f>
        <v>101.5</v>
      </c>
      <c r="I28" s="414" t="s">
        <v>2914</v>
      </c>
      <c r="J28" s="415">
        <f>SUMIF(92:92,I28,93:93)-SUMIF(92:92,C28,93:93)+100</f>
        <v>101.5</v>
      </c>
      <c r="K28" s="2401"/>
      <c r="L28" s="1253"/>
      <c r="M28" s="1244"/>
      <c r="N28" s="1244"/>
      <c r="O28" s="1244"/>
      <c r="P28" s="3054"/>
      <c r="Q28" s="1899" t="str">
        <f t="shared" si="11"/>
        <v>楼层</v>
      </c>
      <c r="R28" s="753" t="s">
        <v>28</v>
      </c>
      <c r="S28" s="754">
        <f t="shared" ref="S28:S46" si="12">F28</f>
        <v>103</v>
      </c>
      <c r="T28" s="753" t="s">
        <v>28</v>
      </c>
      <c r="U28" s="754">
        <f t="shared" ref="U28:U46" si="13">H28</f>
        <v>101.5</v>
      </c>
      <c r="V28" s="753" t="s">
        <v>28</v>
      </c>
      <c r="W28" s="754">
        <f t="shared" ref="W28:W46" si="14">J28</f>
        <v>101.5</v>
      </c>
      <c r="X28" s="1900"/>
      <c r="Y28" s="3041"/>
      <c r="Z28" s="1902" t="str">
        <f t="shared" ref="Z28:Z46" si="15">Q28</f>
        <v>楼层</v>
      </c>
      <c r="AA28" s="1903">
        <f t="shared" si="3"/>
        <v>0.970873786407767</v>
      </c>
      <c r="AB28" s="1903">
        <f t="shared" si="4"/>
        <v>0.98522167487684731</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4"/>
      <c r="Q29" s="1899">
        <f t="shared" si="11"/>
        <v>111</v>
      </c>
      <c r="R29" s="753" t="s">
        <v>28</v>
      </c>
      <c r="S29" s="754">
        <f t="shared" si="12"/>
        <v>100</v>
      </c>
      <c r="T29" s="753" t="s">
        <v>28</v>
      </c>
      <c r="U29" s="754">
        <f t="shared" si="13"/>
        <v>100</v>
      </c>
      <c r="V29" s="753" t="s">
        <v>28</v>
      </c>
      <c r="W29" s="754">
        <f t="shared" si="14"/>
        <v>100</v>
      </c>
      <c r="X29" s="1900"/>
      <c r="Y29" s="3041"/>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4"/>
      <c r="Q30" s="1899">
        <f t="shared" si="11"/>
        <v>111</v>
      </c>
      <c r="R30" s="753" t="s">
        <v>28</v>
      </c>
      <c r="S30" s="754">
        <f t="shared" si="12"/>
        <v>100</v>
      </c>
      <c r="T30" s="753" t="s">
        <v>28</v>
      </c>
      <c r="U30" s="754">
        <f t="shared" si="13"/>
        <v>100</v>
      </c>
      <c r="V30" s="753" t="s">
        <v>28</v>
      </c>
      <c r="W30" s="754">
        <f t="shared" si="14"/>
        <v>100</v>
      </c>
      <c r="X30" s="1900"/>
      <c r="Y30" s="3041"/>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4"/>
      <c r="Q31" s="1899">
        <f t="shared" si="11"/>
        <v>111</v>
      </c>
      <c r="R31" s="753" t="s">
        <v>28</v>
      </c>
      <c r="S31" s="754">
        <f t="shared" si="12"/>
        <v>100</v>
      </c>
      <c r="T31" s="753" t="s">
        <v>28</v>
      </c>
      <c r="U31" s="754">
        <f t="shared" si="13"/>
        <v>100</v>
      </c>
      <c r="V31" s="753" t="s">
        <v>28</v>
      </c>
      <c r="W31" s="754">
        <f t="shared" si="14"/>
        <v>100</v>
      </c>
      <c r="X31" s="1900"/>
      <c r="Y31" s="3041"/>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42" t="s">
        <v>2372</v>
      </c>
      <c r="Q32" s="1899" t="str">
        <f t="shared" si="11"/>
        <v>建筑类型</v>
      </c>
      <c r="R32" s="753" t="s">
        <v>28</v>
      </c>
      <c r="S32" s="754">
        <f t="shared" si="12"/>
        <v>100</v>
      </c>
      <c r="T32" s="753" t="s">
        <v>28</v>
      </c>
      <c r="U32" s="754">
        <f t="shared" si="13"/>
        <v>100</v>
      </c>
      <c r="V32" s="753" t="s">
        <v>28</v>
      </c>
      <c r="W32" s="754">
        <f t="shared" si="14"/>
        <v>100</v>
      </c>
      <c r="X32" s="1900"/>
      <c r="Y32" s="3045"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43"/>
      <c r="Q33" s="755" t="str">
        <f t="shared" si="11"/>
        <v>项目建筑规模</v>
      </c>
      <c r="R33" s="756" t="s">
        <v>28</v>
      </c>
      <c r="S33" s="757">
        <f t="shared" si="12"/>
        <v>102</v>
      </c>
      <c r="T33" s="756" t="s">
        <v>28</v>
      </c>
      <c r="U33" s="757">
        <f t="shared" si="13"/>
        <v>102</v>
      </c>
      <c r="V33" s="756" t="s">
        <v>28</v>
      </c>
      <c r="W33" s="757">
        <f t="shared" si="14"/>
        <v>100</v>
      </c>
      <c r="X33" s="758"/>
      <c r="Y33" s="3045"/>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43"/>
      <c r="Q34" s="1899" t="str">
        <f t="shared" si="11"/>
        <v>建筑结构</v>
      </c>
      <c r="R34" s="753" t="s">
        <v>28</v>
      </c>
      <c r="S34" s="754">
        <f t="shared" si="12"/>
        <v>100</v>
      </c>
      <c r="T34" s="753" t="s">
        <v>28</v>
      </c>
      <c r="U34" s="754">
        <f t="shared" si="13"/>
        <v>100</v>
      </c>
      <c r="V34" s="753" t="s">
        <v>28</v>
      </c>
      <c r="W34" s="754">
        <f t="shared" si="14"/>
        <v>100</v>
      </c>
      <c r="X34" s="1900"/>
      <c r="Y34" s="3045"/>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3"/>
      <c r="Q35" s="1899" t="str">
        <f t="shared" si="11"/>
        <v>建筑品质</v>
      </c>
      <c r="R35" s="753" t="s">
        <v>28</v>
      </c>
      <c r="S35" s="754">
        <f t="shared" si="12"/>
        <v>100</v>
      </c>
      <c r="T35" s="753" t="s">
        <v>28</v>
      </c>
      <c r="U35" s="754">
        <f t="shared" si="13"/>
        <v>100</v>
      </c>
      <c r="V35" s="753" t="s">
        <v>28</v>
      </c>
      <c r="W35" s="754">
        <f t="shared" si="14"/>
        <v>100</v>
      </c>
      <c r="X35" s="1900"/>
      <c r="Y35" s="3045"/>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43"/>
      <c r="Q36" s="1899" t="str">
        <f t="shared" si="11"/>
        <v>公共部分装修</v>
      </c>
      <c r="R36" s="753" t="s">
        <v>28</v>
      </c>
      <c r="S36" s="754">
        <f t="shared" si="12"/>
        <v>100</v>
      </c>
      <c r="T36" s="753" t="s">
        <v>28</v>
      </c>
      <c r="U36" s="754">
        <f t="shared" si="13"/>
        <v>100</v>
      </c>
      <c r="V36" s="753" t="s">
        <v>28</v>
      </c>
      <c r="W36" s="754">
        <f t="shared" si="14"/>
        <v>100</v>
      </c>
      <c r="X36" s="1900"/>
      <c r="Y36" s="3045"/>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3"/>
      <c r="Q37" s="1887"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43" t="s">
        <v>2372</v>
      </c>
      <c r="Q38" s="1899" t="str">
        <f t="shared" si="11"/>
        <v>物业管理</v>
      </c>
      <c r="R38" s="753" t="s">
        <v>28</v>
      </c>
      <c r="S38" s="754">
        <f t="shared" si="12"/>
        <v>100</v>
      </c>
      <c r="T38" s="753" t="s">
        <v>28</v>
      </c>
      <c r="U38" s="754">
        <f t="shared" si="13"/>
        <v>100</v>
      </c>
      <c r="V38" s="753" t="s">
        <v>28</v>
      </c>
      <c r="W38" s="754">
        <f t="shared" si="14"/>
        <v>100</v>
      </c>
      <c r="X38" s="1900"/>
      <c r="Y38" s="3045"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43"/>
      <c r="Q39" s="1899" t="str">
        <f t="shared" si="11"/>
        <v>市政基础设施</v>
      </c>
      <c r="R39" s="753" t="s">
        <v>28</v>
      </c>
      <c r="S39" s="754">
        <f t="shared" si="12"/>
        <v>100</v>
      </c>
      <c r="T39" s="753" t="s">
        <v>28</v>
      </c>
      <c r="U39" s="754">
        <f t="shared" si="13"/>
        <v>100</v>
      </c>
      <c r="V39" s="753" t="s">
        <v>28</v>
      </c>
      <c r="W39" s="754">
        <f t="shared" si="14"/>
        <v>100</v>
      </c>
      <c r="X39" s="1900"/>
      <c r="Y39" s="3045"/>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43"/>
      <c r="Q40" s="1899" t="str">
        <f t="shared" si="11"/>
        <v>房型</v>
      </c>
      <c r="R40" s="753" t="s">
        <v>28</v>
      </c>
      <c r="S40" s="754">
        <f t="shared" si="12"/>
        <v>100</v>
      </c>
      <c r="T40" s="753" t="s">
        <v>28</v>
      </c>
      <c r="U40" s="754">
        <f t="shared" si="13"/>
        <v>100</v>
      </c>
      <c r="V40" s="753" t="s">
        <v>28</v>
      </c>
      <c r="W40" s="754">
        <f t="shared" si="14"/>
        <v>100</v>
      </c>
      <c r="X40" s="1900"/>
      <c r="Y40" s="3045"/>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3">
        <f t="shared" si="3"/>
        <v>1</v>
      </c>
      <c r="AB41" s="1903">
        <f t="shared" si="4"/>
        <v>1</v>
      </c>
      <c r="AC41" s="1903">
        <f t="shared" si="5"/>
        <v>1</v>
      </c>
    </row>
    <row r="42" spans="1:29" ht="15">
      <c r="A42" s="453"/>
      <c r="B42" s="402" t="s">
        <v>2382</v>
      </c>
      <c r="C42" s="2412" t="s">
        <v>2915</v>
      </c>
      <c r="D42" s="415">
        <v>100</v>
      </c>
      <c r="E42" s="2411" t="s">
        <v>2916</v>
      </c>
      <c r="F42" s="442">
        <f>SUMIF(122:122,E42,123:123)-SUMIF(122:122,C42,123:123)+100</f>
        <v>101</v>
      </c>
      <c r="G42" s="2412" t="s">
        <v>2916</v>
      </c>
      <c r="H42" s="415">
        <f>SUMIF(122:122,G42,123:123)-SUMIF(122:122,C42,123:123)+100</f>
        <v>101</v>
      </c>
      <c r="I42" s="2411" t="s">
        <v>2916</v>
      </c>
      <c r="J42" s="415">
        <f>SUMIF(122:122,I42,123:123)-SUMIF(122:122,C42,123:123)+100</f>
        <v>101</v>
      </c>
      <c r="K42" s="406">
        <v>1</v>
      </c>
      <c r="L42" s="1253"/>
      <c r="M42" s="1244"/>
      <c r="N42" s="1244"/>
      <c r="O42" s="1244"/>
      <c r="P42" s="3043"/>
      <c r="Q42" s="1899" t="str">
        <f t="shared" si="11"/>
        <v>内部装修</v>
      </c>
      <c r="R42" s="753" t="s">
        <v>28</v>
      </c>
      <c r="S42" s="754">
        <f t="shared" si="12"/>
        <v>101</v>
      </c>
      <c r="T42" s="753" t="s">
        <v>28</v>
      </c>
      <c r="U42" s="754">
        <f t="shared" si="13"/>
        <v>101</v>
      </c>
      <c r="V42" s="753" t="s">
        <v>28</v>
      </c>
      <c r="W42" s="754">
        <f t="shared" si="14"/>
        <v>101</v>
      </c>
      <c r="X42" s="1900"/>
      <c r="Y42" s="3045"/>
      <c r="Z42" s="1902" t="str">
        <f t="shared" si="15"/>
        <v>内部装修</v>
      </c>
      <c r="AA42" s="1903">
        <f t="shared" si="3"/>
        <v>0.99009900990099009</v>
      </c>
      <c r="AB42" s="1903">
        <f t="shared" si="4"/>
        <v>0.99009900990099009</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3"/>
      <c r="Q43" s="1899" t="str">
        <f t="shared" si="11"/>
        <v>内部装修维护情况</v>
      </c>
      <c r="R43" s="753" t="s">
        <v>28</v>
      </c>
      <c r="S43" s="754">
        <f t="shared" si="12"/>
        <v>100</v>
      </c>
      <c r="T43" s="753" t="s">
        <v>28</v>
      </c>
      <c r="U43" s="754">
        <f t="shared" si="13"/>
        <v>100</v>
      </c>
      <c r="V43" s="753" t="s">
        <v>28</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43"/>
      <c r="Q44" s="1887" t="str">
        <f t="shared" si="11"/>
        <v>建成年代</v>
      </c>
      <c r="R44" s="749" t="s">
        <v>28</v>
      </c>
      <c r="S44" s="750">
        <f t="shared" si="12"/>
        <v>100</v>
      </c>
      <c r="T44" s="749" t="s">
        <v>28</v>
      </c>
      <c r="U44" s="750">
        <f t="shared" si="13"/>
        <v>100</v>
      </c>
      <c r="V44" s="749" t="s">
        <v>28</v>
      </c>
      <c r="W44" s="750">
        <f t="shared" si="14"/>
        <v>99</v>
      </c>
      <c r="X44" s="751"/>
      <c r="Y44" s="3045"/>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43"/>
      <c r="Q45" s="1899" t="str">
        <f t="shared" si="11"/>
        <v>是否带花园</v>
      </c>
      <c r="R45" s="753" t="s">
        <v>28</v>
      </c>
      <c r="S45" s="754">
        <f t="shared" si="12"/>
        <v>95</v>
      </c>
      <c r="T45" s="753" t="s">
        <v>28</v>
      </c>
      <c r="U45" s="754">
        <f t="shared" si="13"/>
        <v>95</v>
      </c>
      <c r="V45" s="753" t="s">
        <v>28</v>
      </c>
      <c r="W45" s="754">
        <f t="shared" si="14"/>
        <v>95</v>
      </c>
      <c r="X45" s="1900"/>
      <c r="Y45" s="3045"/>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44"/>
      <c r="Q46" s="1899" t="str">
        <f t="shared" si="11"/>
        <v>赠送地下室</v>
      </c>
      <c r="R46" s="753" t="s">
        <v>27</v>
      </c>
      <c r="S46" s="754">
        <f t="shared" si="12"/>
        <v>90</v>
      </c>
      <c r="T46" s="753" t="s">
        <v>27</v>
      </c>
      <c r="U46" s="754">
        <f t="shared" si="13"/>
        <v>90</v>
      </c>
      <c r="V46" s="753" t="s">
        <v>27</v>
      </c>
      <c r="W46" s="754">
        <f t="shared" si="14"/>
        <v>90</v>
      </c>
      <c r="X46" s="1900"/>
      <c r="Y46" s="3046"/>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51" t="str">
        <f>A47</f>
        <v>成交单价（元/平方米）</v>
      </c>
      <c r="Q47" s="3051"/>
      <c r="R47" s="3052">
        <f>E47</f>
        <v>41491</v>
      </c>
      <c r="S47" s="3052"/>
      <c r="T47" s="3052">
        <f>G47</f>
        <v>42525</v>
      </c>
      <c r="U47" s="3052"/>
      <c r="V47" s="3052">
        <f>I47</f>
        <v>43619</v>
      </c>
      <c r="W47" s="3052"/>
      <c r="X47" s="738"/>
      <c r="Y47" s="760"/>
      <c r="Z47" s="738"/>
      <c r="AA47" s="738"/>
      <c r="AB47" s="738"/>
      <c r="AC47" s="738"/>
    </row>
    <row r="48" spans="1:29" ht="15.75" thickBot="1">
      <c r="A48" s="467" t="s">
        <v>2385</v>
      </c>
      <c r="B48" s="468"/>
      <c r="C48" s="1508">
        <f>R49</f>
        <v>48815</v>
      </c>
      <c r="D48" s="1509"/>
      <c r="E48" s="1510">
        <f>R48</f>
        <v>47624</v>
      </c>
      <c r="F48" s="1510"/>
      <c r="G48" s="1508">
        <f>T48</f>
        <v>48046</v>
      </c>
      <c r="H48" s="1509"/>
      <c r="I48" s="1510">
        <f>V48</f>
        <v>50775</v>
      </c>
      <c r="J48" s="1509"/>
      <c r="K48" s="2419"/>
      <c r="L48" s="1256"/>
      <c r="M48" s="1257"/>
      <c r="N48" s="1257"/>
      <c r="O48" s="1257"/>
      <c r="P48" s="3051" t="str">
        <f>A48</f>
        <v>比较价值（元/平方米）</v>
      </c>
      <c r="Q48" s="3051"/>
      <c r="R48" s="3052">
        <f>IF(E1="售价",ROUND(PRODUCT(R47,AA7:AA46),0),ROUND(PRODUCT(R47,AA7:AA46),1))</f>
        <v>47624</v>
      </c>
      <c r="S48" s="3052"/>
      <c r="T48" s="3055">
        <f>IF(E1="售价",ROUND(PRODUCT(T47,AB7:AB46),0),ROUND(PRODUCT(T47,AB7:AB46),1))</f>
        <v>48046</v>
      </c>
      <c r="U48" s="3056"/>
      <c r="V48" s="3052">
        <f>IF(E1="售价",ROUND(PRODUCT(V47,AC7:AC46),0),ROUND(PRODUCT(V47,AC7:AC46),1))</f>
        <v>50775</v>
      </c>
      <c r="W48" s="3052"/>
      <c r="X48" s="738"/>
      <c r="Y48" s="738"/>
      <c r="Z48" s="738"/>
      <c r="AA48" s="738"/>
      <c r="AB48" s="738"/>
      <c r="AC48" s="738"/>
    </row>
    <row r="49" spans="1:29" ht="15.75" thickBot="1">
      <c r="A49" s="473" t="s">
        <v>2386</v>
      </c>
      <c r="B49" s="474"/>
      <c r="C49" s="1511">
        <f>R49</f>
        <v>48815</v>
      </c>
      <c r="D49" s="1512"/>
      <c r="E49" s="1512"/>
      <c r="F49" s="1512"/>
      <c r="G49" s="1512"/>
      <c r="H49" s="1512"/>
      <c r="I49" s="1512"/>
      <c r="J49" s="1512"/>
      <c r="K49" s="2420"/>
      <c r="L49" s="1256"/>
      <c r="M49" s="1257"/>
      <c r="N49" s="1257"/>
      <c r="O49" s="1257"/>
      <c r="P49" s="3057" t="str">
        <f>A49</f>
        <v>估价对象XX用房的比较价值（楼面单价，元/平方米）</v>
      </c>
      <c r="Q49" s="3058"/>
      <c r="R49" s="3059">
        <f>IF(E1="售价",ROUND(AVERAGE(R48:V48),0),ROUND(AVERAGE(R48:V48),1))</f>
        <v>48815</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0.1478151888361332</v>
      </c>
      <c r="F52" s="481" t="str">
        <f>IF(OR(E52&gt;=0.3,E52&lt;=-0.3),"超过30%","")</f>
        <v/>
      </c>
      <c r="G52" s="480">
        <f>IF(G47&lt;G48,G48/G47-1,G47/G48-1)</f>
        <v>0.12982951205173432</v>
      </c>
      <c r="H52" s="481" t="str">
        <f>IF(OR(G52&gt;=0.3,G52&lt;=-0.3),"超过30%","")</f>
        <v/>
      </c>
      <c r="I52" s="480">
        <f>IF(I47&lt;I48,I48/I47-1,I47/I48-1)</f>
        <v>0.16405694766042322</v>
      </c>
      <c r="J52" s="481" t="str">
        <f>IF(OR(I52&gt;=0.3,I52&lt;=-0.3),"超过30%","")</f>
        <v/>
      </c>
      <c r="K52" s="1262"/>
      <c r="L52" s="1258"/>
      <c r="M52" s="1257"/>
      <c r="N52" s="1257"/>
      <c r="O52" s="1257"/>
    </row>
    <row r="53" spans="1:29" ht="13.5" customHeight="1">
      <c r="A53" s="1257"/>
      <c r="B53" s="1257"/>
      <c r="C53" s="478" t="s">
        <v>2388</v>
      </c>
      <c r="D53" s="482"/>
      <c r="E53" s="480">
        <f>IF(E48&lt;G48,G48/E48-1,E48/G48-1)</f>
        <v>8.8610784478413418E-3</v>
      </c>
      <c r="F53" s="481" t="str">
        <f>IF(OR(E53&gt;=0.2,E53&lt;=-0.2),"超过20%","")</f>
        <v/>
      </c>
      <c r="G53" s="480">
        <f>IF(G48&lt;I48,I48/G48-1,G48/I48-1)</f>
        <v>5.6799733588644319E-2</v>
      </c>
      <c r="H53" s="481" t="str">
        <f>IF(OR(G53&gt;=0.2,G53&lt;=-0.2),"超过20%","")</f>
        <v/>
      </c>
      <c r="I53" s="480">
        <f>IF(I48&lt;E48,E48/I48-1,I48/E48-1)</f>
        <v>6.61641189316311E-2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103</v>
      </c>
      <c r="E93" s="544">
        <v>101.5</v>
      </c>
      <c r="F93" s="518">
        <v>101.5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31"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31"/>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31"/>
      <c r="AC6" s="301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0"/>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0"/>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0"/>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0"/>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3" t="s">
        <v>2366</v>
      </c>
      <c r="Q15" s="1899" t="str">
        <f t="shared" si="6"/>
        <v>商业繁华度</v>
      </c>
      <c r="R15" s="753" t="s">
        <v>25</v>
      </c>
      <c r="S15" s="754">
        <f t="shared" si="0"/>
        <v>100</v>
      </c>
      <c r="T15" s="753" t="s">
        <v>25</v>
      </c>
      <c r="U15" s="754">
        <f t="shared" si="1"/>
        <v>100</v>
      </c>
      <c r="V15" s="753" t="s">
        <v>25</v>
      </c>
      <c r="W15" s="754">
        <f t="shared" si="2"/>
        <v>100</v>
      </c>
      <c r="X15" s="1900"/>
      <c r="Y15" s="304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4"/>
      <c r="Q16" s="1899"/>
      <c r="R16" s="753"/>
      <c r="S16" s="754"/>
      <c r="T16" s="753"/>
      <c r="U16" s="754"/>
      <c r="V16" s="753"/>
      <c r="W16" s="754"/>
      <c r="X16" s="1900"/>
      <c r="Y16" s="3041"/>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4"/>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4"/>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4"/>
      <c r="Q20" s="1899"/>
      <c r="R20" s="753"/>
      <c r="S20" s="754"/>
      <c r="T20" s="753"/>
      <c r="U20" s="754"/>
      <c r="V20" s="753"/>
      <c r="W20" s="754"/>
      <c r="X20" s="1900"/>
      <c r="Y20" s="3041"/>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4"/>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4"/>
      <c r="Q22" s="1899"/>
      <c r="R22" s="753"/>
      <c r="S22" s="754"/>
      <c r="T22" s="753"/>
      <c r="U22" s="754"/>
      <c r="V22" s="753"/>
      <c r="W22" s="754"/>
      <c r="X22" s="1900"/>
      <c r="Y22" s="3041"/>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4"/>
      <c r="Q23" s="1899" t="str">
        <f>B23</f>
        <v>自然及人文环境</v>
      </c>
      <c r="R23" s="753" t="s">
        <v>25</v>
      </c>
      <c r="S23" s="754">
        <f>F23</f>
        <v>100</v>
      </c>
      <c r="T23" s="753" t="s">
        <v>25</v>
      </c>
      <c r="U23" s="754">
        <f>H23</f>
        <v>100</v>
      </c>
      <c r="V23" s="753" t="s">
        <v>25</v>
      </c>
      <c r="W23" s="754">
        <f>J23</f>
        <v>100</v>
      </c>
      <c r="X23" s="1900"/>
      <c r="Y23" s="3041"/>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4"/>
      <c r="Q24" s="1899"/>
      <c r="R24" s="753"/>
      <c r="S24" s="754"/>
      <c r="T24" s="753"/>
      <c r="U24" s="754"/>
      <c r="V24" s="753"/>
      <c r="W24" s="754"/>
      <c r="X24" s="1900"/>
      <c r="Y24" s="304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4"/>
      <c r="Q25" s="1899" t="str">
        <f t="shared" ref="Q25:Q46" si="11">B25</f>
        <v>临街状况</v>
      </c>
      <c r="R25" s="753" t="s">
        <v>25</v>
      </c>
      <c r="S25" s="754">
        <f>F25</f>
        <v>100</v>
      </c>
      <c r="T25" s="753" t="s">
        <v>25</v>
      </c>
      <c r="U25" s="754">
        <f>H25</f>
        <v>100</v>
      </c>
      <c r="V25" s="753" t="s">
        <v>25</v>
      </c>
      <c r="W25" s="754">
        <f>J25</f>
        <v>100</v>
      </c>
      <c r="X25" s="1900"/>
      <c r="Y25" s="3041"/>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4"/>
      <c r="Q26" s="1899" t="str">
        <f t="shared" si="11"/>
        <v>平面位置/可视性</v>
      </c>
      <c r="R26" s="753" t="s">
        <v>25</v>
      </c>
      <c r="S26" s="754">
        <f>F26</f>
        <v>100</v>
      </c>
      <c r="T26" s="753" t="s">
        <v>25</v>
      </c>
      <c r="U26" s="754">
        <f>H26</f>
        <v>100</v>
      </c>
      <c r="V26" s="753" t="s">
        <v>25</v>
      </c>
      <c r="W26" s="754">
        <f>J26</f>
        <v>100</v>
      </c>
      <c r="X26" s="1900"/>
      <c r="Y26" s="3041"/>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4"/>
      <c r="Q27" s="1887" t="str">
        <f t="shared" si="11"/>
        <v>人流量</v>
      </c>
      <c r="R27" s="749" t="s">
        <v>25</v>
      </c>
      <c r="S27" s="750">
        <f>F27</f>
        <v>100</v>
      </c>
      <c r="T27" s="749" t="s">
        <v>25</v>
      </c>
      <c r="U27" s="750">
        <f>H27</f>
        <v>100</v>
      </c>
      <c r="V27" s="749" t="s">
        <v>25</v>
      </c>
      <c r="W27" s="750">
        <f>J27</f>
        <v>100</v>
      </c>
      <c r="X27" s="751"/>
      <c r="Y27" s="304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1"/>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4"/>
      <c r="Q29" s="1899">
        <f t="shared" si="11"/>
        <v>111</v>
      </c>
      <c r="R29" s="753" t="s">
        <v>25</v>
      </c>
      <c r="S29" s="754">
        <f t="shared" si="12"/>
        <v>100</v>
      </c>
      <c r="T29" s="753" t="s">
        <v>25</v>
      </c>
      <c r="U29" s="754">
        <f t="shared" si="13"/>
        <v>100</v>
      </c>
      <c r="V29" s="753" t="s">
        <v>25</v>
      </c>
      <c r="W29" s="754">
        <f t="shared" si="14"/>
        <v>100</v>
      </c>
      <c r="X29" s="1900"/>
      <c r="Y29" s="3041"/>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4"/>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4"/>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2" t="s">
        <v>2372</v>
      </c>
      <c r="Q32" s="1899" t="str">
        <f t="shared" si="11"/>
        <v>商业类型</v>
      </c>
      <c r="R32" s="753" t="s">
        <v>25</v>
      </c>
      <c r="S32" s="754">
        <f t="shared" si="12"/>
        <v>100</v>
      </c>
      <c r="T32" s="753" t="s">
        <v>25</v>
      </c>
      <c r="U32" s="754">
        <f t="shared" si="13"/>
        <v>100</v>
      </c>
      <c r="V32" s="753" t="s">
        <v>25</v>
      </c>
      <c r="W32" s="754">
        <f t="shared" si="14"/>
        <v>100</v>
      </c>
      <c r="X32" s="1900"/>
      <c r="Y32" s="304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3"/>
      <c r="Q34" s="1899" t="str">
        <f t="shared" si="11"/>
        <v>建筑结构</v>
      </c>
      <c r="R34" s="753" t="s">
        <v>25</v>
      </c>
      <c r="S34" s="754">
        <f t="shared" si="12"/>
        <v>100</v>
      </c>
      <c r="T34" s="753" t="s">
        <v>25</v>
      </c>
      <c r="U34" s="754">
        <f t="shared" si="13"/>
        <v>100</v>
      </c>
      <c r="V34" s="753" t="s">
        <v>25</v>
      </c>
      <c r="W34" s="754">
        <f t="shared" si="14"/>
        <v>100</v>
      </c>
      <c r="X34" s="1900"/>
      <c r="Y34" s="3045"/>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3"/>
      <c r="Q35" s="1899" t="str">
        <f t="shared" si="11"/>
        <v>公共部分装修</v>
      </c>
      <c r="R35" s="753" t="s">
        <v>25</v>
      </c>
      <c r="S35" s="754">
        <f t="shared" si="12"/>
        <v>100</v>
      </c>
      <c r="T35" s="753" t="s">
        <v>25</v>
      </c>
      <c r="U35" s="754">
        <f t="shared" si="13"/>
        <v>100</v>
      </c>
      <c r="V35" s="753" t="s">
        <v>25</v>
      </c>
      <c r="W35" s="754">
        <f t="shared" si="14"/>
        <v>100</v>
      </c>
      <c r="X35" s="1900"/>
      <c r="Y35" s="304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3"/>
      <c r="Q36" s="1899" t="str">
        <f t="shared" si="11"/>
        <v>成新度</v>
      </c>
      <c r="R36" s="753" t="s">
        <v>25</v>
      </c>
      <c r="S36" s="754" t="e">
        <f t="shared" si="12"/>
        <v>#N/A</v>
      </c>
      <c r="T36" s="753" t="s">
        <v>25</v>
      </c>
      <c r="U36" s="754" t="e">
        <f t="shared" si="13"/>
        <v>#N/A</v>
      </c>
      <c r="V36" s="753" t="s">
        <v>25</v>
      </c>
      <c r="W36" s="754" t="e">
        <f t="shared" si="14"/>
        <v>#N/A</v>
      </c>
      <c r="X36" s="1900"/>
      <c r="Y36" s="3045"/>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3"/>
      <c r="Q37" s="1887"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3" t="s">
        <v>2372</v>
      </c>
      <c r="Q38" s="1899" t="str">
        <f t="shared" si="11"/>
        <v>业态</v>
      </c>
      <c r="R38" s="753" t="s">
        <v>25</v>
      </c>
      <c r="S38" s="754">
        <f t="shared" si="12"/>
        <v>100</v>
      </c>
      <c r="T38" s="753" t="s">
        <v>25</v>
      </c>
      <c r="U38" s="754">
        <f t="shared" si="13"/>
        <v>100</v>
      </c>
      <c r="V38" s="753" t="s">
        <v>25</v>
      </c>
      <c r="W38" s="754">
        <f t="shared" si="14"/>
        <v>100</v>
      </c>
      <c r="X38" s="1900"/>
      <c r="Y38" s="3045"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3"/>
      <c r="Q39" s="1899" t="str">
        <f t="shared" si="11"/>
        <v>层高</v>
      </c>
      <c r="R39" s="753" t="s">
        <v>25</v>
      </c>
      <c r="S39" s="754">
        <f t="shared" si="12"/>
        <v>100</v>
      </c>
      <c r="T39" s="753" t="s">
        <v>25</v>
      </c>
      <c r="U39" s="754">
        <f t="shared" si="13"/>
        <v>100</v>
      </c>
      <c r="V39" s="753" t="s">
        <v>25</v>
      </c>
      <c r="W39" s="754">
        <f t="shared" si="14"/>
        <v>100</v>
      </c>
      <c r="X39" s="1900"/>
      <c r="Y39" s="304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3"/>
      <c r="Q40" s="1899" t="str">
        <f t="shared" si="11"/>
        <v>单套建筑面积</v>
      </c>
      <c r="R40" s="753" t="s">
        <v>25</v>
      </c>
      <c r="S40" s="754">
        <f t="shared" si="12"/>
        <v>100</v>
      </c>
      <c r="T40" s="753" t="s">
        <v>25</v>
      </c>
      <c r="U40" s="754">
        <f t="shared" si="13"/>
        <v>100</v>
      </c>
      <c r="V40" s="753" t="s">
        <v>25</v>
      </c>
      <c r="W40" s="754">
        <f t="shared" si="14"/>
        <v>100</v>
      </c>
      <c r="X40" s="1900"/>
      <c r="Y40" s="304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3"/>
      <c r="Q42" s="1899" t="str">
        <f t="shared" si="11"/>
        <v>内部装修</v>
      </c>
      <c r="R42" s="753" t="s">
        <v>25</v>
      </c>
      <c r="S42" s="754">
        <f t="shared" si="12"/>
        <v>100</v>
      </c>
      <c r="T42" s="753" t="s">
        <v>25</v>
      </c>
      <c r="U42" s="754">
        <f t="shared" si="13"/>
        <v>100</v>
      </c>
      <c r="V42" s="753" t="s">
        <v>25</v>
      </c>
      <c r="W42" s="754">
        <f t="shared" si="14"/>
        <v>100</v>
      </c>
      <c r="X42" s="1900"/>
      <c r="Y42" s="3045"/>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3"/>
      <c r="Q43" s="1899" t="str">
        <f t="shared" si="11"/>
        <v>内部装修维护情况</v>
      </c>
      <c r="R43" s="753" t="s">
        <v>25</v>
      </c>
      <c r="S43" s="754">
        <f t="shared" si="12"/>
        <v>100</v>
      </c>
      <c r="T43" s="753" t="s">
        <v>25</v>
      </c>
      <c r="U43" s="754">
        <f t="shared" si="13"/>
        <v>100</v>
      </c>
      <c r="V43" s="753" t="s">
        <v>25</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3"/>
      <c r="Q44" s="1887">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3"/>
      <c r="Q45" s="1899">
        <f t="shared" si="11"/>
        <v>111</v>
      </c>
      <c r="R45" s="753" t="s">
        <v>25</v>
      </c>
      <c r="S45" s="754">
        <f t="shared" si="12"/>
        <v>100</v>
      </c>
      <c r="T45" s="753" t="s">
        <v>25</v>
      </c>
      <c r="U45" s="754">
        <f t="shared" si="13"/>
        <v>100</v>
      </c>
      <c r="V45" s="753" t="s">
        <v>25</v>
      </c>
      <c r="W45" s="754">
        <f t="shared" si="14"/>
        <v>100</v>
      </c>
      <c r="X45" s="1900"/>
      <c r="Y45" s="3045"/>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4"/>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64" t="s">
        <v>2347</v>
      </c>
      <c r="Q4" s="3020"/>
      <c r="R4" s="3025" t="s">
        <v>2343</v>
      </c>
      <c r="S4" s="3026"/>
      <c r="T4" s="3025" t="s">
        <v>2344</v>
      </c>
      <c r="U4" s="3026"/>
      <c r="V4" s="3031" t="s">
        <v>2345</v>
      </c>
      <c r="W4" s="3031"/>
      <c r="X4" s="1900"/>
      <c r="Y4" s="3025" t="s">
        <v>2347</v>
      </c>
      <c r="Z4" s="3026"/>
      <c r="AA4" s="3012" t="s">
        <v>2343</v>
      </c>
      <c r="AB4" s="3012"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65"/>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66"/>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9"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2358</v>
      </c>
      <c r="Q8" s="3048"/>
      <c r="R8" s="749" t="s">
        <v>25</v>
      </c>
      <c r="S8" s="750">
        <f t="shared" si="0"/>
        <v>0</v>
      </c>
      <c r="T8" s="749" t="s">
        <v>25</v>
      </c>
      <c r="U8" s="750">
        <f t="shared" si="1"/>
        <v>0</v>
      </c>
      <c r="V8" s="749" t="s">
        <v>25</v>
      </c>
      <c r="W8" s="750">
        <f t="shared" si="2"/>
        <v>0</v>
      </c>
      <c r="X8" s="751"/>
      <c r="Y8" s="3047" t="s">
        <v>2358</v>
      </c>
      <c r="Z8" s="304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8"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8"/>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8"/>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8"/>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8"/>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0" t="s">
        <v>2366</v>
      </c>
      <c r="Q15" s="1899" t="str">
        <f t="shared" si="6"/>
        <v>办公集聚程度</v>
      </c>
      <c r="R15" s="753" t="s">
        <v>25</v>
      </c>
      <c r="S15" s="754">
        <f t="shared" si="0"/>
        <v>100</v>
      </c>
      <c r="T15" s="753" t="s">
        <v>25</v>
      </c>
      <c r="U15" s="754">
        <f t="shared" si="1"/>
        <v>100</v>
      </c>
      <c r="V15" s="753" t="s">
        <v>25</v>
      </c>
      <c r="W15" s="754">
        <f t="shared" si="2"/>
        <v>100</v>
      </c>
      <c r="X15" s="1900"/>
      <c r="Y15" s="304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2"/>
      <c r="Q16" s="1899"/>
      <c r="R16" s="753"/>
      <c r="S16" s="754"/>
      <c r="T16" s="753"/>
      <c r="U16" s="754"/>
      <c r="V16" s="753"/>
      <c r="W16" s="754"/>
      <c r="X16" s="1900"/>
      <c r="Y16" s="3041"/>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2"/>
      <c r="Q18" s="1899"/>
      <c r="R18" s="753"/>
      <c r="S18" s="754"/>
      <c r="T18" s="753"/>
      <c r="U18" s="754"/>
      <c r="V18" s="753"/>
      <c r="W18" s="754"/>
      <c r="X18" s="1900"/>
      <c r="Y18" s="3041"/>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2"/>
      <c r="Q20" s="1899"/>
      <c r="R20" s="753"/>
      <c r="S20" s="754"/>
      <c r="T20" s="753"/>
      <c r="U20" s="754"/>
      <c r="V20" s="753"/>
      <c r="W20" s="754"/>
      <c r="X20" s="1900"/>
      <c r="Y20" s="3041"/>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2"/>
      <c r="Q22" s="1899"/>
      <c r="R22" s="753"/>
      <c r="S22" s="754"/>
      <c r="T22" s="753"/>
      <c r="U22" s="754"/>
      <c r="V22" s="753"/>
      <c r="W22" s="754"/>
      <c r="X22" s="1900"/>
      <c r="Y22" s="3041"/>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2"/>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2"/>
      <c r="Q24" s="1899"/>
      <c r="R24" s="753"/>
      <c r="S24" s="754"/>
      <c r="T24" s="753"/>
      <c r="U24" s="754"/>
      <c r="V24" s="753"/>
      <c r="W24" s="754"/>
      <c r="X24" s="1900"/>
      <c r="Y24" s="3041"/>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2"/>
      <c r="Q25" s="1899" t="str">
        <f>B25</f>
        <v>毗邻道路的类型与等级</v>
      </c>
      <c r="R25" s="753" t="s">
        <v>25</v>
      </c>
      <c r="S25" s="754">
        <f>F25</f>
        <v>100</v>
      </c>
      <c r="T25" s="753" t="s">
        <v>25</v>
      </c>
      <c r="U25" s="754">
        <f>H25</f>
        <v>100</v>
      </c>
      <c r="V25" s="753" t="s">
        <v>25</v>
      </c>
      <c r="W25" s="754">
        <f>J25</f>
        <v>100</v>
      </c>
      <c r="X25" s="1900"/>
      <c r="Y25" s="304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2"/>
      <c r="Q26" s="1899"/>
      <c r="R26" s="753"/>
      <c r="S26" s="754"/>
      <c r="T26" s="753"/>
      <c r="U26" s="754"/>
      <c r="V26" s="753"/>
      <c r="W26" s="754"/>
      <c r="X26" s="1900"/>
      <c r="Y26" s="304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2"/>
      <c r="Q27" s="1899" t="str">
        <f t="shared" ref="Q27:Q47" si="11">B27</f>
        <v>楼层</v>
      </c>
      <c r="R27" s="753" t="s">
        <v>25</v>
      </c>
      <c r="S27" s="754">
        <f>F27</f>
        <v>100</v>
      </c>
      <c r="T27" s="753" t="s">
        <v>25</v>
      </c>
      <c r="U27" s="754">
        <f>H27</f>
        <v>100</v>
      </c>
      <c r="V27" s="753" t="s">
        <v>25</v>
      </c>
      <c r="W27" s="754">
        <f>J27</f>
        <v>100</v>
      </c>
      <c r="X27" s="1900"/>
      <c r="Y27" s="3041"/>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2"/>
      <c r="Q28" s="1887" t="str">
        <f t="shared" si="11"/>
        <v>朝向</v>
      </c>
      <c r="R28" s="749" t="s">
        <v>25</v>
      </c>
      <c r="S28" s="750">
        <f>F28</f>
        <v>100</v>
      </c>
      <c r="T28" s="749" t="s">
        <v>25</v>
      </c>
      <c r="U28" s="750">
        <f>H28</f>
        <v>100</v>
      </c>
      <c r="V28" s="749" t="s">
        <v>25</v>
      </c>
      <c r="W28" s="750">
        <f>J28</f>
        <v>100</v>
      </c>
      <c r="X28" s="751"/>
      <c r="Y28" s="3041"/>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2"/>
      <c r="Q29" s="1899">
        <f t="shared" si="11"/>
        <v>111</v>
      </c>
      <c r="R29" s="753" t="s">
        <v>25</v>
      </c>
      <c r="S29" s="754">
        <f t="shared" ref="S29:S47" si="12">F29</f>
        <v>100</v>
      </c>
      <c r="T29" s="753" t="s">
        <v>25</v>
      </c>
      <c r="U29" s="754">
        <f t="shared" ref="U29:U47" si="13">H29</f>
        <v>100</v>
      </c>
      <c r="V29" s="753" t="s">
        <v>25</v>
      </c>
      <c r="W29" s="754">
        <f t="shared" ref="W29:W47" si="14">J29</f>
        <v>100</v>
      </c>
      <c r="X29" s="1900"/>
      <c r="Y29" s="3041"/>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2"/>
      <c r="Q32" s="1899">
        <f t="shared" si="11"/>
        <v>111</v>
      </c>
      <c r="R32" s="753" t="s">
        <v>25</v>
      </c>
      <c r="S32" s="754">
        <f t="shared" si="12"/>
        <v>100</v>
      </c>
      <c r="T32" s="753" t="s">
        <v>25</v>
      </c>
      <c r="U32" s="754">
        <f t="shared" si="13"/>
        <v>100</v>
      </c>
      <c r="V32" s="753" t="s">
        <v>25</v>
      </c>
      <c r="W32" s="754">
        <f t="shared" si="14"/>
        <v>100</v>
      </c>
      <c r="X32" s="1900"/>
      <c r="Y32" s="3041"/>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2372</v>
      </c>
      <c r="Q33" s="1899" t="str">
        <f t="shared" si="11"/>
        <v>建筑类型</v>
      </c>
      <c r="R33" s="753" t="s">
        <v>25</v>
      </c>
      <c r="S33" s="754">
        <f t="shared" si="12"/>
        <v>100</v>
      </c>
      <c r="T33" s="753" t="s">
        <v>25</v>
      </c>
      <c r="U33" s="754">
        <f t="shared" si="13"/>
        <v>100</v>
      </c>
      <c r="V33" s="753" t="s">
        <v>25</v>
      </c>
      <c r="W33" s="754">
        <f t="shared" si="14"/>
        <v>100</v>
      </c>
      <c r="X33" s="1900"/>
      <c r="Y33" s="3045"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5"/>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5"/>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5"/>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2372</v>
      </c>
      <c r="Q39" s="1899" t="str">
        <f t="shared" si="11"/>
        <v>物业管理</v>
      </c>
      <c r="R39" s="753" t="s">
        <v>25</v>
      </c>
      <c r="S39" s="754">
        <f t="shared" si="12"/>
        <v>100</v>
      </c>
      <c r="T39" s="753" t="s">
        <v>25</v>
      </c>
      <c r="U39" s="754">
        <f t="shared" si="13"/>
        <v>100</v>
      </c>
      <c r="V39" s="753" t="s">
        <v>25</v>
      </c>
      <c r="W39" s="754">
        <f t="shared" si="14"/>
        <v>100</v>
      </c>
      <c r="X39" s="1900"/>
      <c r="Y39" s="3045"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5"/>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5"/>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5"/>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6"/>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2358</v>
      </c>
      <c r="Q8" s="3048"/>
      <c r="R8" s="749" t="s">
        <v>25</v>
      </c>
      <c r="S8" s="750">
        <f t="shared" si="0"/>
        <v>100</v>
      </c>
      <c r="T8" s="749" t="s">
        <v>25</v>
      </c>
      <c r="U8" s="750">
        <f t="shared" si="1"/>
        <v>100</v>
      </c>
      <c r="V8" s="749" t="s">
        <v>25</v>
      </c>
      <c r="W8" s="750">
        <f t="shared" si="2"/>
        <v>100</v>
      </c>
      <c r="X8" s="751"/>
      <c r="Y8" s="3047" t="s">
        <v>2358</v>
      </c>
      <c r="Z8" s="304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1"/>
      <c r="Q18" s="1899"/>
      <c r="R18" s="753"/>
      <c r="S18" s="754"/>
      <c r="T18" s="753"/>
      <c r="U18" s="754"/>
      <c r="V18" s="753"/>
      <c r="W18" s="754"/>
      <c r="X18" s="1900"/>
      <c r="Y18" s="3041"/>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1"/>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1"/>
      <c r="Q20" s="1899"/>
      <c r="R20" s="753"/>
      <c r="S20" s="754"/>
      <c r="T20" s="753"/>
      <c r="U20" s="754"/>
      <c r="V20" s="753"/>
      <c r="W20" s="754"/>
      <c r="X20" s="1900"/>
      <c r="Y20" s="3041"/>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1"/>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1"/>
      <c r="Q22" s="1899"/>
      <c r="R22" s="753"/>
      <c r="S22" s="754"/>
      <c r="T22" s="753"/>
      <c r="U22" s="754"/>
      <c r="V22" s="753"/>
      <c r="W22" s="754"/>
      <c r="X22" s="1900"/>
      <c r="Y22" s="3041"/>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1"/>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1"/>
      <c r="Q24" s="1899"/>
      <c r="R24" s="753"/>
      <c r="S24" s="754"/>
      <c r="T24" s="753"/>
      <c r="U24" s="754"/>
      <c r="V24" s="753"/>
      <c r="W24" s="754"/>
      <c r="X24" s="1900"/>
      <c r="Y24" s="3041"/>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1"/>
      <c r="Q25" s="1899">
        <f>B25</f>
        <v>111</v>
      </c>
      <c r="R25" s="753" t="s">
        <v>25</v>
      </c>
      <c r="S25" s="754">
        <f>F25</f>
        <v>100</v>
      </c>
      <c r="T25" s="753" t="s">
        <v>25</v>
      </c>
      <c r="U25" s="754">
        <f>H25</f>
        <v>100</v>
      </c>
      <c r="V25" s="753" t="s">
        <v>25</v>
      </c>
      <c r="W25" s="754">
        <f>J25</f>
        <v>100</v>
      </c>
      <c r="X25" s="1900"/>
      <c r="Y25" s="3041"/>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1"/>
      <c r="Q26" s="1899">
        <f t="shared" ref="Q26:Q40" si="11">B26</f>
        <v>111</v>
      </c>
      <c r="R26" s="753" t="s">
        <v>25</v>
      </c>
      <c r="S26" s="754">
        <f>F26</f>
        <v>100</v>
      </c>
      <c r="T26" s="753" t="s">
        <v>25</v>
      </c>
      <c r="U26" s="754">
        <f>H26</f>
        <v>100</v>
      </c>
      <c r="V26" s="753" t="s">
        <v>25</v>
      </c>
      <c r="W26" s="754">
        <f>J26</f>
        <v>100</v>
      </c>
      <c r="X26" s="1900"/>
      <c r="Y26" s="3041"/>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1"/>
      <c r="Q27" s="1887">
        <f t="shared" si="11"/>
        <v>111</v>
      </c>
      <c r="R27" s="749" t="s">
        <v>25</v>
      </c>
      <c r="S27" s="750">
        <f>F27</f>
        <v>100</v>
      </c>
      <c r="T27" s="749" t="s">
        <v>25</v>
      </c>
      <c r="U27" s="750">
        <f>H27</f>
        <v>100</v>
      </c>
      <c r="V27" s="749" t="s">
        <v>25</v>
      </c>
      <c r="W27" s="750">
        <f>J27</f>
        <v>100</v>
      </c>
      <c r="X27" s="751"/>
      <c r="Y27" s="3041"/>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1"/>
      <c r="Q28" s="1899">
        <f t="shared" si="11"/>
        <v>111</v>
      </c>
      <c r="R28" s="753" t="s">
        <v>25</v>
      </c>
      <c r="S28" s="754">
        <f t="shared" ref="S28:S40" si="12">F28</f>
        <v>100</v>
      </c>
      <c r="T28" s="753" t="s">
        <v>25</v>
      </c>
      <c r="U28" s="754">
        <f t="shared" ref="U28:U40" si="13">H28</f>
        <v>100</v>
      </c>
      <c r="V28" s="753" t="s">
        <v>25</v>
      </c>
      <c r="W28" s="754">
        <f t="shared" ref="W28:W40" si="14">J28</f>
        <v>100</v>
      </c>
      <c r="X28" s="1900"/>
      <c r="Y28" s="3041"/>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4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5"/>
      <c r="Q31" s="1899" t="str">
        <f t="shared" si="11"/>
        <v>建筑结构</v>
      </c>
      <c r="R31" s="753" t="s">
        <v>25</v>
      </c>
      <c r="S31" s="754">
        <f t="shared" si="12"/>
        <v>100</v>
      </c>
      <c r="T31" s="753" t="s">
        <v>25</v>
      </c>
      <c r="U31" s="754">
        <f t="shared" si="13"/>
        <v>100</v>
      </c>
      <c r="V31" s="753" t="s">
        <v>25</v>
      </c>
      <c r="W31" s="754">
        <f t="shared" si="14"/>
        <v>100</v>
      </c>
      <c r="X31" s="1900"/>
      <c r="Y31" s="304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5"/>
      <c r="Q32" s="1899" t="str">
        <f t="shared" si="11"/>
        <v>公共部分装修</v>
      </c>
      <c r="R32" s="753" t="s">
        <v>25</v>
      </c>
      <c r="S32" s="754">
        <f t="shared" si="12"/>
        <v>100</v>
      </c>
      <c r="T32" s="753" t="s">
        <v>25</v>
      </c>
      <c r="U32" s="754">
        <f t="shared" si="13"/>
        <v>100</v>
      </c>
      <c r="V32" s="753" t="s">
        <v>25</v>
      </c>
      <c r="W32" s="754">
        <f t="shared" si="14"/>
        <v>100</v>
      </c>
      <c r="X32" s="1900"/>
      <c r="Y32" s="304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5"/>
      <c r="Q33" s="1899" t="str">
        <f t="shared" si="11"/>
        <v>成新度</v>
      </c>
      <c r="R33" s="753" t="s">
        <v>25</v>
      </c>
      <c r="S33" s="754" t="e">
        <f t="shared" si="12"/>
        <v>#N/A</v>
      </c>
      <c r="T33" s="753" t="s">
        <v>25</v>
      </c>
      <c r="U33" s="754" t="e">
        <f t="shared" si="13"/>
        <v>#N/A</v>
      </c>
      <c r="V33" s="753" t="s">
        <v>25</v>
      </c>
      <c r="W33" s="754" t="e">
        <f t="shared" si="14"/>
        <v>#N/A</v>
      </c>
      <c r="X33" s="1900"/>
      <c r="Y33" s="304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5"/>
      <c r="Q34" s="1887"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5" t="s">
        <v>2372</v>
      </c>
      <c r="Q35" s="1899" t="str">
        <f t="shared" si="11"/>
        <v>市政基础设施</v>
      </c>
      <c r="R35" s="753" t="s">
        <v>25</v>
      </c>
      <c r="S35" s="754">
        <f t="shared" si="12"/>
        <v>100</v>
      </c>
      <c r="T35" s="753" t="s">
        <v>25</v>
      </c>
      <c r="U35" s="754">
        <f t="shared" si="13"/>
        <v>100</v>
      </c>
      <c r="V35" s="753" t="s">
        <v>25</v>
      </c>
      <c r="W35" s="754">
        <f t="shared" si="14"/>
        <v>100</v>
      </c>
      <c r="X35" s="1900"/>
      <c r="Y35" s="304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5"/>
      <c r="Q36" s="1899" t="str">
        <f t="shared" si="11"/>
        <v>内部装修</v>
      </c>
      <c r="R36" s="753" t="s">
        <v>25</v>
      </c>
      <c r="S36" s="754">
        <f t="shared" si="12"/>
        <v>100</v>
      </c>
      <c r="T36" s="753" t="s">
        <v>25</v>
      </c>
      <c r="U36" s="754">
        <f t="shared" si="13"/>
        <v>100</v>
      </c>
      <c r="V36" s="753" t="s">
        <v>25</v>
      </c>
      <c r="W36" s="754">
        <f t="shared" si="14"/>
        <v>100</v>
      </c>
      <c r="X36" s="1900"/>
      <c r="Y36" s="304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5"/>
      <c r="Q37" s="1899" t="str">
        <f t="shared" si="11"/>
        <v>内部装修状况</v>
      </c>
      <c r="R37" s="753" t="s">
        <v>25</v>
      </c>
      <c r="S37" s="754">
        <f t="shared" si="12"/>
        <v>0</v>
      </c>
      <c r="T37" s="753" t="s">
        <v>25</v>
      </c>
      <c r="U37" s="754">
        <f t="shared" si="13"/>
        <v>0</v>
      </c>
      <c r="V37" s="753" t="s">
        <v>25</v>
      </c>
      <c r="W37" s="754">
        <f t="shared" si="14"/>
        <v>0</v>
      </c>
      <c r="X37" s="1900"/>
      <c r="Y37" s="3045"/>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5"/>
      <c r="Q39" s="1899">
        <f t="shared" si="11"/>
        <v>111</v>
      </c>
      <c r="R39" s="753" t="s">
        <v>25</v>
      </c>
      <c r="S39" s="754">
        <f t="shared" si="12"/>
        <v>100</v>
      </c>
      <c r="T39" s="753" t="s">
        <v>25</v>
      </c>
      <c r="U39" s="754">
        <f t="shared" si="13"/>
        <v>100</v>
      </c>
      <c r="V39" s="753" t="s">
        <v>25</v>
      </c>
      <c r="W39" s="754">
        <f t="shared" si="14"/>
        <v>100</v>
      </c>
      <c r="X39" s="1900"/>
      <c r="Y39" s="3045"/>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6"/>
      <c r="Q40" s="1899">
        <f t="shared" si="11"/>
        <v>111</v>
      </c>
      <c r="R40" s="753" t="s">
        <v>25</v>
      </c>
      <c r="S40" s="754">
        <f t="shared" si="12"/>
        <v>100</v>
      </c>
      <c r="T40" s="753" t="s">
        <v>25</v>
      </c>
      <c r="U40" s="754">
        <f t="shared" si="13"/>
        <v>100</v>
      </c>
      <c r="V40" s="753" t="s">
        <v>25</v>
      </c>
      <c r="W40" s="754">
        <f t="shared" si="14"/>
        <v>100</v>
      </c>
      <c r="X40" s="1900"/>
      <c r="Y40" s="3046"/>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514"/>
      <c r="M4" s="425"/>
      <c r="N4" s="425"/>
      <c r="O4" s="425"/>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514"/>
      <c r="M5" s="425"/>
      <c r="N5" s="425"/>
      <c r="O5" s="425"/>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514"/>
      <c r="M6" s="425"/>
      <c r="N6" s="425"/>
      <c r="O6" s="425"/>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2358</v>
      </c>
      <c r="Q8" s="3048"/>
      <c r="R8" s="749" t="s">
        <v>25</v>
      </c>
      <c r="S8" s="750">
        <f t="shared" si="0"/>
        <v>0</v>
      </c>
      <c r="T8" s="749" t="s">
        <v>25</v>
      </c>
      <c r="U8" s="750">
        <f t="shared" si="1"/>
        <v>0</v>
      </c>
      <c r="V8" s="749" t="s">
        <v>25</v>
      </c>
      <c r="W8" s="750">
        <f t="shared" si="2"/>
        <v>0</v>
      </c>
      <c r="X8" s="751"/>
      <c r="Y8" s="3047" t="s">
        <v>2358</v>
      </c>
      <c r="Z8" s="304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1"/>
      <c r="Q15" s="1899"/>
      <c r="R15" s="753"/>
      <c r="S15" s="754"/>
      <c r="T15" s="753"/>
      <c r="U15" s="754"/>
      <c r="V15" s="753"/>
      <c r="W15" s="754"/>
      <c r="X15" s="1900"/>
      <c r="Y15" s="3041"/>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1"/>
      <c r="Q17" s="1899"/>
      <c r="R17" s="753"/>
      <c r="S17" s="754"/>
      <c r="T17" s="753"/>
      <c r="U17" s="754"/>
      <c r="V17" s="753"/>
      <c r="W17" s="754"/>
      <c r="X17" s="1900"/>
      <c r="Y17" s="3041"/>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1"/>
      <c r="Q19" s="1899"/>
      <c r="R19" s="753"/>
      <c r="S19" s="754"/>
      <c r="T19" s="753"/>
      <c r="U19" s="754"/>
      <c r="V19" s="753"/>
      <c r="W19" s="754"/>
      <c r="X19" s="1900"/>
      <c r="Y19" s="3041"/>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1"/>
      <c r="Q21" s="1899"/>
      <c r="R21" s="753"/>
      <c r="S21" s="754"/>
      <c r="T21" s="753"/>
      <c r="U21" s="754"/>
      <c r="V21" s="753"/>
      <c r="W21" s="754"/>
      <c r="X21" s="1900"/>
      <c r="Y21" s="304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1"/>
      <c r="Q24" s="1899">
        <f t="shared" ref="Q24:Q36"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5"/>
      <c r="Q28" s="1899" t="str">
        <f t="shared" si="11"/>
        <v>公共部分装修</v>
      </c>
      <c r="R28" s="753" t="s">
        <v>25</v>
      </c>
      <c r="S28" s="754">
        <f t="shared" si="12"/>
        <v>100</v>
      </c>
      <c r="T28" s="753" t="s">
        <v>25</v>
      </c>
      <c r="U28" s="754">
        <f t="shared" si="13"/>
        <v>100</v>
      </c>
      <c r="V28" s="753" t="s">
        <v>25</v>
      </c>
      <c r="W28" s="754">
        <f t="shared" si="14"/>
        <v>100</v>
      </c>
      <c r="X28" s="1900"/>
      <c r="Y28" s="304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5"/>
      <c r="Q29" s="1899" t="str">
        <f t="shared" si="11"/>
        <v>成新率</v>
      </c>
      <c r="R29" s="753" t="s">
        <v>25</v>
      </c>
      <c r="S29" s="754" t="e">
        <f t="shared" si="12"/>
        <v>#N/A</v>
      </c>
      <c r="T29" s="753" t="s">
        <v>25</v>
      </c>
      <c r="U29" s="754" t="e">
        <f t="shared" si="13"/>
        <v>#N/A</v>
      </c>
      <c r="V29" s="753" t="s">
        <v>25</v>
      </c>
      <c r="W29" s="754" t="e">
        <f t="shared" si="14"/>
        <v>#N/A</v>
      </c>
      <c r="X29" s="1900"/>
      <c r="Y29" s="304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5"/>
      <c r="Q30" s="1899" t="str">
        <f t="shared" si="11"/>
        <v>物业等级</v>
      </c>
      <c r="R30" s="753" t="s">
        <v>25</v>
      </c>
      <c r="S30" s="754">
        <f t="shared" si="12"/>
        <v>100</v>
      </c>
      <c r="T30" s="753" t="s">
        <v>25</v>
      </c>
      <c r="U30" s="754">
        <f t="shared" si="13"/>
        <v>100</v>
      </c>
      <c r="V30" s="753" t="s">
        <v>25</v>
      </c>
      <c r="W30" s="754">
        <f t="shared" si="14"/>
        <v>100</v>
      </c>
      <c r="X30" s="1900"/>
      <c r="Y30" s="304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5"/>
      <c r="Q31" s="1887"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5" t="s">
        <v>2372</v>
      </c>
      <c r="Q32" s="1899" t="str">
        <f t="shared" si="11"/>
        <v>车位类型</v>
      </c>
      <c r="R32" s="753" t="s">
        <v>25</v>
      </c>
      <c r="S32" s="754">
        <f t="shared" si="12"/>
        <v>100</v>
      </c>
      <c r="T32" s="753" t="s">
        <v>25</v>
      </c>
      <c r="U32" s="754">
        <f t="shared" si="13"/>
        <v>100</v>
      </c>
      <c r="V32" s="753" t="s">
        <v>25</v>
      </c>
      <c r="W32" s="754">
        <f t="shared" si="14"/>
        <v>100</v>
      </c>
      <c r="X32" s="1900"/>
      <c r="Y32" s="304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5"/>
      <c r="Q33" s="1899" t="str">
        <f t="shared" si="11"/>
        <v>是否直接入户</v>
      </c>
      <c r="R33" s="753" t="s">
        <v>25</v>
      </c>
      <c r="S33" s="754">
        <f t="shared" si="12"/>
        <v>100</v>
      </c>
      <c r="T33" s="753" t="s">
        <v>25</v>
      </c>
      <c r="U33" s="754">
        <f t="shared" si="13"/>
        <v>100</v>
      </c>
      <c r="V33" s="753" t="s">
        <v>25</v>
      </c>
      <c r="W33" s="754">
        <f t="shared" si="14"/>
        <v>100</v>
      </c>
      <c r="X33" s="1900"/>
      <c r="Y33" s="304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5"/>
      <c r="Q36" s="1899">
        <f t="shared" si="11"/>
        <v>111</v>
      </c>
      <c r="R36" s="753" t="s">
        <v>25</v>
      </c>
      <c r="S36" s="754">
        <f t="shared" si="12"/>
        <v>100</v>
      </c>
      <c r="T36" s="753" t="s">
        <v>25</v>
      </c>
      <c r="U36" s="754">
        <f t="shared" si="13"/>
        <v>100</v>
      </c>
      <c r="V36" s="753" t="s">
        <v>25</v>
      </c>
      <c r="W36" s="754">
        <f t="shared" si="14"/>
        <v>100</v>
      </c>
      <c r="X36" s="1900"/>
      <c r="Y36" s="3045"/>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1"/>
      <c r="Q15" s="1899"/>
      <c r="R15" s="753"/>
      <c r="S15" s="754"/>
      <c r="T15" s="753"/>
      <c r="U15" s="754"/>
      <c r="V15" s="753"/>
      <c r="W15" s="754"/>
      <c r="X15" s="1900"/>
      <c r="Y15" s="3041"/>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1"/>
      <c r="Q17" s="1899"/>
      <c r="R17" s="753"/>
      <c r="S17" s="754"/>
      <c r="T17" s="753"/>
      <c r="U17" s="754"/>
      <c r="V17" s="753"/>
      <c r="W17" s="754"/>
      <c r="X17" s="1900"/>
      <c r="Y17" s="3041"/>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1"/>
      <c r="Q19" s="1899"/>
      <c r="R19" s="753"/>
      <c r="S19" s="754"/>
      <c r="T19" s="753"/>
      <c r="U19" s="754"/>
      <c r="V19" s="753"/>
      <c r="W19" s="754"/>
      <c r="X19" s="1900"/>
      <c r="Y19" s="3041"/>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1"/>
      <c r="Q21" s="1899"/>
      <c r="R21" s="753"/>
      <c r="S21" s="754"/>
      <c r="T21" s="753"/>
      <c r="U21" s="754"/>
      <c r="V21" s="753"/>
      <c r="W21" s="754"/>
      <c r="X21" s="1900"/>
      <c r="Y21" s="304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1"/>
      <c r="Q24" s="1899">
        <f t="shared" ref="Q24:Q34"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5"/>
      <c r="Q28" s="1899" t="str">
        <f t="shared" si="11"/>
        <v>物业等级</v>
      </c>
      <c r="R28" s="753" t="s">
        <v>25</v>
      </c>
      <c r="S28" s="754">
        <f t="shared" si="12"/>
        <v>100</v>
      </c>
      <c r="T28" s="753" t="s">
        <v>25</v>
      </c>
      <c r="U28" s="754">
        <f t="shared" si="13"/>
        <v>100</v>
      </c>
      <c r="V28" s="753" t="s">
        <v>25</v>
      </c>
      <c r="W28" s="754">
        <f t="shared" si="14"/>
        <v>100</v>
      </c>
      <c r="X28" s="1900"/>
      <c r="Y28" s="304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5"/>
      <c r="Q29" s="1899" t="str">
        <f t="shared" si="11"/>
        <v>有无电梯</v>
      </c>
      <c r="R29" s="753" t="s">
        <v>25</v>
      </c>
      <c r="S29" s="754">
        <f t="shared" si="12"/>
        <v>100</v>
      </c>
      <c r="T29" s="753" t="s">
        <v>25</v>
      </c>
      <c r="U29" s="754">
        <f t="shared" si="13"/>
        <v>100</v>
      </c>
      <c r="V29" s="753" t="s">
        <v>25</v>
      </c>
      <c r="W29" s="754">
        <f t="shared" si="14"/>
        <v>100</v>
      </c>
      <c r="X29" s="1900"/>
      <c r="Y29" s="304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5"/>
      <c r="Q30" s="1899" t="str">
        <f t="shared" si="11"/>
        <v>建筑面积</v>
      </c>
      <c r="R30" s="753" t="s">
        <v>25</v>
      </c>
      <c r="S30" s="754" t="e">
        <f t="shared" si="12"/>
        <v>#N/A</v>
      </c>
      <c r="T30" s="753" t="s">
        <v>25</v>
      </c>
      <c r="U30" s="754" t="e">
        <f t="shared" si="13"/>
        <v>#N/A</v>
      </c>
      <c r="V30" s="753" t="s">
        <v>25</v>
      </c>
      <c r="W30" s="754" t="e">
        <f t="shared" si="14"/>
        <v>#N/A</v>
      </c>
      <c r="X30" s="1900"/>
      <c r="Y30" s="304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5"/>
      <c r="Q31" s="1887"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5" t="s">
        <v>2372</v>
      </c>
      <c r="Q32" s="1899">
        <f t="shared" si="11"/>
        <v>111</v>
      </c>
      <c r="R32" s="753" t="s">
        <v>25</v>
      </c>
      <c r="S32" s="754">
        <f t="shared" si="12"/>
        <v>100</v>
      </c>
      <c r="T32" s="753" t="s">
        <v>25</v>
      </c>
      <c r="U32" s="754">
        <f t="shared" si="13"/>
        <v>100</v>
      </c>
      <c r="V32" s="753" t="s">
        <v>25</v>
      </c>
      <c r="W32" s="754">
        <f t="shared" si="14"/>
        <v>100</v>
      </c>
      <c r="X32" s="1900"/>
      <c r="Y32" s="3045"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5"/>
      <c r="Q33" s="1899">
        <f t="shared" si="11"/>
        <v>111</v>
      </c>
      <c r="R33" s="753" t="s">
        <v>25</v>
      </c>
      <c r="S33" s="754">
        <f t="shared" si="12"/>
        <v>100</v>
      </c>
      <c r="T33" s="753" t="s">
        <v>25</v>
      </c>
      <c r="U33" s="754">
        <f t="shared" si="13"/>
        <v>100</v>
      </c>
      <c r="V33" s="753" t="s">
        <v>25</v>
      </c>
      <c r="W33" s="754">
        <f t="shared" si="14"/>
        <v>100</v>
      </c>
      <c r="X33" s="1900"/>
      <c r="Y33" s="3045"/>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30"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30"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0" t="s">
        <v>2366</v>
      </c>
      <c r="Q15" s="1899" t="str">
        <f t="shared" si="6"/>
        <v>居住社区成熟度</v>
      </c>
      <c r="R15" s="753" t="s">
        <v>25</v>
      </c>
      <c r="S15" s="754">
        <f t="shared" si="0"/>
        <v>100</v>
      </c>
      <c r="T15" s="753" t="s">
        <v>25</v>
      </c>
      <c r="U15" s="754">
        <f t="shared" si="1"/>
        <v>100</v>
      </c>
      <c r="V15" s="753" t="s">
        <v>25</v>
      </c>
      <c r="W15" s="754">
        <f t="shared" si="2"/>
        <v>100</v>
      </c>
      <c r="X15" s="1900"/>
      <c r="Y15" s="304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1"/>
      <c r="Q17" s="1899" t="str">
        <f>B17</f>
        <v>商业繁华度</v>
      </c>
      <c r="R17" s="753" t="s">
        <v>25</v>
      </c>
      <c r="S17" s="754">
        <f>F17</f>
        <v>100</v>
      </c>
      <c r="T17" s="753" t="s">
        <v>25</v>
      </c>
      <c r="U17" s="754">
        <f>H17</f>
        <v>100</v>
      </c>
      <c r="V17" s="753" t="s">
        <v>25</v>
      </c>
      <c r="W17" s="754">
        <f>J17</f>
        <v>100</v>
      </c>
      <c r="X17" s="1900"/>
      <c r="Y17" s="3041"/>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1"/>
      <c r="Q19" s="1899" t="str">
        <f>B19</f>
        <v>办公集聚程度</v>
      </c>
      <c r="R19" s="753" t="s">
        <v>25</v>
      </c>
      <c r="S19" s="754">
        <f>F19</f>
        <v>100</v>
      </c>
      <c r="T19" s="753" t="s">
        <v>25</v>
      </c>
      <c r="U19" s="754">
        <f>H19</f>
        <v>100</v>
      </c>
      <c r="V19" s="753" t="s">
        <v>25</v>
      </c>
      <c r="W19" s="754">
        <f>J19</f>
        <v>100</v>
      </c>
      <c r="X19" s="1900"/>
      <c r="Y19" s="304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1"/>
      <c r="Q20" s="1899"/>
      <c r="R20" s="753"/>
      <c r="S20" s="754"/>
      <c r="T20" s="753"/>
      <c r="U20" s="754"/>
      <c r="V20" s="753"/>
      <c r="W20" s="754"/>
      <c r="X20" s="1900"/>
      <c r="Y20" s="3041"/>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1"/>
      <c r="Q21" s="1899" t="str">
        <f>B21</f>
        <v>交通便捷度</v>
      </c>
      <c r="R21" s="753" t="s">
        <v>25</v>
      </c>
      <c r="S21" s="754">
        <f>F21</f>
        <v>100</v>
      </c>
      <c r="T21" s="753" t="s">
        <v>25</v>
      </c>
      <c r="U21" s="754">
        <f>H21</f>
        <v>100</v>
      </c>
      <c r="V21" s="753" t="s">
        <v>25</v>
      </c>
      <c r="W21" s="754">
        <f>J21</f>
        <v>100</v>
      </c>
      <c r="X21" s="1900"/>
      <c r="Y21" s="304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1"/>
      <c r="Q23" s="1899" t="str">
        <f t="shared" ref="Q23:Q37" si="8">B23</f>
        <v>区域土地利用方向</v>
      </c>
      <c r="R23" s="753" t="s">
        <v>25</v>
      </c>
      <c r="S23" s="754">
        <f>F23</f>
        <v>100</v>
      </c>
      <c r="T23" s="753" t="s">
        <v>25</v>
      </c>
      <c r="U23" s="754">
        <f>H23</f>
        <v>100</v>
      </c>
      <c r="V23" s="753" t="s">
        <v>25</v>
      </c>
      <c r="W23" s="754">
        <f>J23</f>
        <v>100</v>
      </c>
      <c r="X23" s="1900"/>
      <c r="Y23" s="3041"/>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1"/>
      <c r="Q24" s="1899"/>
      <c r="R24" s="753"/>
      <c r="S24" s="754"/>
      <c r="T24" s="753"/>
      <c r="U24" s="754"/>
      <c r="V24" s="753"/>
      <c r="W24" s="754"/>
      <c r="X24" s="1900"/>
      <c r="Y24" s="3041"/>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1"/>
      <c r="Q25" s="1899" t="str">
        <f t="shared" si="8"/>
        <v>自然及人文环境状况</v>
      </c>
      <c r="R25" s="753" t="s">
        <v>25</v>
      </c>
      <c r="S25" s="754">
        <f>F25</f>
        <v>100</v>
      </c>
      <c r="T25" s="753" t="s">
        <v>25</v>
      </c>
      <c r="U25" s="754">
        <f>H25</f>
        <v>100</v>
      </c>
      <c r="V25" s="753" t="s">
        <v>25</v>
      </c>
      <c r="W25" s="754">
        <f>J25</f>
        <v>100</v>
      </c>
      <c r="X25" s="1900"/>
      <c r="Y25" s="304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1"/>
      <c r="Q26" s="1899"/>
      <c r="R26" s="753"/>
      <c r="S26" s="754"/>
      <c r="T26" s="753"/>
      <c r="U26" s="754"/>
      <c r="V26" s="753"/>
      <c r="W26" s="754"/>
      <c r="X26" s="1900"/>
      <c r="Y26" s="3041"/>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1"/>
      <c r="Q27" s="1887" t="str">
        <f t="shared" ref="Q27" si="9">B27</f>
        <v>公共配套设施</v>
      </c>
      <c r="R27" s="749" t="s">
        <v>25</v>
      </c>
      <c r="S27" s="750">
        <f>F27</f>
        <v>100</v>
      </c>
      <c r="T27" s="749" t="s">
        <v>25</v>
      </c>
      <c r="U27" s="750">
        <f>H27</f>
        <v>100</v>
      </c>
      <c r="V27" s="749" t="s">
        <v>25</v>
      </c>
      <c r="W27" s="750">
        <f>J27</f>
        <v>100</v>
      </c>
      <c r="X27" s="1900"/>
      <c r="Y27" s="3041"/>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1"/>
      <c r="Q28" s="1899"/>
      <c r="R28" s="753"/>
      <c r="S28" s="754"/>
      <c r="T28" s="753"/>
      <c r="U28" s="754"/>
      <c r="V28" s="753"/>
      <c r="W28" s="754"/>
      <c r="X28" s="1900"/>
      <c r="Y28" s="3041"/>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1"/>
      <c r="Q29" s="1887" t="str">
        <f t="shared" si="8"/>
        <v>基础设施水平</v>
      </c>
      <c r="R29" s="749" t="s">
        <v>25</v>
      </c>
      <c r="S29" s="750">
        <f>F29</f>
        <v>100</v>
      </c>
      <c r="T29" s="749" t="s">
        <v>25</v>
      </c>
      <c r="U29" s="750">
        <f>H29</f>
        <v>100</v>
      </c>
      <c r="V29" s="749" t="s">
        <v>25</v>
      </c>
      <c r="W29" s="750">
        <f>J29</f>
        <v>100</v>
      </c>
      <c r="X29" s="751"/>
      <c r="Y29" s="3041"/>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1"/>
      <c r="Q30" s="1887"/>
      <c r="R30" s="749"/>
      <c r="S30" s="750"/>
      <c r="T30" s="749"/>
      <c r="U30" s="750"/>
      <c r="V30" s="749"/>
      <c r="W30" s="750"/>
      <c r="X30" s="751"/>
      <c r="Y30" s="304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1"/>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1"/>
      <c r="Q32" s="1899" t="str">
        <f t="shared" si="8"/>
        <v>毗邻道路的类型与等级</v>
      </c>
      <c r="R32" s="753" t="s">
        <v>25</v>
      </c>
      <c r="S32" s="754">
        <f t="shared" si="10"/>
        <v>100</v>
      </c>
      <c r="T32" s="753" t="s">
        <v>25</v>
      </c>
      <c r="U32" s="754">
        <f t="shared" si="11"/>
        <v>100</v>
      </c>
      <c r="V32" s="753" t="s">
        <v>25</v>
      </c>
      <c r="W32" s="754">
        <f t="shared" si="12"/>
        <v>100</v>
      </c>
      <c r="X32" s="1900"/>
      <c r="Y32" s="304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1"/>
      <c r="Q33" s="1899"/>
      <c r="R33" s="753"/>
      <c r="S33" s="754"/>
      <c r="T33" s="753"/>
      <c r="U33" s="754"/>
      <c r="V33" s="753"/>
      <c r="W33" s="754"/>
      <c r="X33" s="1900"/>
      <c r="Y33" s="304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1"/>
      <c r="Q34" s="1899" t="str">
        <f t="shared" si="8"/>
        <v>土地级别</v>
      </c>
      <c r="R34" s="753" t="s">
        <v>25</v>
      </c>
      <c r="S34" s="754">
        <f t="shared" si="10"/>
        <v>100</v>
      </c>
      <c r="T34" s="753" t="s">
        <v>25</v>
      </c>
      <c r="U34" s="754">
        <f t="shared" si="11"/>
        <v>100</v>
      </c>
      <c r="V34" s="753" t="s">
        <v>25</v>
      </c>
      <c r="W34" s="754">
        <f t="shared" si="12"/>
        <v>100</v>
      </c>
      <c r="X34" s="1900"/>
      <c r="Y34" s="304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1"/>
      <c r="Q35" s="1899">
        <f t="shared" si="8"/>
        <v>111</v>
      </c>
      <c r="R35" s="753" t="s">
        <v>25</v>
      </c>
      <c r="S35" s="754">
        <f t="shared" si="10"/>
        <v>100</v>
      </c>
      <c r="T35" s="753" t="s">
        <v>25</v>
      </c>
      <c r="U35" s="754">
        <f t="shared" si="11"/>
        <v>100</v>
      </c>
      <c r="V35" s="753" t="s">
        <v>25</v>
      </c>
      <c r="W35" s="754">
        <f t="shared" si="12"/>
        <v>100</v>
      </c>
      <c r="X35" s="1900"/>
      <c r="Y35" s="304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45"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5"/>
      <c r="Q37" s="1899">
        <f t="shared" si="8"/>
        <v>111</v>
      </c>
      <c r="R37" s="756" t="s">
        <v>25</v>
      </c>
      <c r="S37" s="757">
        <f t="shared" si="10"/>
        <v>100</v>
      </c>
      <c r="T37" s="756" t="s">
        <v>25</v>
      </c>
      <c r="U37" s="757">
        <f t="shared" si="11"/>
        <v>100</v>
      </c>
      <c r="V37" s="756" t="s">
        <v>25</v>
      </c>
      <c r="W37" s="757">
        <f t="shared" si="12"/>
        <v>100</v>
      </c>
      <c r="X37" s="758"/>
      <c r="Y37" s="304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5"/>
      <c r="Q38" s="1899" t="str">
        <f>B38</f>
        <v>宗地面积</v>
      </c>
      <c r="R38" s="753" t="s">
        <v>25</v>
      </c>
      <c r="S38" s="754" t="e">
        <f t="shared" si="10"/>
        <v>#N/A</v>
      </c>
      <c r="T38" s="753" t="s">
        <v>25</v>
      </c>
      <c r="U38" s="754" t="e">
        <f t="shared" si="11"/>
        <v>#N/A</v>
      </c>
      <c r="V38" s="753" t="s">
        <v>25</v>
      </c>
      <c r="W38" s="754" t="e">
        <f t="shared" si="12"/>
        <v>#N/A</v>
      </c>
      <c r="X38" s="1900"/>
      <c r="Y38" s="3045"/>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5"/>
      <c r="Q39" s="1899" t="str">
        <f t="shared" ref="Q39:Q45" si="14">B39</f>
        <v>宗地形状</v>
      </c>
      <c r="R39" s="753" t="s">
        <v>25</v>
      </c>
      <c r="S39" s="754">
        <f t="shared" si="10"/>
        <v>100</v>
      </c>
      <c r="T39" s="753" t="s">
        <v>25</v>
      </c>
      <c r="U39" s="754">
        <f t="shared" si="11"/>
        <v>100</v>
      </c>
      <c r="V39" s="753" t="s">
        <v>25</v>
      </c>
      <c r="W39" s="754">
        <f t="shared" si="12"/>
        <v>100</v>
      </c>
      <c r="X39" s="1900"/>
      <c r="Y39" s="3045"/>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5"/>
      <c r="Q40" s="1899" t="str">
        <f t="shared" si="14"/>
        <v>临街宽度及深度</v>
      </c>
      <c r="R40" s="753" t="s">
        <v>25</v>
      </c>
      <c r="S40" s="754">
        <f t="shared" si="10"/>
        <v>100</v>
      </c>
      <c r="T40" s="753" t="s">
        <v>25</v>
      </c>
      <c r="U40" s="754">
        <f t="shared" si="11"/>
        <v>100</v>
      </c>
      <c r="V40" s="753" t="s">
        <v>25</v>
      </c>
      <c r="W40" s="754">
        <f t="shared" si="12"/>
        <v>100</v>
      </c>
      <c r="X40" s="1900"/>
      <c r="Y40" s="3045"/>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5"/>
      <c r="Q41" s="1899"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5" t="s">
        <v>2372</v>
      </c>
      <c r="Q42" s="1899" t="str">
        <f t="shared" si="14"/>
        <v>工程地质条件</v>
      </c>
      <c r="R42" s="753" t="s">
        <v>25</v>
      </c>
      <c r="S42" s="754">
        <f t="shared" si="10"/>
        <v>100</v>
      </c>
      <c r="T42" s="753" t="s">
        <v>25</v>
      </c>
      <c r="U42" s="754">
        <f t="shared" si="11"/>
        <v>100</v>
      </c>
      <c r="V42" s="753" t="s">
        <v>25</v>
      </c>
      <c r="W42" s="754">
        <f t="shared" si="12"/>
        <v>100</v>
      </c>
      <c r="X42" s="1900"/>
      <c r="Y42" s="3045"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5"/>
      <c r="Q43" s="1899">
        <f t="shared" si="14"/>
        <v>111</v>
      </c>
      <c r="R43" s="753" t="s">
        <v>25</v>
      </c>
      <c r="S43" s="754">
        <f t="shared" si="10"/>
        <v>100</v>
      </c>
      <c r="T43" s="753" t="s">
        <v>25</v>
      </c>
      <c r="U43" s="754">
        <f t="shared" si="11"/>
        <v>100</v>
      </c>
      <c r="V43" s="753" t="s">
        <v>25</v>
      </c>
      <c r="W43" s="754">
        <f t="shared" si="12"/>
        <v>100</v>
      </c>
      <c r="X43" s="1900"/>
      <c r="Y43" s="3045"/>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5"/>
      <c r="Q44" s="1899">
        <f t="shared" si="14"/>
        <v>111</v>
      </c>
      <c r="R44" s="753" t="s">
        <v>25</v>
      </c>
      <c r="S44" s="754">
        <f t="shared" si="10"/>
        <v>100</v>
      </c>
      <c r="T44" s="753" t="s">
        <v>25</v>
      </c>
      <c r="U44" s="754">
        <f t="shared" si="11"/>
        <v>100</v>
      </c>
      <c r="V44" s="753" t="s">
        <v>25</v>
      </c>
      <c r="W44" s="754">
        <f t="shared" si="12"/>
        <v>100</v>
      </c>
      <c r="X44" s="1900"/>
      <c r="Y44" s="3045"/>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5"/>
      <c r="Q45" s="1899">
        <f t="shared" si="14"/>
        <v>111</v>
      </c>
      <c r="R45" s="756" t="s">
        <v>25</v>
      </c>
      <c r="S45" s="757">
        <f t="shared" si="10"/>
        <v>100</v>
      </c>
      <c r="T45" s="756" t="s">
        <v>25</v>
      </c>
      <c r="U45" s="757">
        <f t="shared" si="11"/>
        <v>100</v>
      </c>
      <c r="V45" s="756" t="s">
        <v>25</v>
      </c>
      <c r="W45" s="757">
        <f t="shared" si="12"/>
        <v>100</v>
      </c>
      <c r="X45" s="758"/>
      <c r="Y45" s="3045"/>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1" t="str">
        <f>A46</f>
        <v>成交单价</v>
      </c>
      <c r="Q46" s="3051"/>
      <c r="R46" s="3031">
        <f>E46</f>
        <v>0</v>
      </c>
      <c r="S46" s="3031"/>
      <c r="T46" s="3031">
        <f>G46</f>
        <v>0</v>
      </c>
      <c r="U46" s="3031"/>
      <c r="V46" s="3031">
        <f>I46</f>
        <v>0</v>
      </c>
      <c r="W46" s="303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7" t="str">
        <f>A48</f>
        <v>估价对象XX用房的比较价值（楼面单价，元/平方米）</v>
      </c>
      <c r="Q48" s="3058"/>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1"/>
      <c r="Q19" s="1899" t="str">
        <f t="shared" ref="Q19:Q33" si="8">B19</f>
        <v>区域土地利用方向</v>
      </c>
      <c r="R19" s="753" t="s">
        <v>25</v>
      </c>
      <c r="S19" s="754">
        <f>F19</f>
        <v>100</v>
      </c>
      <c r="T19" s="753" t="s">
        <v>25</v>
      </c>
      <c r="U19" s="754">
        <f>H19</f>
        <v>100</v>
      </c>
      <c r="V19" s="753" t="s">
        <v>25</v>
      </c>
      <c r="W19" s="754">
        <f>J19</f>
        <v>100</v>
      </c>
      <c r="X19" s="1900"/>
      <c r="Y19" s="304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1"/>
      <c r="Q20" s="1899"/>
      <c r="R20" s="753"/>
      <c r="S20" s="754"/>
      <c r="T20" s="753"/>
      <c r="U20" s="754"/>
      <c r="V20" s="753"/>
      <c r="W20" s="754"/>
      <c r="X20" s="1900"/>
      <c r="Y20" s="3041"/>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1"/>
      <c r="Q21" s="1899" t="str">
        <f t="shared" si="8"/>
        <v>环境状况</v>
      </c>
      <c r="R21" s="753" t="s">
        <v>25</v>
      </c>
      <c r="S21" s="754">
        <f>F21</f>
        <v>100</v>
      </c>
      <c r="T21" s="753" t="s">
        <v>25</v>
      </c>
      <c r="U21" s="754">
        <f>H21</f>
        <v>100</v>
      </c>
      <c r="V21" s="753" t="s">
        <v>25</v>
      </c>
      <c r="W21" s="754">
        <f>J21</f>
        <v>100</v>
      </c>
      <c r="X21" s="1900"/>
      <c r="Y21" s="304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1"/>
      <c r="Q23" s="1887" t="str">
        <f t="shared" si="8"/>
        <v>公共配套设施</v>
      </c>
      <c r="R23" s="749" t="s">
        <v>25</v>
      </c>
      <c r="S23" s="750">
        <f>F23</f>
        <v>100</v>
      </c>
      <c r="T23" s="749" t="s">
        <v>25</v>
      </c>
      <c r="U23" s="750">
        <f>H23</f>
        <v>100</v>
      </c>
      <c r="V23" s="749" t="s">
        <v>25</v>
      </c>
      <c r="W23" s="750">
        <f>J23</f>
        <v>100</v>
      </c>
      <c r="X23" s="751"/>
      <c r="Y23" s="3041"/>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1"/>
      <c r="Q24" s="1887"/>
      <c r="R24" s="749"/>
      <c r="S24" s="750"/>
      <c r="T24" s="749"/>
      <c r="U24" s="750"/>
      <c r="V24" s="749"/>
      <c r="W24" s="750"/>
      <c r="X24" s="751"/>
      <c r="Y24" s="3041"/>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1"/>
      <c r="Q25" s="1887"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1"/>
      <c r="Q26" s="1887"/>
      <c r="R26" s="749"/>
      <c r="S26" s="750"/>
      <c r="T26" s="749"/>
      <c r="U26" s="750"/>
      <c r="V26" s="749"/>
      <c r="W26" s="750"/>
      <c r="X26" s="751"/>
      <c r="Y26" s="304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1"/>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1"/>
      <c r="Q28" s="1899" t="str">
        <f t="shared" si="8"/>
        <v>毗邻道路的类型与等级</v>
      </c>
      <c r="R28" s="753" t="s">
        <v>25</v>
      </c>
      <c r="S28" s="754">
        <f t="shared" si="10"/>
        <v>100</v>
      </c>
      <c r="T28" s="753" t="s">
        <v>25</v>
      </c>
      <c r="U28" s="754">
        <f t="shared" si="11"/>
        <v>100</v>
      </c>
      <c r="V28" s="753" t="s">
        <v>25</v>
      </c>
      <c r="W28" s="754">
        <f t="shared" si="12"/>
        <v>100</v>
      </c>
      <c r="X28" s="1900"/>
      <c r="Y28" s="304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1"/>
      <c r="Q29" s="1899"/>
      <c r="R29" s="753"/>
      <c r="S29" s="754"/>
      <c r="T29" s="753"/>
      <c r="U29" s="754"/>
      <c r="V29" s="753"/>
      <c r="W29" s="754"/>
      <c r="X29" s="1900"/>
      <c r="Y29" s="304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1"/>
      <c r="Q30" s="1899" t="str">
        <f t="shared" si="8"/>
        <v>土地级别</v>
      </c>
      <c r="R30" s="753" t="s">
        <v>25</v>
      </c>
      <c r="S30" s="754">
        <f t="shared" si="10"/>
        <v>100</v>
      </c>
      <c r="T30" s="753" t="s">
        <v>25</v>
      </c>
      <c r="U30" s="754">
        <f t="shared" si="11"/>
        <v>100</v>
      </c>
      <c r="V30" s="753" t="s">
        <v>25</v>
      </c>
      <c r="W30" s="754">
        <f t="shared" si="12"/>
        <v>100</v>
      </c>
      <c r="X30" s="1900"/>
      <c r="Y30" s="3041"/>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1"/>
      <c r="Q31" s="1899">
        <f t="shared" si="8"/>
        <v>111</v>
      </c>
      <c r="R31" s="753" t="s">
        <v>25</v>
      </c>
      <c r="S31" s="754">
        <f t="shared" si="10"/>
        <v>100</v>
      </c>
      <c r="T31" s="753" t="s">
        <v>25</v>
      </c>
      <c r="U31" s="754">
        <f t="shared" si="11"/>
        <v>100</v>
      </c>
      <c r="V31" s="753" t="s">
        <v>25</v>
      </c>
      <c r="W31" s="754">
        <f t="shared" si="12"/>
        <v>100</v>
      </c>
      <c r="X31" s="1900"/>
      <c r="Y31" s="3041"/>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45"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5"/>
      <c r="Q33" s="1899">
        <f t="shared" si="8"/>
        <v>111</v>
      </c>
      <c r="R33" s="756" t="s">
        <v>25</v>
      </c>
      <c r="S33" s="757">
        <f t="shared" si="10"/>
        <v>100</v>
      </c>
      <c r="T33" s="756" t="s">
        <v>25</v>
      </c>
      <c r="U33" s="757">
        <f t="shared" si="11"/>
        <v>100</v>
      </c>
      <c r="V33" s="756" t="s">
        <v>25</v>
      </c>
      <c r="W33" s="757">
        <f t="shared" si="12"/>
        <v>100</v>
      </c>
      <c r="X33" s="758"/>
      <c r="Y33" s="304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5"/>
      <c r="Q34" s="1899" t="str">
        <f>B34</f>
        <v>宗地面积</v>
      </c>
      <c r="R34" s="753" t="s">
        <v>25</v>
      </c>
      <c r="S34" s="754" t="e">
        <f t="shared" si="10"/>
        <v>#N/A</v>
      </c>
      <c r="T34" s="753" t="s">
        <v>25</v>
      </c>
      <c r="U34" s="754" t="e">
        <f t="shared" si="11"/>
        <v>#N/A</v>
      </c>
      <c r="V34" s="753" t="s">
        <v>25</v>
      </c>
      <c r="W34" s="754" t="e">
        <f t="shared" si="12"/>
        <v>#N/A</v>
      </c>
      <c r="X34" s="1900"/>
      <c r="Y34" s="3045"/>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5"/>
      <c r="Q35" s="1899" t="str">
        <f t="shared" ref="Q35:Q40" si="14">B35</f>
        <v>宗地形状</v>
      </c>
      <c r="R35" s="753" t="s">
        <v>25</v>
      </c>
      <c r="S35" s="754">
        <f t="shared" si="10"/>
        <v>100</v>
      </c>
      <c r="T35" s="753" t="s">
        <v>25</v>
      </c>
      <c r="U35" s="754">
        <f t="shared" si="11"/>
        <v>100</v>
      </c>
      <c r="V35" s="753" t="s">
        <v>25</v>
      </c>
      <c r="W35" s="754">
        <f t="shared" si="12"/>
        <v>100</v>
      </c>
      <c r="X35" s="1900"/>
      <c r="Y35" s="3045"/>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5"/>
      <c r="Q36" s="1899"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5" t="s">
        <v>2372</v>
      </c>
      <c r="Q37" s="1899" t="str">
        <f t="shared" si="14"/>
        <v>工程地质条件</v>
      </c>
      <c r="R37" s="753" t="s">
        <v>25</v>
      </c>
      <c r="S37" s="754">
        <f t="shared" si="10"/>
        <v>100</v>
      </c>
      <c r="T37" s="753" t="s">
        <v>25</v>
      </c>
      <c r="U37" s="754">
        <f t="shared" si="11"/>
        <v>100</v>
      </c>
      <c r="V37" s="753" t="s">
        <v>25</v>
      </c>
      <c r="W37" s="754">
        <f t="shared" si="12"/>
        <v>100</v>
      </c>
      <c r="X37" s="1900"/>
      <c r="Y37" s="3045"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5"/>
      <c r="Q38" s="1899">
        <f t="shared" si="14"/>
        <v>111</v>
      </c>
      <c r="R38" s="753" t="s">
        <v>25</v>
      </c>
      <c r="S38" s="754">
        <f t="shared" si="10"/>
        <v>100</v>
      </c>
      <c r="T38" s="753" t="s">
        <v>25</v>
      </c>
      <c r="U38" s="754">
        <f t="shared" si="11"/>
        <v>100</v>
      </c>
      <c r="V38" s="753" t="s">
        <v>25</v>
      </c>
      <c r="W38" s="754">
        <f t="shared" si="12"/>
        <v>100</v>
      </c>
      <c r="X38" s="1900"/>
      <c r="Y38" s="3045"/>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5"/>
      <c r="Q39" s="1899">
        <f t="shared" si="14"/>
        <v>111</v>
      </c>
      <c r="R39" s="753" t="s">
        <v>25</v>
      </c>
      <c r="S39" s="754">
        <f t="shared" si="10"/>
        <v>100</v>
      </c>
      <c r="T39" s="753" t="s">
        <v>25</v>
      </c>
      <c r="U39" s="754">
        <f t="shared" si="11"/>
        <v>100</v>
      </c>
      <c r="V39" s="753" t="s">
        <v>25</v>
      </c>
      <c r="W39" s="754">
        <f t="shared" si="12"/>
        <v>100</v>
      </c>
      <c r="X39" s="1900"/>
      <c r="Y39" s="3045"/>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5"/>
      <c r="Q40" s="1899">
        <f t="shared" si="14"/>
        <v>111</v>
      </c>
      <c r="R40" s="756" t="s">
        <v>25</v>
      </c>
      <c r="S40" s="757">
        <f t="shared" si="10"/>
        <v>100</v>
      </c>
      <c r="T40" s="756" t="s">
        <v>25</v>
      </c>
      <c r="U40" s="757">
        <f t="shared" si="11"/>
        <v>100</v>
      </c>
      <c r="V40" s="756" t="s">
        <v>25</v>
      </c>
      <c r="W40" s="757">
        <f t="shared" si="12"/>
        <v>100</v>
      </c>
      <c r="X40" s="758"/>
      <c r="Y40" s="3045"/>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1" t="str">
        <f>A41</f>
        <v>成交单价</v>
      </c>
      <c r="Q41" s="3051"/>
      <c r="R41" s="3031">
        <f>E41</f>
        <v>0</v>
      </c>
      <c r="S41" s="3031"/>
      <c r="T41" s="3031">
        <f>G41</f>
        <v>0</v>
      </c>
      <c r="U41" s="3031"/>
      <c r="V41" s="3031">
        <f>I41</f>
        <v>0</v>
      </c>
      <c r="W41" s="303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7" t="str">
        <f>A43</f>
        <v>估价对象XX用房的比较价值（楼面单价，元/平方米）</v>
      </c>
      <c r="Q43" s="3058"/>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5"/>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2634</v>
      </c>
      <c r="X8" s="308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5"/>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2781</v>
      </c>
      <c r="B90" s="3076"/>
      <c r="C90" s="3076"/>
      <c r="D90" s="3076"/>
      <c r="E90" s="3076"/>
      <c r="F90" s="3076"/>
      <c r="G90" s="3076"/>
      <c r="H90" s="3076"/>
      <c r="I90" s="3076"/>
      <c r="J90" s="3076"/>
      <c r="K90" s="2688"/>
      <c r="L90" s="2688"/>
      <c r="M90" s="2688"/>
      <c r="N90" s="2688"/>
    </row>
    <row r="91" spans="1:37">
      <c r="A91" s="3078" t="s">
        <v>2782</v>
      </c>
      <c r="B91" s="3078" t="s">
        <v>2783</v>
      </c>
      <c r="C91" s="2636" t="s">
        <v>2784</v>
      </c>
      <c r="D91" s="2637"/>
      <c r="E91" s="2637"/>
      <c r="F91" s="2637"/>
      <c r="G91" s="2637"/>
      <c r="H91" s="2637"/>
      <c r="I91" s="2637"/>
      <c r="J91" s="2689"/>
      <c r="K91" s="2690"/>
      <c r="L91" s="2690"/>
      <c r="M91" s="2690"/>
      <c r="N91" s="2690"/>
    </row>
    <row r="92" spans="1:37">
      <c r="A92" s="3078"/>
      <c r="B92" s="307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9"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0"/>
      <c r="B108" s="3082"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1"/>
      <c r="B109" s="308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7" t="s">
        <v>2789</v>
      </c>
      <c r="B110" s="3077"/>
      <c r="C110" s="3077"/>
      <c r="D110" s="3077"/>
      <c r="E110" s="3077"/>
      <c r="F110" s="3077"/>
      <c r="G110" s="3077"/>
      <c r="H110" s="3077"/>
      <c r="I110" s="3077"/>
      <c r="J110" s="3077"/>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865" t="s">
        <v>1771</v>
      </c>
      <c r="B3" s="2866"/>
      <c r="C3" s="2866"/>
      <c r="D3" s="2866"/>
      <c r="E3" s="2866"/>
      <c r="F3" s="2866"/>
      <c r="G3" s="2866"/>
      <c r="H3" s="2866"/>
      <c r="I3" s="2866"/>
    </row>
    <row r="4" spans="1:12" ht="14.25">
      <c r="A4" s="2197" t="s">
        <v>1772</v>
      </c>
      <c r="B4" s="2198" t="s">
        <v>1773</v>
      </c>
      <c r="C4" s="2199" t="s">
        <v>2880</v>
      </c>
      <c r="D4" s="2199" t="s">
        <v>2828</v>
      </c>
      <c r="E4" s="2867" t="s">
        <v>1774</v>
      </c>
      <c r="F4" s="2868"/>
      <c r="G4" s="2868"/>
      <c r="H4" s="2868"/>
      <c r="I4" s="286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5" t="s">
        <v>1775</v>
      </c>
      <c r="B5" s="2846">
        <v>25</v>
      </c>
      <c r="C5" s="2847">
        <v>80</v>
      </c>
      <c r="D5" s="2849">
        <v>20</v>
      </c>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4885405</v>
      </c>
      <c r="D19" s="60">
        <f ca="1">SUMIF(INDIRECT("'"&amp;D4&amp;"'"&amp;"!A:A"),结果表!B19,INDIRECT("'"&amp;D4&amp;"'"&amp;"!B:B"))</f>
        <v>1647439</v>
      </c>
      <c r="E19" s="2206" t="s">
        <v>1796</v>
      </c>
      <c r="F19" s="2207" t="s">
        <v>1795</v>
      </c>
      <c r="G19" s="61">
        <f ca="1">ROUND(C19*$C$18+D19*$D$18,0)</f>
        <v>4237812</v>
      </c>
      <c r="H19" s="2208" t="str">
        <f>'数据-取费表'!B3</f>
        <v>元</v>
      </c>
      <c r="I19" s="2195"/>
    </row>
    <row r="20" spans="1:35" ht="15">
      <c r="A20" s="2209"/>
      <c r="B20" s="2210" t="s">
        <v>1797</v>
      </c>
      <c r="C20" s="62">
        <f ca="1">SUMIF(INDIRECT("'"&amp;C4&amp;"'"&amp;"!A:A"),结果表!B20,INDIRECT("'"&amp;C4&amp;"'"&amp;"!B:B"))</f>
        <v>48815</v>
      </c>
      <c r="D20" s="63">
        <f ca="1">SUMIF(INDIRECT("'"&amp;D4&amp;"'"&amp;"!A:A"),结果表!B20,INDIRECT("'"&amp;D4&amp;"'"&amp;"!B:B"))</f>
        <v>16461</v>
      </c>
      <c r="E20" s="2209"/>
      <c r="F20" s="2210" t="s">
        <v>1797</v>
      </c>
      <c r="G20" s="64">
        <f ca="1">ROUND(C20*$C$18+D20*$D$18,0)</f>
        <v>42344</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1.9654542596114331</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42344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32308</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10036</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873" t="s">
        <v>1813</v>
      </c>
      <c r="B36" s="2237" t="s">
        <v>1814</v>
      </c>
      <c r="C36" s="69">
        <v>0</v>
      </c>
      <c r="D36" s="2238"/>
      <c r="E36" s="2239"/>
      <c r="F36" s="2239"/>
      <c r="G36" s="2195"/>
      <c r="H36" s="2195"/>
      <c r="I36" s="2195"/>
    </row>
    <row r="37" spans="1:16" ht="15.75" thickBot="1">
      <c r="A37" s="2874"/>
      <c r="B37" s="2240" t="s">
        <v>1815</v>
      </c>
      <c r="C37" s="71">
        <v>0</v>
      </c>
      <c r="D37" s="2205"/>
      <c r="E37" s="2205"/>
      <c r="F37" s="2239"/>
      <c r="G37" s="2205"/>
      <c r="H37" s="2205"/>
      <c r="I37" s="2205"/>
    </row>
    <row r="38" spans="1:16" ht="15.75" thickBot="1">
      <c r="A38" s="287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50" t="s">
        <v>1824</v>
      </c>
      <c r="B45" s="2851"/>
      <c r="C45" s="2852"/>
      <c r="D45" s="80">
        <f ca="1">ROUND(I102*F45,0)</f>
        <v>4237788</v>
      </c>
      <c r="E45" s="81" t="s">
        <v>1825</v>
      </c>
      <c r="F45" s="82">
        <v>1</v>
      </c>
      <c r="G45" s="83" t="s">
        <v>1826</v>
      </c>
      <c r="H45" s="2195"/>
      <c r="I45" s="2195"/>
      <c r="J45" s="2853" t="s">
        <v>1827</v>
      </c>
      <c r="K45" s="2853"/>
      <c r="L45" s="2853"/>
      <c r="M45" s="2853"/>
      <c r="N45" s="2853"/>
      <c r="O45" s="2853"/>
      <c r="P45" s="1845"/>
    </row>
    <row r="46" spans="1:16" ht="14.25" customHeight="1">
      <c r="A46" s="2854" t="s">
        <v>1828</v>
      </c>
      <c r="B46" s="2855"/>
      <c r="C46" s="2855"/>
      <c r="D46" s="2855"/>
      <c r="E46" s="2855"/>
      <c r="F46" s="2855"/>
      <c r="G46" s="2856"/>
      <c r="H46" s="2257"/>
      <c r="I46" s="1144"/>
      <c r="J46" s="1883">
        <v>1</v>
      </c>
      <c r="K46" s="2853" t="s">
        <v>1829</v>
      </c>
      <c r="L46" s="2853"/>
      <c r="M46" s="2876" t="str">
        <f>项目基本情况!B1</f>
        <v>北京市房地产市场价值预评估</v>
      </c>
      <c r="N46" s="2876"/>
      <c r="O46" s="2876"/>
      <c r="P46" s="1845"/>
    </row>
    <row r="47" spans="1:16" ht="12" customHeight="1">
      <c r="A47" s="85" t="s">
        <v>1830</v>
      </c>
      <c r="B47" s="86"/>
      <c r="C47" s="87"/>
      <c r="D47" s="88" t="s">
        <v>1831</v>
      </c>
      <c r="E47" s="14" t="s">
        <v>1832</v>
      </c>
      <c r="F47" s="89" t="s">
        <v>1833</v>
      </c>
      <c r="G47" s="90" t="s">
        <v>1834</v>
      </c>
      <c r="H47" s="2257"/>
      <c r="I47" s="1144"/>
      <c r="J47" s="1883">
        <v>2</v>
      </c>
      <c r="K47" s="2853" t="s">
        <v>1835</v>
      </c>
      <c r="L47" s="2853"/>
      <c r="M47" s="2861">
        <f>'数据-取费表'!B2</f>
        <v>43251</v>
      </c>
      <c r="N47" s="2861"/>
      <c r="O47" s="2861"/>
      <c r="P47" s="1845"/>
    </row>
    <row r="48" spans="1:16" ht="25.5">
      <c r="A48" s="2862" t="s">
        <v>1836</v>
      </c>
      <c r="B48" s="2863"/>
      <c r="C48" s="2863"/>
      <c r="D48" s="56">
        <f ca="1">IF(H48="情况1",0,IF(H48="情况2",D52,IF(H48="情况3",D53,IF(H48="情况4",D54))))</f>
        <v>226015</v>
      </c>
      <c r="E48" s="1893" t="str">
        <f>IF(H48="情况4","(销售额-原购置价)×税（费）率","销售额×税（费）率")</f>
        <v>销售额×税（费）率</v>
      </c>
      <c r="F48" s="91">
        <f>IF(H48="情况1","免征",'数据-取费表'!E29)</f>
        <v>5.6000000000000001E-2</v>
      </c>
      <c r="G48" s="2258" t="s">
        <v>1837</v>
      </c>
      <c r="H48" s="2259" t="s">
        <v>1838</v>
      </c>
      <c r="I48" s="2257"/>
      <c r="J48" s="1883">
        <v>3</v>
      </c>
      <c r="K48" s="2853" t="s">
        <v>1839</v>
      </c>
      <c r="L48" s="2853"/>
      <c r="M48" s="2876">
        <f ca="1">I102</f>
        <v>4237788</v>
      </c>
      <c r="N48" s="2876"/>
      <c r="O48" s="2876"/>
      <c r="P48" s="1845"/>
    </row>
    <row r="49" spans="1:16" ht="25.5" customHeight="1">
      <c r="A49" s="92" t="s">
        <v>1840</v>
      </c>
      <c r="B49" s="2858" t="s">
        <v>1841</v>
      </c>
      <c r="C49" s="2858"/>
      <c r="D49" s="93">
        <v>0</v>
      </c>
      <c r="E49" s="13" t="s">
        <v>1842</v>
      </c>
      <c r="F49" s="18" t="s">
        <v>48</v>
      </c>
      <c r="G49" s="2877"/>
      <c r="H49" s="2195"/>
      <c r="I49" s="2260"/>
      <c r="J49" s="1883">
        <v>4</v>
      </c>
      <c r="K49" s="2853" t="str">
        <f>IF(项目基本情况!F5="房地产抵押价值","房地产抵押价值","抵押担保权已注销时的房地产抵押价值")</f>
        <v>抵押担保权已注销时的房地产抵押价值</v>
      </c>
      <c r="L49" s="2853"/>
      <c r="M49" s="2876" t="str">
        <f>IF(项目基本情况!F5="房地产抵押价值",I110,I112)</f>
        <v>——</v>
      </c>
      <c r="N49" s="2876"/>
      <c r="O49" s="2876"/>
      <c r="P49" s="1845"/>
    </row>
    <row r="50" spans="1:16" ht="25.5" customHeight="1">
      <c r="A50" s="94"/>
      <c r="B50" s="2858" t="s">
        <v>1843</v>
      </c>
      <c r="C50" s="2858"/>
      <c r="D50" s="95"/>
      <c r="E50" s="21"/>
      <c r="F50" s="96"/>
      <c r="G50" s="2878"/>
      <c r="H50" s="2195"/>
      <c r="I50" s="2260"/>
      <c r="J50" s="2853" t="s">
        <v>1844</v>
      </c>
      <c r="K50" s="2853"/>
      <c r="L50" s="2853"/>
      <c r="M50" s="2853"/>
      <c r="N50" s="2853"/>
      <c r="O50" s="2853"/>
      <c r="P50" s="1845"/>
    </row>
    <row r="51" spans="1:16" ht="12" customHeight="1">
      <c r="A51" s="97"/>
      <c r="B51" s="2858" t="s">
        <v>1845</v>
      </c>
      <c r="C51" s="2858"/>
      <c r="D51" s="98"/>
      <c r="E51" s="20"/>
      <c r="F51" s="96"/>
      <c r="G51" s="2879"/>
      <c r="H51" s="2195"/>
      <c r="I51" s="2260"/>
      <c r="J51" s="2261" t="s">
        <v>1846</v>
      </c>
      <c r="K51" s="2853" t="s">
        <v>1847</v>
      </c>
      <c r="L51" s="2853"/>
      <c r="M51" s="2261" t="s">
        <v>1848</v>
      </c>
      <c r="N51" s="2261" t="s">
        <v>1849</v>
      </c>
      <c r="O51" s="2261" t="s">
        <v>1850</v>
      </c>
      <c r="P51" s="1845"/>
    </row>
    <row r="52" spans="1:16" ht="24" customHeight="1">
      <c r="A52" s="99" t="s">
        <v>1851</v>
      </c>
      <c r="B52" s="2858" t="s">
        <v>1852</v>
      </c>
      <c r="C52" s="2858"/>
      <c r="D52" s="98">
        <f ca="1">ROUND(D45*'数据-取费表'!E29/(1+'数据-取费表'!F30),0)</f>
        <v>226015</v>
      </c>
      <c r="E52" s="10" t="s">
        <v>1853</v>
      </c>
      <c r="F52" s="100">
        <f>'数据-取费表'!E29</f>
        <v>5.6000000000000001E-2</v>
      </c>
      <c r="G52" s="2262"/>
      <c r="H52" s="2195"/>
      <c r="I52" s="2260"/>
      <c r="J52" s="1883">
        <v>1</v>
      </c>
      <c r="K52" s="2859" t="s">
        <v>1854</v>
      </c>
      <c r="L52" s="2859"/>
      <c r="M52" s="778">
        <f ca="1">D48</f>
        <v>226015</v>
      </c>
      <c r="N52" s="1883" t="str">
        <f>E48</f>
        <v>销售额×税（费）率</v>
      </c>
      <c r="O52" s="779">
        <f>F48</f>
        <v>5.6000000000000001E-2</v>
      </c>
      <c r="P52" s="1845"/>
    </row>
    <row r="53" spans="1:16" ht="12" customHeight="1">
      <c r="A53" s="99" t="s">
        <v>1855</v>
      </c>
      <c r="B53" s="2860" t="s">
        <v>1856</v>
      </c>
      <c r="C53" s="2816"/>
      <c r="D53" s="98">
        <f ca="1">ROUND(D45*'数据-取费表'!E29/(1+'数据-取费表'!F30),0)</f>
        <v>226015</v>
      </c>
      <c r="E53" s="10" t="s">
        <v>1853</v>
      </c>
      <c r="F53" s="100">
        <f>'数据-取费表'!E29</f>
        <v>5.6000000000000001E-2</v>
      </c>
      <c r="G53" s="2262"/>
      <c r="H53" s="2195"/>
      <c r="I53" s="2260"/>
      <c r="J53" s="1883">
        <v>2</v>
      </c>
      <c r="K53" s="2859" t="s">
        <v>1857</v>
      </c>
      <c r="L53" s="2859"/>
      <c r="M53" s="778">
        <f t="shared" ref="M53:O54" ca="1" si="1">D55</f>
        <v>2119</v>
      </c>
      <c r="N53" s="1883" t="str">
        <f t="shared" si="1"/>
        <v>销售额×税（费）率</v>
      </c>
      <c r="O53" s="779">
        <f t="shared" si="1"/>
        <v>5.0000000000000001E-4</v>
      </c>
      <c r="P53" s="1845"/>
    </row>
    <row r="54" spans="1:16" ht="12" customHeight="1">
      <c r="A54" s="99" t="s">
        <v>1858</v>
      </c>
      <c r="B54" s="2860" t="s">
        <v>1859</v>
      </c>
      <c r="C54" s="2816"/>
      <c r="D54" s="98">
        <f ca="1">C68</f>
        <v>226015</v>
      </c>
      <c r="E54" s="20" t="s">
        <v>1860</v>
      </c>
      <c r="F54" s="100">
        <f>'数据-取费表'!E29</f>
        <v>5.6000000000000001E-2</v>
      </c>
      <c r="G54" s="2262"/>
      <c r="H54" s="2263"/>
      <c r="I54" s="2260"/>
      <c r="J54" s="1883">
        <v>3</v>
      </c>
      <c r="K54" s="2859" t="s">
        <v>1861</v>
      </c>
      <c r="L54" s="2859"/>
      <c r="M54" s="778">
        <f t="shared" ca="1" si="1"/>
        <v>2398588</v>
      </c>
      <c r="N54" s="1883" t="str">
        <f t="shared" si="1"/>
        <v>增值额×税（费）率</v>
      </c>
      <c r="O54" s="780" t="str">
        <f t="shared" si="1"/>
        <v>——</v>
      </c>
      <c r="P54" s="1845"/>
    </row>
    <row r="55" spans="1:16" ht="24" customHeight="1">
      <c r="A55" s="2808" t="s">
        <v>1862</v>
      </c>
      <c r="B55" s="2863"/>
      <c r="C55" s="2863"/>
      <c r="D55" s="101">
        <f ca="1">IF(H55="个人住宅",0,ROUND(D45*I55,0))</f>
        <v>2119</v>
      </c>
      <c r="E55" s="10" t="s">
        <v>1863</v>
      </c>
      <c r="F55" s="100">
        <f>IF(H55="正常",I55,"免征")</f>
        <v>5.0000000000000001E-4</v>
      </c>
      <c r="G55" s="2262"/>
      <c r="H55" s="2259" t="s">
        <v>1864</v>
      </c>
      <c r="I55" s="102">
        <f>'数据-取费表'!E37</f>
        <v>5.0000000000000001E-4</v>
      </c>
      <c r="J55" s="1883">
        <f>IF(H59="非个人房产","",4)</f>
        <v>4</v>
      </c>
      <c r="K55" s="2859" t="str">
        <f>IF(H59="非个人房产","——","个人所得税")</f>
        <v>个人所得税</v>
      </c>
      <c r="L55" s="2859"/>
      <c r="M55" s="781">
        <f ca="1">D59</f>
        <v>42378</v>
      </c>
      <c r="N55" s="1886" t="str">
        <f>E59</f>
        <v>销售额×税（费）率</v>
      </c>
      <c r="O55" s="782">
        <f>F59</f>
        <v>0.01</v>
      </c>
      <c r="P55" s="1845"/>
    </row>
    <row r="56" spans="1:16" ht="24.75">
      <c r="A56" s="2808" t="s">
        <v>1865</v>
      </c>
      <c r="B56" s="2863"/>
      <c r="C56" s="2863"/>
      <c r="D56" s="101">
        <f ca="1">IF(H56="个人住宅",D57,D58)</f>
        <v>2398588</v>
      </c>
      <c r="E56" s="10" t="s">
        <v>1866</v>
      </c>
      <c r="F56" s="100" t="str">
        <f>IF(H56="正常",F58,"免征")</f>
        <v>——</v>
      </c>
      <c r="G56" s="2264" t="s">
        <v>1867</v>
      </c>
      <c r="H56" s="2265" t="s">
        <v>1864</v>
      </c>
      <c r="I56" s="1022"/>
      <c r="J56" s="1883" t="str">
        <f>IF(项目基本情况!I6="上海银行",IF(J55="",4,J55+1),"")</f>
        <v/>
      </c>
      <c r="K56" s="2885" t="str">
        <f>IF(项目基本情况!I6="上海银行","其他处置费用","")</f>
        <v/>
      </c>
      <c r="L56" s="2886"/>
      <c r="M56" s="778" t="str">
        <f>IF(项目基本情况!I6="上海银行",M69,"")</f>
        <v/>
      </c>
      <c r="N56" s="2880" t="str">
        <f>IF(项目基本情况!I6="上海银行","包含处置中涉及的律师、诉讼、拍卖、评估等费用","")</f>
        <v/>
      </c>
      <c r="O56" s="2881"/>
      <c r="P56" s="1845"/>
    </row>
    <row r="57" spans="1:16" ht="12.75">
      <c r="A57" s="99" t="s">
        <v>1840</v>
      </c>
      <c r="B57" s="2867" t="s">
        <v>1868</v>
      </c>
      <c r="C57" s="2869"/>
      <c r="D57" s="103">
        <v>0</v>
      </c>
      <c r="E57" s="13" t="s">
        <v>1842</v>
      </c>
      <c r="F57" s="70"/>
      <c r="G57" s="2262"/>
      <c r="H57" s="1022"/>
      <c r="I57" s="1022"/>
      <c r="J57" s="2859">
        <f>IF(AND(J55="",J56=""),4,IF(项目基本情况!I6="上海银行",J56+1,J55+1))</f>
        <v>5</v>
      </c>
      <c r="K57" s="2859" t="s">
        <v>1869</v>
      </c>
      <c r="L57" s="2266" t="s">
        <v>1870</v>
      </c>
      <c r="M57" s="783"/>
      <c r="N57" s="784">
        <f ca="1">SUMIF(M52:M56,"&lt;9e307")</f>
        <v>2669100</v>
      </c>
      <c r="O57" s="2267"/>
      <c r="P57" s="1841" t="e">
        <f ca="1">N57/M49</f>
        <v>#VALUE!</v>
      </c>
    </row>
    <row r="58" spans="1:16" ht="24.75">
      <c r="A58" s="99" t="s">
        <v>1851</v>
      </c>
      <c r="B58" s="2867" t="s">
        <v>1871</v>
      </c>
      <c r="C58" s="2868"/>
      <c r="D58" s="101">
        <f ca="1">IF(H58="转让取得",C81,C97)</f>
        <v>2398588</v>
      </c>
      <c r="E58" s="10" t="s">
        <v>1866</v>
      </c>
      <c r="F58" s="14" t="s">
        <v>48</v>
      </c>
      <c r="G58" s="2262"/>
      <c r="H58" s="2265" t="s">
        <v>1872</v>
      </c>
      <c r="I58" s="1022"/>
      <c r="J58" s="2859"/>
      <c r="K58" s="2859"/>
      <c r="L58" s="2266" t="s">
        <v>1873</v>
      </c>
      <c r="M58" s="785"/>
      <c r="N58" s="2268" t="str">
        <f ca="1">IF(H19="元",NUMBERSTRING(INT(N57),2)&amp;"元整",NUMBERSTRING(INT(N57*10000),2)&amp;"元整")</f>
        <v>贰佰陆拾陆万玖仟壹佰元整</v>
      </c>
      <c r="O58" s="2269"/>
      <c r="P58" s="1845"/>
    </row>
    <row r="59" spans="1:16" ht="26.25" thickBot="1">
      <c r="A59" s="2809" t="s">
        <v>1874</v>
      </c>
      <c r="B59" s="2812"/>
      <c r="C59" s="2812"/>
      <c r="D59" s="104">
        <f ca="1">IF(H59="非个人房产","——",IF(H59="个人住宅",0,ROUND(D45*I59,0)))</f>
        <v>42378</v>
      </c>
      <c r="E59" s="105" t="str">
        <f>IF(H59="非个人房产","——","销售额×税（费）率")</f>
        <v>销售额×税（费）率</v>
      </c>
      <c r="F59" s="106">
        <f>IF(H59="非个人房产","——",IF(H59="个人住宅","免征",I59))</f>
        <v>0.01</v>
      </c>
      <c r="G59" s="2270" t="s">
        <v>1867</v>
      </c>
      <c r="H59" s="2265" t="s">
        <v>1875</v>
      </c>
      <c r="I59" s="107">
        <v>0.01</v>
      </c>
      <c r="J59" s="2882">
        <f>J57+1</f>
        <v>6</v>
      </c>
      <c r="K59" s="2859"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3"/>
      <c r="K60" s="2859"/>
      <c r="L60" s="2266" t="s">
        <v>1873</v>
      </c>
      <c r="M60" s="785"/>
      <c r="N60" s="2268" t="e">
        <f ca="1">IF(H19="元",NUMBERSTRING(INT(N59),2)&amp;"元整",NUMBERSTRING(INT(N59*10000),2)&amp;"元整")</f>
        <v>#VALUE!</v>
      </c>
      <c r="O60" s="2269"/>
      <c r="P60" s="1845"/>
    </row>
    <row r="61" spans="1:16" ht="13.5" thickBot="1">
      <c r="A61" s="2884" t="s">
        <v>1877</v>
      </c>
      <c r="B61" s="2884"/>
      <c r="C61" s="2884"/>
      <c r="D61" s="2884"/>
      <c r="E61" s="2884"/>
      <c r="F61" s="1022"/>
      <c r="G61" s="1022"/>
      <c r="H61" s="2248"/>
      <c r="I61" s="2195"/>
      <c r="J61" s="1883">
        <f>J59+1</f>
        <v>7</v>
      </c>
      <c r="K61" s="2859" t="s">
        <v>1878</v>
      </c>
      <c r="L61" s="2859"/>
      <c r="M61" s="788"/>
      <c r="N61" s="789" t="e">
        <f ca="1">IF(H19="元",ROUND(N59/项目基本情况!C12,0),ROUND(N59*10000/项目基本情况!C12,0))</f>
        <v>#VALUE!</v>
      </c>
      <c r="O61" s="2272"/>
      <c r="P61" s="1845"/>
    </row>
    <row r="62" spans="1:16" ht="12.75">
      <c r="A62" s="2887" t="s">
        <v>1879</v>
      </c>
      <c r="B62" s="2888"/>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4035989</v>
      </c>
      <c r="D63" s="112"/>
      <c r="E63" s="113"/>
      <c r="F63" s="1022"/>
      <c r="G63" s="1022"/>
      <c r="H63" s="2248"/>
      <c r="I63" s="2195"/>
      <c r="J63" s="28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4237788</v>
      </c>
      <c r="D64" s="117" t="s">
        <v>41</v>
      </c>
      <c r="E64" s="118"/>
      <c r="F64" s="1022"/>
      <c r="G64" s="1022"/>
      <c r="H64" s="2248"/>
      <c r="I64" s="2195"/>
      <c r="J64" s="28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4"/>
      <c r="K66" s="2273" t="s">
        <v>1892</v>
      </c>
      <c r="L66" s="1844" t="e">
        <f>M49*0.5%</f>
        <v>#VALUE!</v>
      </c>
      <c r="M66" s="14" t="e">
        <f>IF(L66&gt;0.5,0.5,ROUND(L66,0))</f>
        <v>#VALUE!</v>
      </c>
      <c r="N66" s="1845" t="s">
        <v>1893</v>
      </c>
      <c r="O66" s="1845"/>
      <c r="P66" s="1845"/>
    </row>
    <row r="67" spans="1:35" ht="12.75">
      <c r="A67" s="120" t="s">
        <v>42</v>
      </c>
      <c r="B67" s="121" t="s">
        <v>1894</v>
      </c>
      <c r="C67" s="124">
        <f ca="1">C63-C66</f>
        <v>4035989</v>
      </c>
      <c r="D67" s="117" t="s">
        <v>41</v>
      </c>
      <c r="E67" s="118"/>
      <c r="F67" s="1022"/>
      <c r="G67" s="1022"/>
      <c r="H67" s="2248"/>
      <c r="I67" s="2195"/>
      <c r="J67" s="28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226015</v>
      </c>
      <c r="D68" s="128">
        <f>'数据-取费表'!E29</f>
        <v>5.6000000000000001E-2</v>
      </c>
      <c r="E68" s="129"/>
      <c r="F68" s="1022"/>
      <c r="G68" s="1022"/>
      <c r="H68" s="2248"/>
      <c r="I68" s="2195"/>
      <c r="J68" s="28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1899</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7" t="s">
        <v>1879</v>
      </c>
      <c r="B71" s="2888"/>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4035989</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24216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60" t="s">
        <v>1909</v>
      </c>
      <c r="F76" s="2858"/>
      <c r="G76" s="2858"/>
      <c r="H76" s="290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24216</v>
      </c>
      <c r="D78" s="145">
        <f>'数据-取费表'!E31</f>
        <v>6.000000000000001E-3</v>
      </c>
      <c r="E78" s="2889" t="s">
        <v>1914</v>
      </c>
      <c r="F78" s="2890"/>
      <c r="G78" s="2890"/>
      <c r="H78" s="289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4011773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165.66621242153948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2398588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7" t="s">
        <v>1879</v>
      </c>
      <c r="B84" s="2888"/>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4035989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24216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9" t="s">
        <v>1926</v>
      </c>
      <c r="F91" s="2890"/>
      <c r="G91" s="289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9" t="s">
        <v>1929</v>
      </c>
      <c r="F92" s="2890"/>
      <c r="G92" s="2890"/>
      <c r="H92" s="289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24216</v>
      </c>
      <c r="D93" s="145">
        <f>'数据-取费表'!E31</f>
        <v>6.000000000000001E-3</v>
      </c>
      <c r="E93" s="2889" t="s">
        <v>1914</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9" t="s">
        <v>1931</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4011773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165.66621242153948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2398588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2" t="s">
        <v>1933</v>
      </c>
      <c r="B99" s="2893"/>
      <c r="C99" s="2893"/>
      <c r="D99" s="2894"/>
      <c r="E99" s="2195"/>
      <c r="F99" s="2895" t="s">
        <v>1934</v>
      </c>
      <c r="G99" s="2896"/>
      <c r="H99" s="2896"/>
      <c r="I99" s="2897"/>
    </row>
    <row r="100" spans="1:35" ht="15.75">
      <c r="A100" s="2901" t="s">
        <v>1935</v>
      </c>
      <c r="B100" s="2902"/>
      <c r="C100" s="720" t="str">
        <f>C4</f>
        <v>比较法-住宅</v>
      </c>
      <c r="D100" s="721" t="str">
        <f>D4</f>
        <v>收益法</v>
      </c>
      <c r="E100" s="2195"/>
      <c r="F100" s="2903" t="s">
        <v>1936</v>
      </c>
      <c r="G100" s="2904"/>
      <c r="H100" s="2903" t="s">
        <v>1937</v>
      </c>
      <c r="I100" s="2906"/>
    </row>
    <row r="101" spans="1:35" ht="15.75">
      <c r="A101" s="3096" t="s">
        <v>1938</v>
      </c>
      <c r="B101" s="2290" t="str">
        <f>IF(H19="元","总价（元）","总价（万元）")</f>
        <v>总价（元）</v>
      </c>
      <c r="C101" s="720">
        <f ca="1">C19</f>
        <v>4885405</v>
      </c>
      <c r="D101" s="721">
        <f ca="1">D19</f>
        <v>1647439</v>
      </c>
      <c r="E101" s="2195"/>
      <c r="F101" s="2903" t="str">
        <f>项目基本情况!I1</f>
        <v>北京市房地产</v>
      </c>
      <c r="G101" s="2904"/>
      <c r="H101" s="2910">
        <f>项目基本情况!C12</f>
        <v>100.08</v>
      </c>
      <c r="I101" s="2906"/>
    </row>
    <row r="102" spans="1:35" ht="15.75">
      <c r="A102" s="3096"/>
      <c r="B102" s="2290" t="s">
        <v>1939</v>
      </c>
      <c r="C102" s="722">
        <f ca="1">C20</f>
        <v>48815</v>
      </c>
      <c r="D102" s="723">
        <f ca="1">D20</f>
        <v>16461</v>
      </c>
      <c r="E102" s="2195"/>
      <c r="F102" s="2911" t="s">
        <v>1940</v>
      </c>
      <c r="G102" s="2912"/>
      <c r="H102" s="2291" t="str">
        <f>C106</f>
        <v>总价（元）</v>
      </c>
      <c r="I102" s="1862">
        <f ca="1">H121</f>
        <v>4237788</v>
      </c>
    </row>
    <row r="103" spans="1:35" ht="15">
      <c r="A103" s="3096" t="s">
        <v>1941</v>
      </c>
      <c r="B103" s="2292" t="str">
        <f>B101</f>
        <v>总价（元）</v>
      </c>
      <c r="C103" s="724">
        <f ca="1">H121</f>
        <v>4237788</v>
      </c>
      <c r="D103" s="725"/>
      <c r="E103" s="2195"/>
      <c r="F103" s="2911"/>
      <c r="G103" s="2912"/>
      <c r="H103" s="2291" t="s">
        <v>1939</v>
      </c>
      <c r="I103" s="1050">
        <f ca="1">I121</f>
        <v>42344</v>
      </c>
    </row>
    <row r="104" spans="1:35" ht="16.5" thickBot="1">
      <c r="A104" s="2955"/>
      <c r="B104" s="2293" t="s">
        <v>1939</v>
      </c>
      <c r="C104" s="726">
        <f ca="1">I121</f>
        <v>42344</v>
      </c>
      <c r="D104" s="727"/>
      <c r="E104" s="2195"/>
      <c r="F104" s="2913"/>
      <c r="G104" s="2914"/>
      <c r="H104" s="2915"/>
      <c r="I104" s="2916"/>
    </row>
    <row r="105" spans="1:35" ht="15.75">
      <c r="A105" s="2892" t="s">
        <v>1942</v>
      </c>
      <c r="B105" s="2893"/>
      <c r="C105" s="2893"/>
      <c r="D105" s="2894"/>
      <c r="E105" s="2195"/>
      <c r="F105" s="2922" t="s">
        <v>1943</v>
      </c>
      <c r="G105" s="2923"/>
      <c r="H105" s="2294" t="str">
        <f>C108</f>
        <v>总额（元）</v>
      </c>
      <c r="I105" s="1862">
        <f>SUMIF(I106:I108,"&lt;9E307")</f>
        <v>0</v>
      </c>
    </row>
    <row r="106" spans="1:35" ht="15">
      <c r="A106" s="2924" t="s">
        <v>1944</v>
      </c>
      <c r="B106" s="2925"/>
      <c r="C106" s="2291" t="str">
        <f>B101</f>
        <v>总价（元）</v>
      </c>
      <c r="D106" s="1051">
        <f ca="1">H121</f>
        <v>4237788</v>
      </c>
      <c r="E106" s="2195"/>
      <c r="F106" s="2920" t="s">
        <v>1945</v>
      </c>
      <c r="G106" s="2921"/>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1939</v>
      </c>
      <c r="D107" s="1052">
        <f ca="1">I121</f>
        <v>42344</v>
      </c>
      <c r="E107" s="2195"/>
      <c r="F107" s="2920" t="s">
        <v>1946</v>
      </c>
      <c r="G107" s="2921"/>
      <c r="H107" s="2294" t="str">
        <f>C110</f>
        <v>总额（元）</v>
      </c>
      <c r="I107" s="1050">
        <f>C37</f>
        <v>0</v>
      </c>
      <c r="K107" s="2295"/>
    </row>
    <row r="108" spans="1:35" ht="15">
      <c r="A108" s="2926" t="s">
        <v>1947</v>
      </c>
      <c r="B108" s="2927"/>
      <c r="C108" s="2294" t="str">
        <f>IF(H19="元","总额（元）","总额（万元）")</f>
        <v>总额（元）</v>
      </c>
      <c r="D108" s="1051">
        <f>IF(D36="正常操作",I106+I107+I108,I107+I108)</f>
        <v>0</v>
      </c>
      <c r="E108" s="2195"/>
      <c r="F108" s="2920" t="s">
        <v>1948</v>
      </c>
      <c r="G108" s="2921"/>
      <c r="H108" s="2294" t="str">
        <f>C111</f>
        <v>总额（元）</v>
      </c>
      <c r="I108" s="1050">
        <f>C38</f>
        <v>0</v>
      </c>
    </row>
    <row r="109" spans="1:35" ht="15.75">
      <c r="A109" s="2920" t="s">
        <v>1945</v>
      </c>
      <c r="B109" s="2921"/>
      <c r="C109" s="2294" t="str">
        <f>C108</f>
        <v>总额（元）</v>
      </c>
      <c r="D109" s="637">
        <f>IF(D36="同一抵押权人同一抵押物续贷",C36&amp;"（未扣减，详见特别提示）",C36)</f>
        <v>0</v>
      </c>
      <c r="E109" s="2195"/>
      <c r="F109" s="2913"/>
      <c r="G109" s="2914"/>
      <c r="H109" s="2928"/>
      <c r="I109" s="2929"/>
    </row>
    <row r="110" spans="1:35" ht="28.5" customHeight="1">
      <c r="A110" s="2920" t="s">
        <v>1946</v>
      </c>
      <c r="B110" s="2921"/>
      <c r="C110" s="2294" t="str">
        <f>C108</f>
        <v>总额（元）</v>
      </c>
      <c r="D110" s="637">
        <f>C37</f>
        <v>0</v>
      </c>
      <c r="E110" s="2195"/>
      <c r="F110" s="2930" t="str">
        <f>IF(项目基本情况!F5="已注销","——","3.房地产抵押价值")</f>
        <v>3.房地产抵押价值</v>
      </c>
      <c r="G110" s="2931"/>
      <c r="H110" s="2296" t="str">
        <f>C112</f>
        <v>总价（元）</v>
      </c>
      <c r="I110" s="1863">
        <f ca="1">IF(F110="——","——",I102-I105)</f>
        <v>4237788</v>
      </c>
    </row>
    <row r="111" spans="1:35" ht="15">
      <c r="A111" s="2920" t="s">
        <v>1948</v>
      </c>
      <c r="B111" s="2921"/>
      <c r="C111" s="2294" t="str">
        <f>C108</f>
        <v>总额（元）</v>
      </c>
      <c r="D111" s="637">
        <f>C38</f>
        <v>0</v>
      </c>
      <c r="E111" s="2195"/>
      <c r="F111" s="2932"/>
      <c r="G111" s="2933"/>
      <c r="H111" s="2291" t="s">
        <v>1939</v>
      </c>
      <c r="I111" s="2297">
        <f ca="1">D113</f>
        <v>42344</v>
      </c>
    </row>
    <row r="112" spans="1:35" ht="26.25" customHeight="1">
      <c r="A112" s="2924" t="str">
        <f>IF(项目基本情况!F5="已注销","——","3.房地产抵押价值")</f>
        <v>3.房地产抵押价值</v>
      </c>
      <c r="B112" s="2925"/>
      <c r="C112" s="2291" t="str">
        <f>B101</f>
        <v>总价（元）</v>
      </c>
      <c r="D112" s="1051">
        <f ca="1">IF(A112="——","——",D106-D108)</f>
        <v>4237788</v>
      </c>
      <c r="E112" s="2195"/>
      <c r="F112" s="2930" t="str">
        <f>IF(项目基本情况!F5="已注销及未注销","4.抵押担保权已注销时的房地产抵押价值",IF(项目基本情况!F5="已注销","3.抵押担保权已注销时的房地产抵押价值","——"))</f>
        <v>——</v>
      </c>
      <c r="G112" s="2931"/>
      <c r="H112" s="2296" t="str">
        <f>C114</f>
        <v>总价（元）</v>
      </c>
      <c r="I112" s="1863" t="str">
        <f>IF(F112="——","——",I102-I107-I108)</f>
        <v>——</v>
      </c>
    </row>
    <row r="113" spans="1:15" ht="15">
      <c r="A113" s="2924"/>
      <c r="B113" s="2925"/>
      <c r="C113" s="2291" t="s">
        <v>1939</v>
      </c>
      <c r="D113" s="1052">
        <f ca="1">ROUND(IF(D112=D106,D107,IF(H19="元",D112/项目基本情况!C12,D112*10000/项目基本情况!C12)),0)</f>
        <v>42344</v>
      </c>
      <c r="E113" s="2195"/>
      <c r="F113" s="2932"/>
      <c r="G113" s="2933"/>
      <c r="H113" s="2291" t="s">
        <v>1939</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930" t="str">
        <f>IF(项目基本情况!G5="抵押净值",IF(OR(项目基本情况!F5="已注销",项目基本情况!F5="房地产抵押价值"),"4.抵押净值","5.抵押净值"),"——")</f>
        <v>——</v>
      </c>
      <c r="G114" s="2931"/>
      <c r="H114" s="2291" t="str">
        <f>C116</f>
        <v>总价（元）</v>
      </c>
      <c r="I114" s="1862" t="str">
        <f>IF(F114="——","——",N59)</f>
        <v>——</v>
      </c>
    </row>
    <row r="115" spans="1:15" ht="15.75" thickBot="1">
      <c r="A115" s="2924"/>
      <c r="B115" s="2925"/>
      <c r="C115" s="2291" t="s">
        <v>1939</v>
      </c>
      <c r="D115" s="1052" t="str">
        <f>IF(A114="——","——",ROUND(IF(D114=D106,D107,IF(H19="元",D114/项目基本情况!C12,D114*10000/项目基本情况!C12)),0))</f>
        <v>——</v>
      </c>
      <c r="E115" s="2195"/>
      <c r="F115" s="2939"/>
      <c r="G115" s="2940"/>
      <c r="H115" s="2299" t="s">
        <v>1939</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943"/>
      <c r="G116" s="2943"/>
      <c r="H116" s="2944"/>
      <c r="I116" s="2944"/>
      <c r="N116" s="55"/>
      <c r="O116" s="55"/>
    </row>
    <row r="117" spans="1:15" ht="15.75" thickBot="1">
      <c r="A117" s="2941"/>
      <c r="B117" s="2942"/>
      <c r="C117" s="2299" t="s">
        <v>1939</v>
      </c>
      <c r="D117" s="1053" t="str">
        <f ca="1">IF(D116=D112,D113,IF(A116="——","——",N61))</f>
        <v>——</v>
      </c>
      <c r="E117" s="2195"/>
      <c r="F117" s="3098" t="str">
        <f>IF(B32="总价","（以上估价结果中单价为总价除以建筑面积得出）","（以上估价结果中总价为楼面单价乘以建筑面积得出）")</f>
        <v>（以上估价结果中总价为楼面单价乘以建筑面积得出）</v>
      </c>
      <c r="G117" s="3098"/>
      <c r="H117" s="3098"/>
      <c r="I117" s="3098"/>
      <c r="N117" s="55"/>
      <c r="O117" s="55"/>
    </row>
    <row r="118" spans="1:15" ht="15">
      <c r="A118" s="2946" t="s">
        <v>1949</v>
      </c>
      <c r="B118" s="2947"/>
      <c r="C118" s="2947"/>
      <c r="D118" s="2947"/>
      <c r="E118" s="2947"/>
      <c r="F118" s="2947"/>
      <c r="G118" s="2947"/>
      <c r="H118" s="2947"/>
      <c r="I118" s="2947"/>
    </row>
    <row r="119" spans="1:15" ht="14.25">
      <c r="A119" s="2962" t="s">
        <v>1950</v>
      </c>
      <c r="B119" s="2934" t="s">
        <v>1951</v>
      </c>
      <c r="C119" s="2934" t="s">
        <v>1952</v>
      </c>
      <c r="D119" s="2936" t="s">
        <v>1953</v>
      </c>
      <c r="E119" s="2937"/>
      <c r="F119" s="2846" t="s">
        <v>1811</v>
      </c>
      <c r="G119" s="2846"/>
      <c r="H119" s="2846" t="s">
        <v>1954</v>
      </c>
      <c r="I119" s="2938"/>
    </row>
    <row r="120" spans="1:15" ht="14.25">
      <c r="A120" s="2962"/>
      <c r="B120" s="2935"/>
      <c r="C120" s="293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3233385</v>
      </c>
      <c r="E121" s="1887">
        <f ca="1">ROUND(IF(B32="楼面单价",C34,IF(H19="元",D121/B121,D121*10000/B121)),0)</f>
        <v>32308</v>
      </c>
      <c r="F121" s="1887">
        <f ca="1">ROUND(IF(B32="总价",C35,IF('数据-取费表'!B3="万元",G121*B121/10000,G121*B121)),0)</f>
        <v>1004403</v>
      </c>
      <c r="G121" s="1887">
        <f ca="1">ROUND(IF(B32="楼面单价",C35,IF(H19="元",F121/B121,F121*10000/B121)),0)</f>
        <v>10036</v>
      </c>
      <c r="H121" s="1887">
        <f ca="1">ROUND(IF(B32="总价",C32,IF('数据-取费表'!B3="万元",I121*B121/10000,I121*B121)),0)</f>
        <v>4237788</v>
      </c>
      <c r="I121" s="637">
        <f ca="1">ROUND(IF(B32="楼面单价",C32,IF(H19="元",H121/B121,H121*10000/B121)),0)</f>
        <v>42344</v>
      </c>
    </row>
    <row r="122" spans="1:15" ht="14.25">
      <c r="A122" s="2962" t="s">
        <v>1958</v>
      </c>
      <c r="B122" s="2846"/>
      <c r="C122" s="2846"/>
      <c r="D122" s="2975" t="str">
        <f ca="1">IF(H19="元",NUMBERSTRING(INT(D121),2)&amp;"元整",NUMBERSTRING(INT(D121*10000),2)&amp;"元整")</f>
        <v>叁佰贰拾叁万叁仟叁佰捌拾伍元整</v>
      </c>
      <c r="E122" s="2976"/>
      <c r="F122" s="2975" t="str">
        <f ca="1">IF(H19="元",NUMBERSTRING(INT(F121),2)&amp;"元整",NUMBERSTRING(INT(F121*10000),2)&amp;"元整")</f>
        <v>壹佰万肆仟肆佰零叁元整</v>
      </c>
      <c r="G122" s="2976"/>
      <c r="H122" s="2975" t="str">
        <f ca="1">IF(H19="元",NUMBERSTRING(INT(H121),2)&amp;"元整",NUMBERSTRING(INT(H121*10000),2)&amp;"元整")</f>
        <v>肆佰贰拾叁万柒仟柒佰捌拾捌元整</v>
      </c>
      <c r="I122" s="2977"/>
    </row>
    <row r="123" spans="1:15" ht="15">
      <c r="A123" s="2978" t="str">
        <f>IF(项目基本情况!D5="房地产市场价值","——",MID(A108,3,LEN(A108)-2))</f>
        <v>——</v>
      </c>
      <c r="B123" s="2973"/>
      <c r="C123" s="2979"/>
      <c r="D123" s="2965">
        <f>I105</f>
        <v>0</v>
      </c>
      <c r="E123" s="2973"/>
      <c r="F123" s="2973"/>
      <c r="G123" s="2973"/>
      <c r="H123" s="2973"/>
      <c r="I123" s="2974"/>
    </row>
    <row r="124" spans="1:15" ht="14.25">
      <c r="A124" s="2967" t="s">
        <v>1958</v>
      </c>
      <c r="B124" s="2968"/>
      <c r="C124" s="2969"/>
      <c r="D124" s="2970">
        <f>H109</f>
        <v>0</v>
      </c>
      <c r="E124" s="2971"/>
      <c r="F124" s="2971"/>
      <c r="G124" s="2971"/>
      <c r="H124" s="2971"/>
      <c r="I124" s="2972"/>
    </row>
    <row r="125" spans="1:15" ht="15">
      <c r="A125" s="2957" t="str">
        <f>IF(项目基本情况!D5="房地产市场价值","——",MID(A112,3,LEN(A112)-2))</f>
        <v>——</v>
      </c>
      <c r="B125" s="2958"/>
      <c r="C125" s="2958"/>
      <c r="D125" s="2965">
        <f ca="1">I110</f>
        <v>4237788</v>
      </c>
      <c r="E125" s="2973"/>
      <c r="F125" s="2973"/>
      <c r="G125" s="2973"/>
      <c r="H125" s="2973"/>
      <c r="I125" s="2974"/>
    </row>
    <row r="126" spans="1:15" ht="14.25">
      <c r="A126" s="2962" t="s">
        <v>1958</v>
      </c>
      <c r="B126" s="2846"/>
      <c r="C126" s="2846"/>
      <c r="D126" s="2970">
        <f ca="1">I111</f>
        <v>42344</v>
      </c>
      <c r="E126" s="2971"/>
      <c r="F126" s="2971"/>
      <c r="G126" s="2971"/>
      <c r="H126" s="2971"/>
      <c r="I126" s="2972"/>
    </row>
    <row r="127" spans="1:15" ht="15.75" thickBot="1">
      <c r="A127" s="2957" t="str">
        <f>IF(项目基本情况!D5="房地产市场价值","——",MID(A114,3,LEN(A114)-2))</f>
        <v>——</v>
      </c>
      <c r="B127" s="2958"/>
      <c r="C127" s="2958"/>
      <c r="D127" s="2959" t="str">
        <f>I112</f>
        <v>——</v>
      </c>
      <c r="E127" s="2960"/>
      <c r="F127" s="2960"/>
      <c r="G127" s="2960"/>
      <c r="H127" s="2960"/>
      <c r="I127" s="2961"/>
    </row>
    <row r="128" spans="1:15" ht="15.75" thickTop="1" thickBot="1">
      <c r="A128" s="2962" t="s">
        <v>1958</v>
      </c>
      <c r="B128" s="2846"/>
      <c r="C128" s="2963"/>
      <c r="D128" s="2964" t="str">
        <f>I113</f>
        <v>——</v>
      </c>
      <c r="E128" s="2964"/>
      <c r="F128" s="2964"/>
      <c r="G128" s="2964"/>
      <c r="H128" s="2964"/>
      <c r="I128" s="2964"/>
    </row>
    <row r="129" spans="1:9" ht="16.5" thickTop="1" thickBot="1">
      <c r="A129" s="2957" t="str">
        <f>IF(项目基本情况!D5="房地产市场价值","——",MID(F114,3,LEN(F114)-2))</f>
        <v>——</v>
      </c>
      <c r="B129" s="2958"/>
      <c r="C129" s="2965"/>
      <c r="D129" s="2966" t="str">
        <f>I114</f>
        <v>——</v>
      </c>
      <c r="E129" s="2966"/>
      <c r="F129" s="2966"/>
      <c r="G129" s="2966"/>
      <c r="H129" s="2966"/>
      <c r="I129" s="2966"/>
    </row>
    <row r="130" spans="1:9" ht="15.75" thickTop="1" thickBot="1">
      <c r="A130" s="2948" t="s">
        <v>1958</v>
      </c>
      <c r="B130" s="2949"/>
      <c r="C130" s="2949"/>
      <c r="D130" s="2950">
        <f>H116</f>
        <v>0</v>
      </c>
      <c r="E130" s="2951"/>
      <c r="F130" s="2951"/>
      <c r="G130" s="2951"/>
      <c r="H130" s="2951"/>
      <c r="I130" s="295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423.77879999999999</v>
      </c>
      <c r="C5" s="1830">
        <f ca="1">ROUND(B5*10000/$B$1,0)</f>
        <v>42344</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423.77879999999999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8" t="s">
        <v>1035</v>
      </c>
      <c r="H1" s="3108"/>
      <c r="I1" s="3108"/>
      <c r="J1" s="3108"/>
      <c r="K1" s="3108"/>
      <c r="L1" s="3108"/>
      <c r="N1" s="3108" t="s">
        <v>1036</v>
      </c>
      <c r="O1" s="3108"/>
      <c r="P1" s="3108"/>
      <c r="Q1" s="3108"/>
      <c r="R1" s="1548"/>
      <c r="S1" s="3108" t="s">
        <v>1037</v>
      </c>
      <c r="T1" s="3108"/>
      <c r="U1" s="3108"/>
      <c r="V1" s="3108"/>
      <c r="X1" s="3107" t="s">
        <v>1038</v>
      </c>
      <c r="Y1" s="3108"/>
      <c r="Z1" s="3108"/>
      <c r="AA1" s="3108"/>
      <c r="AB1" s="3108"/>
      <c r="AD1" s="3107" t="s">
        <v>1039</v>
      </c>
      <c r="AE1" s="3108"/>
      <c r="AF1" s="3108"/>
      <c r="AG1" s="3108"/>
      <c r="AH1" s="310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100.08</v>
      </c>
      <c r="D6" s="2762"/>
      <c r="E6" s="1927"/>
    </row>
    <row r="7" spans="1:5" ht="14.25">
      <c r="A7" s="1927"/>
      <c r="B7" s="2756" t="s">
        <v>785</v>
      </c>
      <c r="C7" s="1933" t="str">
        <f>IF('数据-取费表'!B3="万元","总价（万元）","总价（元）")</f>
        <v>总价（元）</v>
      </c>
      <c r="D7" s="1934">
        <f ca="1">IF('数据-取费表'!E3="否",结果表!I102,'结果表 (1修多)'!I103)</f>
        <v>4237788</v>
      </c>
      <c r="E7" s="1927"/>
    </row>
    <row r="8" spans="1:5" ht="28.5">
      <c r="A8" s="1927"/>
      <c r="B8" s="2756"/>
      <c r="C8" s="1935" t="s">
        <v>1176</v>
      </c>
      <c r="D8" s="1936" t="str">
        <f ca="1">IF('数据-取费表'!B3="万元",NUMBERSTRING(INT(D7*10000),2)&amp;"元整",NUMBERSTRING(INT(D7),2)&amp;"元整")</f>
        <v>肆佰贰拾叁万柒仟柒佰捌拾捌元整</v>
      </c>
      <c r="E8" s="1927"/>
    </row>
    <row r="9" spans="1:5" ht="14.25">
      <c r="A9" s="1927"/>
      <c r="B9" s="2756"/>
      <c r="C9" s="1937" t="s">
        <v>1275</v>
      </c>
      <c r="D9" s="1934">
        <f ca="1">IF('数据-取费表'!E3="否",结果表!I103,'结果表 (1修多)'!I104)</f>
        <v>42344</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4237788</v>
      </c>
      <c r="E15" s="1927"/>
    </row>
    <row r="16" spans="1:5" ht="28.5">
      <c r="A16" s="1927"/>
      <c r="B16" s="2763"/>
      <c r="C16" s="1935" t="s">
        <v>1176</v>
      </c>
      <c r="D16" s="1934" t="str">
        <f ca="1">IF('数据-取费表'!B3="万元",NUMBERSTRING(INT(D15*10000),2)&amp;"元整",NUMBERSTRING(INT(D15),2)&amp;"元整")</f>
        <v>肆佰贰拾叁万柒仟柒佰捌拾捌元整</v>
      </c>
      <c r="E16" s="1927"/>
    </row>
    <row r="17" spans="1:5" ht="14.25">
      <c r="A17" s="1927"/>
      <c r="B17" s="2763"/>
      <c r="C17" s="1937" t="s">
        <v>1275</v>
      </c>
      <c r="D17" s="1934">
        <f ca="1">IF('数据-取费表'!E3="否",结果表!I111,'结果表 (1修多)'!I112)</f>
        <v>42344</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4237788</v>
      </c>
      <c r="E28" s="1927"/>
    </row>
    <row r="29" spans="1:5" ht="28.5">
      <c r="A29" s="1927"/>
      <c r="B29" s="2765"/>
      <c r="C29" s="1946" t="s">
        <v>1176</v>
      </c>
      <c r="D29" s="1947" t="str">
        <f ca="1">IF('数据-取费表'!B3="万元",NUMBERSTRING(INT(D28*10000),2)&amp;"元整",NUMBERSTRING(INT(D28),2)&amp;"元整")</f>
        <v>肆佰贰拾叁万柒仟柒佰捌拾捌元整</v>
      </c>
      <c r="E29" s="1927"/>
    </row>
    <row r="30" spans="1:5" ht="14.25">
      <c r="A30" s="1927"/>
      <c r="B30" s="2766"/>
      <c r="C30" s="1937" t="s">
        <v>1179</v>
      </c>
      <c r="D30" s="1948">
        <f ca="1">IF('数据-取费表'!E3="否",结果表!I103,'结果表 (1修多)'!I104)</f>
        <v>42344</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4237788</v>
      </c>
      <c r="E36" s="1927"/>
    </row>
    <row r="37" spans="1:5" ht="28.5">
      <c r="A37" s="1927"/>
      <c r="B37" s="2767"/>
      <c r="C37" s="1946" t="s">
        <v>1176</v>
      </c>
      <c r="D37" s="1951" t="str">
        <f ca="1">IF('数据-取费表'!B3="万元",NUMBERSTRING(INT(D36*10000),2)&amp;"元整",NUMBERSTRING(INT(D36),2)&amp;"元整")</f>
        <v>肆佰贰拾叁万柒仟柒佰捌拾捌元整</v>
      </c>
      <c r="E37" s="1927"/>
    </row>
    <row r="38" spans="1:5" ht="14.25">
      <c r="A38" s="1927"/>
      <c r="B38" s="2767"/>
      <c r="C38" s="1937" t="s">
        <v>1180</v>
      </c>
      <c r="D38" s="1948">
        <f ca="1">IF('数据-取费表'!E3="否",结果表!D113,'结果表 (1修多)'!D116)</f>
        <v>42344</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3233385</v>
      </c>
      <c r="E4" s="1049">
        <f ca="1">IF('数据-取费表'!E3="否",结果表!E121,'结果表 (1修多)'!E124)</f>
        <v>32308</v>
      </c>
      <c r="F4" s="1049">
        <f ca="1">IF('数据-取费表'!E3="否",结果表!F121,'结果表 (1修多)'!F124)</f>
        <v>1004403</v>
      </c>
      <c r="G4" s="1049">
        <f ca="1">IF('数据-取费表'!E3="否",结果表!G121,'结果表 (1修多)'!G124)</f>
        <v>10036</v>
      </c>
      <c r="H4" s="1049">
        <f ca="1">IF('数据-取费表'!E3="否",结果表!H121,'结果表 (1修多)'!H124)</f>
        <v>4237788</v>
      </c>
      <c r="I4" s="1049">
        <f ca="1">IF('数据-取费表'!E3="否",结果表!I121,'结果表 (1修多)'!I124)</f>
        <v>42344</v>
      </c>
    </row>
    <row r="5" spans="1:9" ht="15">
      <c r="A5" s="2781" t="s">
        <v>1285</v>
      </c>
      <c r="B5" s="2781"/>
      <c r="C5" s="2781"/>
      <c r="D5" s="2779" t="str">
        <f ca="1">IF('数据-取费表'!E3="否",结果表!D122,'结果表 (1修多)'!D125)</f>
        <v>叁佰贰拾叁万叁仟叁佰捌拾伍元整</v>
      </c>
      <c r="E5" s="2779"/>
      <c r="F5" s="2779" t="str">
        <f ca="1">IF('数据-取费表'!E3="否",结果表!F122,'结果表 (1修多)'!F125)</f>
        <v>壹佰万肆仟肆佰零叁元整</v>
      </c>
      <c r="G5" s="2779"/>
      <c r="H5" s="2779" t="str">
        <f ca="1">IF('数据-取费表'!E3="否",结果表!H122,'结果表 (1修多)'!H125)</f>
        <v>肆佰贰拾叁万柒仟柒佰捌拾捌元整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4237788</v>
      </c>
      <c r="E8" s="2780"/>
      <c r="F8" s="2780"/>
      <c r="G8" s="2780"/>
      <c r="H8" s="2780"/>
      <c r="I8" s="2780"/>
    </row>
    <row r="9" spans="1:9" ht="15">
      <c r="A9" s="2781" t="s">
        <v>1285</v>
      </c>
      <c r="B9" s="2781"/>
      <c r="C9" s="2781"/>
      <c r="D9" s="2779">
        <f ca="1">IF('数据-取费表'!E3="否",结果表!D126,'结果表 (1修多)'!D129)</f>
        <v>42344</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2018-06-06T06:58:15Z</dcterms:modified>
</cp:coreProperties>
</file>