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75" windowWidth="11370" windowHeight="1105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r:id="rId32"/>
    <sheet name="不动产收益法" sheetId="15"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原值)" sheetId="73" r:id="rId43"/>
    <sheet name="资料" sheetId="72" r:id="rId44"/>
    <sheet name="案例"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Hlk31371785" localSheetId="43">资料!$J$42</definedName>
    <definedName name="_Hlk82786365" localSheetId="43">资料!$A$34</definedName>
    <definedName name="_xlnm.Print_Area" localSheetId="21">'比较法-工业'!$A$1:$K$62,'比较法-工业'!$A$65:$N$122</definedName>
    <definedName name="_xlnm.Print_Area" localSheetId="20">'比较法-住宅、综合'!$A$1:$K$66,'比较法-住宅、综合'!$A$70:$N$133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2">不动产收益法!$A$1:$F$43,不动产收益法!$H$3:$M$29,不动产收益法!$A$46:$F$70,不动产收益法!$I$46:$M$60</definedName>
    <definedName name="_xlnm.Print_Area" localSheetId="42">'不动产收益法 (原值)'!$A$1:$F$43,'不动产收益法 (原值)'!$H$3:$M$29,'不动产收益法 (原值)'!$A$46:$F$70,'不动产收益法 (原值)'!$I$46:$M$60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17">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M13" i="3" l="1"/>
  <c r="B28" i="72"/>
  <c r="E28" i="72"/>
  <c r="C15" i="12" l="1"/>
  <c r="U19" i="1"/>
  <c r="J7" i="1"/>
  <c r="D40" i="46"/>
  <c r="G44" i="46"/>
  <c r="C34" i="68"/>
  <c r="B52" i="1"/>
  <c r="F34" i="15"/>
  <c r="E14" i="68"/>
  <c r="C30" i="68"/>
  <c r="C29" i="68"/>
  <c r="D34" i="68"/>
  <c r="D29" i="68"/>
  <c r="D26" i="68"/>
  <c r="D32" i="68"/>
  <c r="D35" i="68"/>
  <c r="D38" i="68"/>
  <c r="D39" i="68"/>
  <c r="E34" i="68"/>
  <c r="E29" i="68"/>
  <c r="E26" i="68"/>
  <c r="E32" i="68"/>
  <c r="E35" i="68"/>
  <c r="E38" i="68"/>
  <c r="E39" i="68"/>
  <c r="C114" i="72"/>
  <c r="D114" i="72"/>
  <c r="E114" i="72"/>
  <c r="F114" i="72"/>
  <c r="G114" i="72"/>
  <c r="H114" i="72"/>
  <c r="I114" i="72"/>
  <c r="J114" i="72"/>
  <c r="K114" i="72"/>
  <c r="L114" i="72"/>
  <c r="B4" i="68"/>
  <c r="E36" i="68"/>
  <c r="G1" i="73"/>
  <c r="F32" i="73"/>
  <c r="F33" i="73"/>
  <c r="F34" i="73"/>
  <c r="F15" i="73"/>
  <c r="F17" i="73"/>
  <c r="F18" i="73"/>
  <c r="F20" i="73"/>
  <c r="F23" i="73"/>
  <c r="F21" i="73"/>
  <c r="F28" i="73"/>
  <c r="C28" i="73"/>
  <c r="D23" i="68"/>
  <c r="E23" i="68"/>
  <c r="AE6" i="1"/>
  <c r="M47" i="73"/>
  <c r="J50" i="73"/>
  <c r="J51" i="73"/>
  <c r="K59" i="73"/>
  <c r="P75" i="73"/>
  <c r="Q73" i="73"/>
  <c r="F59" i="73"/>
  <c r="D60" i="73"/>
  <c r="F60" i="73"/>
  <c r="F61" i="73"/>
  <c r="P62" i="73"/>
  <c r="Q60" i="73"/>
  <c r="Q59" i="73"/>
  <c r="F58" i="73"/>
  <c r="Q52" i="73"/>
  <c r="L46" i="73"/>
  <c r="F31" i="73"/>
  <c r="M18" i="73"/>
  <c r="M19" i="73"/>
  <c r="M20" i="73"/>
  <c r="D24" i="73"/>
  <c r="D23" i="73"/>
  <c r="D22" i="73"/>
  <c r="M17" i="73"/>
  <c r="D6" i="68"/>
  <c r="G1" i="15"/>
  <c r="M47" i="15"/>
  <c r="AE8" i="1"/>
  <c r="AH7" i="1"/>
  <c r="B35" i="1"/>
  <c r="Q7" i="1"/>
  <c r="N14" i="1"/>
  <c r="N7" i="1"/>
  <c r="L14" i="1"/>
  <c r="L7" i="1"/>
  <c r="L18" i="1"/>
  <c r="F17" i="4"/>
  <c r="G19" i="6"/>
  <c r="F19" i="6"/>
  <c r="AN13" i="3"/>
  <c r="AL13" i="3"/>
  <c r="I13" i="3"/>
  <c r="C13" i="3"/>
  <c r="A3" i="3"/>
  <c r="I17" i="4"/>
  <c r="C11" i="4"/>
  <c r="F10" i="4"/>
  <c r="B7" i="4"/>
  <c r="B5" i="4"/>
  <c r="D3" i="4"/>
  <c r="B25" i="72"/>
  <c r="C25" i="72"/>
  <c r="E25" i="72"/>
  <c r="Z26" i="70"/>
  <c r="AA26" i="70"/>
  <c r="AB26" i="70"/>
  <c r="I26" i="70"/>
  <c r="AD26" i="70"/>
  <c r="Z27" i="70"/>
  <c r="AA27" i="70"/>
  <c r="AB27" i="70"/>
  <c r="I27" i="70"/>
  <c r="AD27" i="70"/>
  <c r="Z28" i="70"/>
  <c r="AA28" i="70"/>
  <c r="AB28" i="70"/>
  <c r="I28" i="70"/>
  <c r="AD28" i="70"/>
  <c r="Y6" i="70"/>
  <c r="Z6" i="70"/>
  <c r="AA6" i="70"/>
  <c r="AD6" i="70"/>
  <c r="AB6" i="70"/>
  <c r="AC6" i="70"/>
  <c r="Y7" i="70"/>
  <c r="Z7" i="70"/>
  <c r="AA7" i="70"/>
  <c r="AD7" i="70"/>
  <c r="AB7" i="70"/>
  <c r="AC7" i="70"/>
  <c r="Y8" i="70"/>
  <c r="Z8" i="70"/>
  <c r="AA8" i="70"/>
  <c r="AD8" i="70"/>
  <c r="AB8" i="70"/>
  <c r="AC8" i="70"/>
  <c r="M26" i="70"/>
  <c r="P26" i="70"/>
  <c r="M27" i="70"/>
  <c r="P27" i="70"/>
  <c r="M28" i="70"/>
  <c r="P28" i="70"/>
  <c r="L26" i="70"/>
  <c r="N26" i="70"/>
  <c r="L27" i="70"/>
  <c r="N27" i="70"/>
  <c r="L28" i="70"/>
  <c r="N28" i="70"/>
  <c r="K6" i="70"/>
  <c r="L6" i="70"/>
  <c r="M6" i="70"/>
  <c r="P6" i="70"/>
  <c r="N6" i="70"/>
  <c r="O6" i="70"/>
  <c r="K7" i="70"/>
  <c r="L7" i="70"/>
  <c r="M7" i="70"/>
  <c r="P7" i="70"/>
  <c r="N7" i="70"/>
  <c r="O7" i="70"/>
  <c r="K8" i="70"/>
  <c r="L8" i="70"/>
  <c r="M8" i="70"/>
  <c r="P8" i="70"/>
  <c r="N8" i="70"/>
  <c r="O8" i="70"/>
  <c r="I6" i="70"/>
  <c r="I7" i="70"/>
  <c r="I8" i="70"/>
  <c r="I2" i="46"/>
  <c r="M5" i="46"/>
  <c r="M2" i="46"/>
  <c r="B3" i="69"/>
  <c r="C7" i="69"/>
  <c r="C5" i="69"/>
  <c r="C6" i="69"/>
  <c r="C20" i="20"/>
  <c r="B101" i="46"/>
  <c r="B79" i="46"/>
  <c r="C13" i="46"/>
  <c r="N112" i="46"/>
  <c r="N113" i="46"/>
  <c r="M112" i="46"/>
  <c r="M113" i="46"/>
  <c r="L112" i="46"/>
  <c r="L113" i="46"/>
  <c r="K112" i="46"/>
  <c r="K113" i="46"/>
  <c r="J112" i="46"/>
  <c r="J113" i="46"/>
  <c r="I112" i="46"/>
  <c r="I113" i="46"/>
  <c r="H112" i="46"/>
  <c r="H113" i="46"/>
  <c r="G112" i="46"/>
  <c r="G113" i="46"/>
  <c r="F112" i="46"/>
  <c r="F113" i="46"/>
  <c r="E112" i="46"/>
  <c r="E113" i="46"/>
  <c r="D112" i="46"/>
  <c r="D113" i="46"/>
  <c r="C112" i="46"/>
  <c r="C1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C22" i="20"/>
  <c r="B100" i="46"/>
  <c r="C21" i="20"/>
  <c r="B99" i="46"/>
  <c r="B97" i="46"/>
  <c r="B95" i="46"/>
  <c r="G16" i="20"/>
  <c r="B94" i="46"/>
  <c r="B84" i="46"/>
  <c r="Y10" i="46"/>
  <c r="J24" i="46"/>
  <c r="G24" i="46"/>
  <c r="E24" i="46"/>
  <c r="Q32" i="46"/>
  <c r="I23" i="46"/>
  <c r="C22" i="46"/>
  <c r="G17" i="46"/>
  <c r="M1" i="46"/>
  <c r="G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P29" i="70"/>
  <c r="L29" i="70"/>
  <c r="I29" i="70"/>
  <c r="AD29" i="70"/>
  <c r="N25" i="70"/>
  <c r="M25" i="70"/>
  <c r="P25" i="70"/>
  <c r="L25" i="70"/>
  <c r="I25" i="70"/>
  <c r="AD25" i="70"/>
  <c r="N23" i="70"/>
  <c r="M23" i="70"/>
  <c r="P23" i="70"/>
  <c r="L23" i="70"/>
  <c r="G23" i="70"/>
  <c r="F23" i="70"/>
  <c r="I23" i="70"/>
  <c r="E23" i="70"/>
  <c r="O16" i="70"/>
  <c r="N16" i="70"/>
  <c r="M16" i="70"/>
  <c r="P16" i="70"/>
  <c r="L16" i="70"/>
  <c r="K16" i="70"/>
  <c r="I16" i="70"/>
  <c r="M15" i="70"/>
  <c r="P15" i="70"/>
  <c r="O15" i="70"/>
  <c r="V15" i="70"/>
  <c r="N15" i="70"/>
  <c r="U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P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F13" i="1"/>
  <c r="A13" i="1"/>
  <c r="B13" i="1"/>
  <c r="E13" i="1"/>
  <c r="D13" i="1"/>
  <c r="D12" i="1"/>
  <c r="D11" i="1"/>
  <c r="D10" i="1"/>
  <c r="D9" i="1"/>
  <c r="D8" i="1"/>
  <c r="D7" i="1"/>
  <c r="D6" i="1"/>
  <c r="C19" i="4"/>
  <c r="F6" i="1"/>
  <c r="D19" i="4"/>
  <c r="F7" i="1"/>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F23" i="69"/>
  <c r="F24" i="69"/>
  <c r="F25" i="69"/>
  <c r="G25" i="69"/>
  <c r="E24" i="69"/>
  <c r="G24" i="69"/>
  <c r="E23" i="69"/>
  <c r="G23" i="69"/>
  <c r="E22" i="69"/>
  <c r="G22" i="69"/>
  <c r="F12" i="69"/>
  <c r="F11" i="69"/>
  <c r="C15" i="69"/>
  <c r="C18" i="69"/>
  <c r="D7" i="69"/>
  <c r="D6" i="69"/>
  <c r="D5" i="69"/>
  <c r="B15" i="69"/>
  <c r="B18" i="69"/>
  <c r="G14" i="65"/>
  <c r="F14" i="65"/>
  <c r="E14" i="65"/>
  <c r="G15" i="65"/>
  <c r="F15" i="65"/>
  <c r="E15" i="65"/>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c r="P25" i="59"/>
  <c r="E25" i="59"/>
  <c r="P24" i="59"/>
  <c r="E24" i="59"/>
  <c r="P23" i="59"/>
  <c r="E23" i="59"/>
  <c r="P22" i="59"/>
  <c r="E22" i="59"/>
  <c r="P21" i="59"/>
  <c r="E21" i="59"/>
  <c r="P20" i="59"/>
  <c r="E20" i="59"/>
  <c r="P19" i="59"/>
  <c r="E19" i="59"/>
  <c r="P18" i="59"/>
  <c r="E18" i="59"/>
  <c r="P17" i="59"/>
  <c r="E17" i="59"/>
  <c r="P16" i="59"/>
  <c r="E16" i="59"/>
  <c r="P15" i="59"/>
  <c r="E15" i="59"/>
  <c r="P14" i="59"/>
  <c r="E14" i="59"/>
  <c r="P13" i="59"/>
  <c r="E13" i="59"/>
  <c r="P12" i="59"/>
  <c r="E12" i="59"/>
  <c r="P11" i="59"/>
  <c r="E11" i="59"/>
  <c r="P10" i="59"/>
  <c r="E10" i="59"/>
  <c r="P9" i="59"/>
  <c r="E9" i="59"/>
  <c r="U9" i="59"/>
  <c r="O25" i="59"/>
  <c r="C25" i="59"/>
  <c r="O24" i="59"/>
  <c r="C24" i="59"/>
  <c r="O23" i="59"/>
  <c r="C23" i="59"/>
  <c r="O22" i="59"/>
  <c r="C22" i="59"/>
  <c r="O21" i="59"/>
  <c r="C21" i="59"/>
  <c r="O20" i="59"/>
  <c r="C20" i="59"/>
  <c r="O19" i="59"/>
  <c r="C19" i="59"/>
  <c r="O18" i="59"/>
  <c r="C18" i="59"/>
  <c r="O17" i="59"/>
  <c r="C17" i="59"/>
  <c r="O16" i="59"/>
  <c r="C16" i="59"/>
  <c r="O15" i="59"/>
  <c r="C15" i="59"/>
  <c r="O14" i="59"/>
  <c r="C14" i="59"/>
  <c r="O13" i="59"/>
  <c r="C13" i="59"/>
  <c r="O12" i="59"/>
  <c r="C12" i="59"/>
  <c r="O11" i="59"/>
  <c r="C11" i="59"/>
  <c r="O10" i="59"/>
  <c r="C10" i="59"/>
  <c r="O9" i="59"/>
  <c r="C9" i="59"/>
  <c r="T9" i="59"/>
  <c r="N25" i="59"/>
  <c r="B25" i="59"/>
  <c r="N24" i="59"/>
  <c r="B24" i="59"/>
  <c r="N23" i="59"/>
  <c r="B23" i="59"/>
  <c r="N22" i="59"/>
  <c r="B22" i="59"/>
  <c r="N21" i="59"/>
  <c r="B21" i="59"/>
  <c r="N20" i="59"/>
  <c r="B20" i="59"/>
  <c r="N19" i="59"/>
  <c r="B19" i="59"/>
  <c r="N18" i="59"/>
  <c r="B18" i="59"/>
  <c r="N17" i="59"/>
  <c r="B17" i="59"/>
  <c r="N16" i="59"/>
  <c r="B16" i="59"/>
  <c r="N15" i="59"/>
  <c r="B15" i="59"/>
  <c r="N14" i="59"/>
  <c r="B14" i="59"/>
  <c r="N13" i="59"/>
  <c r="B13" i="59"/>
  <c r="N12" i="59"/>
  <c r="B12" i="59"/>
  <c r="N11" i="59"/>
  <c r="B11" i="59"/>
  <c r="N10" i="59"/>
  <c r="B10" i="59"/>
  <c r="N9" i="59"/>
  <c r="B9" i="59"/>
  <c r="S9" i="59"/>
  <c r="Q7" i="59"/>
  <c r="Q8" i="59"/>
  <c r="Q26" i="59"/>
  <c r="Q27" i="59"/>
  <c r="Q28" i="59"/>
  <c r="Q29" i="59"/>
  <c r="Q30" i="59"/>
  <c r="Q31" i="59"/>
  <c r="Q32" i="59"/>
  <c r="Q33" i="59"/>
  <c r="Q34" i="59"/>
  <c r="Q35" i="59"/>
  <c r="Q36" i="59"/>
  <c r="Q37" i="59"/>
  <c r="Q38" i="59"/>
  <c r="Q39" i="59"/>
  <c r="Q40" i="59"/>
  <c r="AB7" i="59"/>
  <c r="Q6" i="59"/>
  <c r="AB6" i="59"/>
  <c r="Q5" i="59"/>
  <c r="AB5" i="59"/>
  <c r="P7" i="59"/>
  <c r="P8" i="59"/>
  <c r="P26" i="59"/>
  <c r="P27" i="59"/>
  <c r="P28" i="59"/>
  <c r="P29" i="59"/>
  <c r="P30" i="59"/>
  <c r="P31" i="59"/>
  <c r="P32" i="59"/>
  <c r="P33" i="59"/>
  <c r="P34" i="59"/>
  <c r="P35" i="59"/>
  <c r="P36" i="59"/>
  <c r="P37" i="59"/>
  <c r="P38" i="59"/>
  <c r="P39" i="59"/>
  <c r="P40" i="59"/>
  <c r="AA7" i="59"/>
  <c r="P6" i="59"/>
  <c r="AA6" i="59"/>
  <c r="P5" i="59"/>
  <c r="AA5" i="59"/>
  <c r="O7" i="59"/>
  <c r="O8" i="59"/>
  <c r="O26" i="59"/>
  <c r="O27" i="59"/>
  <c r="O28" i="59"/>
  <c r="O29" i="59"/>
  <c r="O30" i="59"/>
  <c r="O31" i="59"/>
  <c r="O32" i="59"/>
  <c r="O33" i="59"/>
  <c r="O34" i="59"/>
  <c r="O35" i="59"/>
  <c r="O36" i="59"/>
  <c r="O37" i="59"/>
  <c r="O38" i="59"/>
  <c r="O39" i="59"/>
  <c r="O40" i="59"/>
  <c r="Y7" i="59"/>
  <c r="Z7" i="59"/>
  <c r="O6" i="59"/>
  <c r="Y6" i="59"/>
  <c r="Z6" i="59"/>
  <c r="O5" i="59"/>
  <c r="Y5" i="59"/>
  <c r="Z5" i="59"/>
  <c r="N5" i="59"/>
  <c r="N6" i="59"/>
  <c r="N7" i="59"/>
  <c r="N8" i="59"/>
  <c r="N26" i="59"/>
  <c r="N27" i="59"/>
  <c r="N28" i="59"/>
  <c r="N29" i="59"/>
  <c r="N30" i="59"/>
  <c r="N31" i="59"/>
  <c r="N32" i="59"/>
  <c r="N33" i="59"/>
  <c r="N34" i="59"/>
  <c r="N35" i="59"/>
  <c r="N36" i="59"/>
  <c r="N37" i="59"/>
  <c r="N38" i="59"/>
  <c r="N39" i="59"/>
  <c r="N40" i="59"/>
  <c r="X5" i="59"/>
  <c r="X6" i="59"/>
  <c r="X7" i="59"/>
  <c r="AB8" i="59"/>
  <c r="AA8" i="59"/>
  <c r="Y8" i="59"/>
  <c r="Z8" i="59"/>
  <c r="X8" i="59"/>
  <c r="AH5" i="59"/>
  <c r="AG5" i="59"/>
  <c r="AE5" i="59"/>
  <c r="AF5" i="59"/>
  <c r="AD5" i="59"/>
  <c r="AH6" i="59"/>
  <c r="AG6" i="59"/>
  <c r="AE6" i="59"/>
  <c r="AF6" i="59"/>
  <c r="AD6" i="59"/>
  <c r="AH7" i="59"/>
  <c r="AG7" i="59"/>
  <c r="AE7" i="59"/>
  <c r="AF7" i="59"/>
  <c r="AD7" i="59"/>
  <c r="AH8" i="59"/>
  <c r="AG8" i="59"/>
  <c r="AE8" i="59"/>
  <c r="AF8" i="59"/>
  <c r="AD8" i="59"/>
  <c r="G16" i="65"/>
  <c r="F16" i="65"/>
  <c r="E16" i="65"/>
  <c r="G13" i="65"/>
  <c r="F13" i="65"/>
  <c r="E13" i="65"/>
  <c r="AH9" i="59"/>
  <c r="AG9" i="59"/>
  <c r="AE9" i="59"/>
  <c r="AF9" i="59"/>
  <c r="AD9" i="59"/>
  <c r="R43" i="68"/>
  <c r="R40" i="68"/>
  <c r="R41" i="68"/>
  <c r="F36" i="68"/>
  <c r="R34" i="68"/>
  <c r="R33" i="68"/>
  <c r="R27" i="68"/>
  <c r="M24" i="68"/>
  <c r="R23" i="68"/>
  <c r="C23" i="68"/>
  <c r="R22" i="68"/>
  <c r="R21" i="68"/>
  <c r="N19" i="68"/>
  <c r="R18" i="68"/>
  <c r="D18" i="68"/>
  <c r="R17" i="68"/>
  <c r="D17" i="68"/>
  <c r="R16" i="68"/>
  <c r="D15" i="68"/>
  <c r="M14" i="68"/>
  <c r="N14" i="68"/>
  <c r="R13" i="68"/>
  <c r="R12" i="68"/>
  <c r="R11" i="68"/>
  <c r="R10" i="68"/>
  <c r="D10" i="68"/>
  <c r="R9" i="68"/>
  <c r="D9" i="68"/>
  <c r="R8" i="68"/>
  <c r="R7" i="68"/>
  <c r="R4" i="68"/>
  <c r="R3" i="68"/>
  <c r="R14" i="68"/>
  <c r="R24" i="68"/>
  <c r="R25" i="68"/>
  <c r="R19" i="68"/>
  <c r="R35" i="68"/>
  <c r="U34" i="68"/>
  <c r="F26" i="43"/>
  <c r="R5" i="68"/>
  <c r="U5" i="68"/>
  <c r="AH10" i="59"/>
  <c r="AG10" i="59"/>
  <c r="AE10" i="59"/>
  <c r="AF10" i="59"/>
  <c r="AD10" i="59"/>
  <c r="AH11" i="59"/>
  <c r="AG11" i="59"/>
  <c r="AE11" i="59"/>
  <c r="AF11" i="59"/>
  <c r="AD11" i="59"/>
  <c r="AB10" i="59"/>
  <c r="AA10" i="59"/>
  <c r="Y10" i="59"/>
  <c r="Z10" i="59"/>
  <c r="X10" i="59"/>
  <c r="AH12" i="59"/>
  <c r="AG12" i="59"/>
  <c r="AE12" i="59"/>
  <c r="AF12" i="59"/>
  <c r="AD12" i="59"/>
  <c r="AB11" i="59"/>
  <c r="AA11" i="59"/>
  <c r="Y11" i="59"/>
  <c r="Z11" i="59"/>
  <c r="X11" i="59"/>
  <c r="AH13" i="59"/>
  <c r="AG13" i="59"/>
  <c r="AE13" i="59"/>
  <c r="AF13" i="59"/>
  <c r="AD13" i="59"/>
  <c r="AH14" i="59"/>
  <c r="AG14" i="59"/>
  <c r="AE14" i="59"/>
  <c r="AF14" i="59"/>
  <c r="AD14" i="59"/>
  <c r="AB13" i="59"/>
  <c r="AA13" i="59"/>
  <c r="Y13" i="59"/>
  <c r="Z13"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AB14" i="59"/>
  <c r="AA14" i="59"/>
  <c r="Y14" i="59"/>
  <c r="Z14" i="59"/>
  <c r="X14" i="59"/>
  <c r="A21" i="31"/>
  <c r="C109" i="9"/>
  <c r="V17" i="59"/>
  <c r="U17" i="59"/>
  <c r="T17" i="59"/>
  <c r="S17" i="59"/>
  <c r="AH16" i="59"/>
  <c r="AG16" i="59"/>
  <c r="AE16" i="59"/>
  <c r="AF16" i="59"/>
  <c r="AD16" i="59"/>
  <c r="AB15" i="59"/>
  <c r="AA15" i="59"/>
  <c r="Y15" i="59"/>
  <c r="Z15" i="59"/>
  <c r="X15" i="59"/>
  <c r="AB18" i="59"/>
  <c r="AA18" i="59"/>
  <c r="Y18" i="59"/>
  <c r="Z18" i="59"/>
  <c r="X18" i="59"/>
  <c r="X17" i="59"/>
  <c r="AH17" i="59"/>
  <c r="AG17" i="59"/>
  <c r="AE17" i="59"/>
  <c r="AF17" i="59"/>
  <c r="AD17" i="59"/>
  <c r="AB16" i="59"/>
  <c r="AA16" i="59"/>
  <c r="AH18" i="59"/>
  <c r="AG18" i="59"/>
  <c r="AE18" i="59"/>
  <c r="AF18" i="59"/>
  <c r="AD18" i="59"/>
  <c r="D18" i="59"/>
  <c r="AH19" i="59"/>
  <c r="AG19" i="59"/>
  <c r="AE19" i="59"/>
  <c r="AF19" i="59"/>
  <c r="AD19" i="59"/>
  <c r="F25" i="12"/>
  <c r="AH20" i="59"/>
  <c r="AG20" i="59"/>
  <c r="AE20" i="59"/>
  <c r="AF20" i="59"/>
  <c r="AD20" i="59"/>
  <c r="AB19" i="59"/>
  <c r="AA19" i="59"/>
  <c r="Y19" i="59"/>
  <c r="Z19" i="59"/>
  <c r="X19" i="59"/>
  <c r="AH21" i="59"/>
  <c r="AG21" i="59"/>
  <c r="AE21" i="59"/>
  <c r="AF21" i="59"/>
  <c r="AD21" i="59"/>
  <c r="L3" i="59"/>
  <c r="AH3" i="59"/>
  <c r="K3" i="59"/>
  <c r="AG3" i="59"/>
  <c r="J3" i="59"/>
  <c r="AE3" i="59"/>
  <c r="AF3" i="59"/>
  <c r="I3" i="59"/>
  <c r="AD3" i="59"/>
  <c r="AH22" i="59"/>
  <c r="AG22" i="59"/>
  <c r="AE22" i="59"/>
  <c r="AF22" i="59"/>
  <c r="AD22" i="59"/>
  <c r="AA22" i="59"/>
  <c r="X22" i="59"/>
  <c r="AH23" i="59"/>
  <c r="AG23" i="59"/>
  <c r="AE23" i="59"/>
  <c r="AF23" i="59"/>
  <c r="AD23" i="59"/>
  <c r="M23" i="46"/>
  <c r="J50" i="15"/>
  <c r="J51" i="15"/>
  <c r="D26" i="59"/>
  <c r="AH24" i="59"/>
  <c r="AG24" i="59"/>
  <c r="AE24" i="59"/>
  <c r="AF24" i="59"/>
  <c r="AD24" i="59"/>
  <c r="AE25" i="59"/>
  <c r="AF25" i="59"/>
  <c r="AG25" i="59"/>
  <c r="AH25" i="59"/>
  <c r="AD25" i="59"/>
  <c r="AB24" i="59"/>
  <c r="AA24" i="59"/>
  <c r="Y24" i="59"/>
  <c r="Z24" i="59"/>
  <c r="X24"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7" i="51"/>
  <c r="B20" i="63"/>
  <c r="AB25" i="59"/>
  <c r="Y25" i="59"/>
  <c r="Z25" i="59"/>
  <c r="X25"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E28" i="59"/>
  <c r="E27" i="59"/>
  <c r="C28" i="59"/>
  <c r="F28" i="59"/>
  <c r="F27"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AB40" i="59"/>
  <c r="Y40" i="59"/>
  <c r="Z40" i="59"/>
  <c r="X40" i="59"/>
  <c r="F39" i="59"/>
  <c r="E39" i="59"/>
  <c r="E40" i="59"/>
  <c r="E41" i="59"/>
  <c r="U41" i="59"/>
  <c r="C39" i="59"/>
  <c r="B39" i="59"/>
  <c r="B40" i="59"/>
  <c r="B41" i="59"/>
  <c r="S41" i="59"/>
  <c r="D38" i="59"/>
  <c r="F35" i="59"/>
  <c r="E35" i="59"/>
  <c r="E36" i="59"/>
  <c r="E37" i="59"/>
  <c r="U37" i="59"/>
  <c r="C35" i="59"/>
  <c r="B35" i="59"/>
  <c r="B36" i="59"/>
  <c r="B37" i="59"/>
  <c r="S37" i="59"/>
  <c r="D34" i="59"/>
  <c r="F31" i="59"/>
  <c r="C31"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P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27" i="40"/>
  <c r="AA27" i="40"/>
  <c r="Q31" i="39"/>
  <c r="Z31" i="39"/>
  <c r="D104" i="39"/>
  <c r="E104" i="39"/>
  <c r="F31" i="39"/>
  <c r="AA31" i="39"/>
  <c r="G20" i="20"/>
  <c r="B88" i="46"/>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c r="G17" i="11"/>
  <c r="F15" i="15"/>
  <c r="F17" i="15"/>
  <c r="F18" i="15"/>
  <c r="F20" i="15"/>
  <c r="F21" i="15"/>
  <c r="F33" i="15"/>
  <c r="F60" i="15"/>
  <c r="K2" i="4"/>
  <c r="K1" i="4"/>
  <c r="B1" i="4"/>
  <c r="C112" i="9"/>
  <c r="C7" i="11"/>
  <c r="F83" i="46"/>
  <c r="H84" i="46"/>
  <c r="F117"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3" i="46"/>
  <c r="J57" i="46"/>
  <c r="D57" i="46"/>
  <c r="Q73" i="15"/>
  <c r="Q60" i="15"/>
  <c r="Q59" i="15"/>
  <c r="Q52"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c r="A12" i="1"/>
  <c r="A7" i="1"/>
  <c r="A8" i="1"/>
  <c r="A9" i="1"/>
  <c r="A10" i="1"/>
  <c r="A11" i="1"/>
  <c r="A6" i="1"/>
  <c r="T4" i="1"/>
  <c r="K13" i="1"/>
  <c r="M13" i="1" s="1"/>
  <c r="O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B205" i="3"/>
  <c r="BC205" i="3"/>
  <c r="BD205" i="3"/>
  <c r="BE205" i="3"/>
  <c r="BF205" i="3"/>
  <c r="BG205" i="3"/>
  <c r="BH205" i="3"/>
  <c r="BI205" i="3"/>
  <c r="BJ205" i="3"/>
  <c r="BK205" i="3"/>
  <c r="BA205" i="3"/>
  <c r="AZ205" i="3"/>
  <c r="AX205" i="3"/>
  <c r="AW205" i="3"/>
  <c r="AV205" i="3"/>
  <c r="AC205" i="3"/>
  <c r="H205" i="3"/>
  <c r="G205" i="3"/>
  <c r="BT388" i="3"/>
  <c r="BS388" i="3"/>
  <c r="BR388" i="3"/>
  <c r="BQ388" i="3"/>
  <c r="BP388" i="3"/>
  <c r="BO388" i="3"/>
  <c r="BN388" i="3"/>
  <c r="BM388" i="3"/>
  <c r="BL388" i="3"/>
  <c r="BB388" i="3"/>
  <c r="BC388" i="3"/>
  <c r="BD388" i="3"/>
  <c r="BE388" i="3"/>
  <c r="BF388" i="3"/>
  <c r="BG388" i="3"/>
  <c r="BH388" i="3"/>
  <c r="BI388" i="3"/>
  <c r="BJ388" i="3"/>
  <c r="BK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B385" i="3"/>
  <c r="BC385" i="3"/>
  <c r="BD385" i="3"/>
  <c r="BE385" i="3"/>
  <c r="BF385" i="3"/>
  <c r="BG385" i="3"/>
  <c r="BH385" i="3"/>
  <c r="BI385" i="3"/>
  <c r="BJ385" i="3"/>
  <c r="BK385" i="3"/>
  <c r="BA385" i="3"/>
  <c r="AZ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B376" i="3"/>
  <c r="BC376" i="3"/>
  <c r="BD376" i="3"/>
  <c r="BE376" i="3"/>
  <c r="BF376" i="3"/>
  <c r="BG376" i="3"/>
  <c r="BH376" i="3"/>
  <c r="BI376" i="3"/>
  <c r="BJ376" i="3"/>
  <c r="BK376" i="3"/>
  <c r="BA376" i="3"/>
  <c r="AZ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BL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BL371" i="3"/>
  <c r="AZ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B369" i="3"/>
  <c r="BC369" i="3"/>
  <c r="BD369" i="3"/>
  <c r="BE369" i="3"/>
  <c r="BF369" i="3"/>
  <c r="BG369" i="3"/>
  <c r="BH369" i="3"/>
  <c r="BI369" i="3"/>
  <c r="BJ369" i="3"/>
  <c r="BK369" i="3"/>
  <c r="BA369" i="3"/>
  <c r="AZ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B364" i="3"/>
  <c r="BC364" i="3"/>
  <c r="BD364" i="3"/>
  <c r="BE364" i="3"/>
  <c r="BF364" i="3"/>
  <c r="BG364" i="3"/>
  <c r="BH364" i="3"/>
  <c r="BI364" i="3"/>
  <c r="BJ364" i="3"/>
  <c r="BK364" i="3"/>
  <c r="BA364" i="3"/>
  <c r="AZ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B360" i="3"/>
  <c r="BC360" i="3"/>
  <c r="BD360" i="3"/>
  <c r="BE360" i="3"/>
  <c r="BF360" i="3"/>
  <c r="BG360" i="3"/>
  <c r="BH360" i="3"/>
  <c r="BI360" i="3"/>
  <c r="BJ360" i="3"/>
  <c r="BK360" i="3"/>
  <c r="BA360" i="3"/>
  <c r="AZ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BL357" i="3"/>
  <c r="AZ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BL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BL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BL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BL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BL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B479" i="3"/>
  <c r="BC479" i="3"/>
  <c r="BD479" i="3"/>
  <c r="BE479" i="3"/>
  <c r="BF479" i="3"/>
  <c r="BG479" i="3"/>
  <c r="BH479" i="3"/>
  <c r="BI479" i="3"/>
  <c r="BJ479" i="3"/>
  <c r="BK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B475" i="3"/>
  <c r="BC475" i="3"/>
  <c r="BD475" i="3"/>
  <c r="BE475" i="3"/>
  <c r="BF475" i="3"/>
  <c r="BG475" i="3"/>
  <c r="BH475" i="3"/>
  <c r="BI475" i="3"/>
  <c r="BJ475" i="3"/>
  <c r="BK475" i="3"/>
  <c r="BA475" i="3"/>
  <c r="AZ475" i="3"/>
  <c r="AX475" i="3"/>
  <c r="AW475" i="3"/>
  <c r="AV475" i="3"/>
  <c r="AC475" i="3"/>
  <c r="H475" i="3"/>
  <c r="G475" i="3"/>
  <c r="BT474" i="3"/>
  <c r="BS474" i="3"/>
  <c r="BR474" i="3"/>
  <c r="BQ474" i="3"/>
  <c r="BP474" i="3"/>
  <c r="BO474" i="3"/>
  <c r="BN474" i="3"/>
  <c r="BM474" i="3"/>
  <c r="BL474" i="3"/>
  <c r="BB474" i="3"/>
  <c r="BC474" i="3"/>
  <c r="BD474" i="3"/>
  <c r="BE474" i="3"/>
  <c r="BF474" i="3"/>
  <c r="BG474" i="3"/>
  <c r="BH474" i="3"/>
  <c r="BI474" i="3"/>
  <c r="BJ474" i="3"/>
  <c r="BK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B471" i="3"/>
  <c r="BC471" i="3"/>
  <c r="BD471" i="3"/>
  <c r="BE471" i="3"/>
  <c r="BF471" i="3"/>
  <c r="BG471" i="3"/>
  <c r="BH471" i="3"/>
  <c r="BI471" i="3"/>
  <c r="BJ471" i="3"/>
  <c r="BK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B467" i="3"/>
  <c r="BC467" i="3"/>
  <c r="BD467" i="3"/>
  <c r="BE467" i="3"/>
  <c r="BF467" i="3"/>
  <c r="BG467" i="3"/>
  <c r="BH467" i="3"/>
  <c r="BI467" i="3"/>
  <c r="BJ467" i="3"/>
  <c r="BK467" i="3"/>
  <c r="BA467" i="3"/>
  <c r="AZ467" i="3"/>
  <c r="AX467" i="3"/>
  <c r="AW467" i="3"/>
  <c r="AV467" i="3"/>
  <c r="AC467" i="3"/>
  <c r="H467" i="3"/>
  <c r="G467" i="3"/>
  <c r="BT466" i="3"/>
  <c r="BS466" i="3"/>
  <c r="BR466" i="3"/>
  <c r="BQ466" i="3"/>
  <c r="BP466" i="3"/>
  <c r="BO466" i="3"/>
  <c r="BN466" i="3"/>
  <c r="BM466" i="3"/>
  <c r="BL466" i="3"/>
  <c r="BB466" i="3"/>
  <c r="BC466" i="3"/>
  <c r="BD466" i="3"/>
  <c r="BE466" i="3"/>
  <c r="BF466" i="3"/>
  <c r="BG466" i="3"/>
  <c r="BH466" i="3"/>
  <c r="BI466" i="3"/>
  <c r="BJ466" i="3"/>
  <c r="BK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B463" i="3"/>
  <c r="BC463" i="3"/>
  <c r="BD463" i="3"/>
  <c r="BE463" i="3"/>
  <c r="BF463" i="3"/>
  <c r="BG463" i="3"/>
  <c r="BH463" i="3"/>
  <c r="BI463" i="3"/>
  <c r="BJ463" i="3"/>
  <c r="BK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B452" i="3"/>
  <c r="BC452" i="3"/>
  <c r="BD452" i="3"/>
  <c r="BE452" i="3"/>
  <c r="BF452" i="3"/>
  <c r="BG452" i="3"/>
  <c r="BH452" i="3"/>
  <c r="BI452" i="3"/>
  <c r="BJ452" i="3"/>
  <c r="BK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B444" i="3"/>
  <c r="BC444" i="3"/>
  <c r="BD444" i="3"/>
  <c r="BE444" i="3"/>
  <c r="BF444" i="3"/>
  <c r="BG444" i="3"/>
  <c r="BH444" i="3"/>
  <c r="BI444" i="3"/>
  <c r="BJ444" i="3"/>
  <c r="BK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B439" i="3"/>
  <c r="BC439" i="3"/>
  <c r="BD439" i="3"/>
  <c r="BE439" i="3"/>
  <c r="BF439" i="3"/>
  <c r="BG439" i="3"/>
  <c r="BH439" i="3"/>
  <c r="BI439" i="3"/>
  <c r="BJ439" i="3"/>
  <c r="BK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B433" i="3"/>
  <c r="BC433" i="3"/>
  <c r="BD433" i="3"/>
  <c r="BE433" i="3"/>
  <c r="BF433" i="3"/>
  <c r="BG433" i="3"/>
  <c r="BH433" i="3"/>
  <c r="BI433" i="3"/>
  <c r="BJ433" i="3"/>
  <c r="BK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B428" i="3"/>
  <c r="BC428" i="3"/>
  <c r="BD428" i="3"/>
  <c r="BE428" i="3"/>
  <c r="BF428" i="3"/>
  <c r="BG428" i="3"/>
  <c r="BH428" i="3"/>
  <c r="BI428" i="3"/>
  <c r="BJ428" i="3"/>
  <c r="BK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B415" i="3"/>
  <c r="BC415" i="3"/>
  <c r="BD415" i="3"/>
  <c r="BE415" i="3"/>
  <c r="BF415" i="3"/>
  <c r="BG415" i="3"/>
  <c r="BH415" i="3"/>
  <c r="BI415" i="3"/>
  <c r="BJ415" i="3"/>
  <c r="BK415" i="3"/>
  <c r="BA415" i="3"/>
  <c r="AZ415" i="3"/>
  <c r="AX415" i="3"/>
  <c r="AW415" i="3"/>
  <c r="AV415" i="3"/>
  <c r="AC415" i="3"/>
  <c r="H415" i="3"/>
  <c r="G415" i="3"/>
  <c r="BT414" i="3"/>
  <c r="BS414" i="3"/>
  <c r="BR414" i="3"/>
  <c r="BQ414" i="3"/>
  <c r="BP414" i="3"/>
  <c r="BO414" i="3"/>
  <c r="BN414" i="3"/>
  <c r="BM414" i="3"/>
  <c r="BL414" i="3"/>
  <c r="BB414" i="3"/>
  <c r="BC414" i="3"/>
  <c r="BD414" i="3"/>
  <c r="BE414" i="3"/>
  <c r="BF414" i="3"/>
  <c r="BG414" i="3"/>
  <c r="BH414" i="3"/>
  <c r="BI414" i="3"/>
  <c r="BJ414" i="3"/>
  <c r="BK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B399" i="3"/>
  <c r="BC399" i="3"/>
  <c r="BD399" i="3"/>
  <c r="BE399" i="3"/>
  <c r="BF399" i="3"/>
  <c r="BG399" i="3"/>
  <c r="BH399" i="3"/>
  <c r="BI399" i="3"/>
  <c r="BJ399" i="3"/>
  <c r="BK399" i="3"/>
  <c r="BA399" i="3"/>
  <c r="AZ399" i="3"/>
  <c r="AX399" i="3"/>
  <c r="AW399" i="3"/>
  <c r="AV399" i="3"/>
  <c r="AC399" i="3"/>
  <c r="H399" i="3"/>
  <c r="G399" i="3"/>
  <c r="BT398" i="3"/>
  <c r="BS398" i="3"/>
  <c r="BR398" i="3"/>
  <c r="BQ398" i="3"/>
  <c r="BP398" i="3"/>
  <c r="BO398" i="3"/>
  <c r="BN398" i="3"/>
  <c r="BM398" i="3"/>
  <c r="BL398" i="3"/>
  <c r="BB398" i="3"/>
  <c r="BC398" i="3"/>
  <c r="BD398" i="3"/>
  <c r="BE398" i="3"/>
  <c r="BF398" i="3"/>
  <c r="BG398" i="3"/>
  <c r="BH398" i="3"/>
  <c r="BI398" i="3"/>
  <c r="BJ398" i="3"/>
  <c r="BK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F10" i="1"/>
  <c r="I24" i="46"/>
  <c r="H19" i="4"/>
  <c r="F9" i="1"/>
  <c r="AP9" i="1"/>
  <c r="G19" i="4"/>
  <c r="F12" i="1"/>
  <c r="AP12" i="1"/>
  <c r="F19" i="4"/>
  <c r="F11" i="1"/>
  <c r="AP11" i="1"/>
  <c r="E19" i="4"/>
  <c r="F8" i="1"/>
  <c r="AP8" i="1"/>
  <c r="G7" i="1"/>
  <c r="B2" i="52"/>
  <c r="B15" i="52" s="1"/>
  <c r="F41" i="4"/>
  <c r="J52" i="40"/>
  <c r="H41" i="46"/>
  <c r="H40" i="46"/>
  <c r="H39" i="46"/>
  <c r="H38" i="46"/>
  <c r="H37" i="46"/>
  <c r="C10" i="46"/>
  <c r="C11" i="46"/>
  <c r="C9" i="46"/>
  <c r="E19" i="6"/>
  <c r="E32" i="6"/>
  <c r="E21" i="6"/>
  <c r="K8" i="1"/>
  <c r="M8" i="1" s="1"/>
  <c r="E22" i="6"/>
  <c r="E23" i="6"/>
  <c r="E24" i="6"/>
  <c r="E25" i="6"/>
  <c r="K12" i="1"/>
  <c r="M12" i="1" s="1"/>
  <c r="O12" i="1" s="1"/>
  <c r="E26" i="6"/>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5" i="20"/>
  <c r="B83" i="46"/>
  <c r="C24" i="20"/>
  <c r="B75" i="46"/>
  <c r="B76" i="46"/>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A13" i="3" s="1"/>
  <c r="BA5" i="3" s="1"/>
  <c r="BE13" i="3"/>
  <c r="BE570" i="3"/>
  <c r="BE571" i="3"/>
  <c r="BE572" i="3"/>
  <c r="BE5" i="3"/>
  <c r="BF13" i="3"/>
  <c r="BF570" i="3"/>
  <c r="BF571" i="3"/>
  <c r="BF572" i="3"/>
  <c r="BF5" i="3"/>
  <c r="BG13" i="3"/>
  <c r="BH13" i="3"/>
  <c r="BI13" i="3"/>
  <c r="BJ13" i="3"/>
  <c r="BK13" i="3"/>
  <c r="BM13" i="3"/>
  <c r="BN13" i="3"/>
  <c r="BO13" i="3"/>
  <c r="BP13" i="3"/>
  <c r="BS13" i="3"/>
  <c r="BT13" i="3"/>
  <c r="BB570" i="3"/>
  <c r="BC570" i="3"/>
  <c r="BD570" i="3"/>
  <c r="BG570" i="3"/>
  <c r="BH570" i="3"/>
  <c r="BI570" i="3"/>
  <c r="BJ570" i="3"/>
  <c r="BK570" i="3"/>
  <c r="BA570" i="3"/>
  <c r="BM570" i="3"/>
  <c r="BN570" i="3"/>
  <c r="BO570" i="3"/>
  <c r="BP570" i="3"/>
  <c r="BQ570" i="3"/>
  <c r="BR570" i="3"/>
  <c r="BS570" i="3"/>
  <c r="BT570" i="3"/>
  <c r="BL570" i="3"/>
  <c r="AZ570" i="3"/>
  <c r="BB571" i="3"/>
  <c r="BC571" i="3"/>
  <c r="BD571" i="3"/>
  <c r="BG571" i="3"/>
  <c r="BH571" i="3"/>
  <c r="BI571" i="3"/>
  <c r="BJ571" i="3"/>
  <c r="BK571" i="3"/>
  <c r="BM571" i="3"/>
  <c r="BN571" i="3"/>
  <c r="BO571" i="3"/>
  <c r="BP571" i="3"/>
  <c r="BQ571" i="3"/>
  <c r="BR571" i="3"/>
  <c r="BS571" i="3"/>
  <c r="BT571" i="3"/>
  <c r="BB572" i="3"/>
  <c r="BC572" i="3"/>
  <c r="BD572" i="3"/>
  <c r="BG572" i="3"/>
  <c r="BH572" i="3"/>
  <c r="BI572" i="3"/>
  <c r="BJ572" i="3"/>
  <c r="BK572" i="3"/>
  <c r="BA572" i="3"/>
  <c r="BM572" i="3"/>
  <c r="BN572" i="3"/>
  <c r="BO572" i="3"/>
  <c r="BP572" i="3"/>
  <c r="BQ572" i="3"/>
  <c r="BR572" i="3"/>
  <c r="BS572" i="3"/>
  <c r="BT572" i="3"/>
  <c r="BL572" i="3"/>
  <c r="AZ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B11" i="3"/>
  <c r="BE11" i="3"/>
  <c r="E5" i="6"/>
  <c r="D21" i="12" s="1"/>
  <c r="C21" i="12" s="1"/>
  <c r="D12" i="11"/>
  <c r="C12" i="11" s="1"/>
  <c r="BF10" i="3"/>
  <c r="BD10" i="3"/>
  <c r="BC10" i="3"/>
  <c r="H13" i="3"/>
  <c r="H570" i="3"/>
  <c r="H5" i="3"/>
  <c r="AC13" i="3"/>
  <c r="BB10" i="3"/>
  <c r="AD5" i="3"/>
  <c r="AE5" i="3"/>
  <c r="AF5" i="3"/>
  <c r="AG5" i="3"/>
  <c r="AH5" i="3"/>
  <c r="AI5" i="3"/>
  <c r="AJ5" i="3"/>
  <c r="AK5" i="3"/>
  <c r="AM5" i="3"/>
  <c r="AN5" i="3"/>
  <c r="AO5" i="3"/>
  <c r="AP5" i="3"/>
  <c r="AQ5" i="3"/>
  <c r="AR5" i="3"/>
  <c r="AS5" i="3"/>
  <c r="AT5" i="3"/>
  <c r="I5" i="3"/>
  <c r="L5" i="3"/>
  <c r="M5" i="3"/>
  <c r="G20" i="6" s="1"/>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AZ555" i="3"/>
  <c r="BA551" i="3"/>
  <c r="AZ551" i="3"/>
  <c r="BA545" i="3"/>
  <c r="AZ545" i="3"/>
  <c r="BA543" i="3"/>
  <c r="BA541" i="3"/>
  <c r="AZ541" i="3"/>
  <c r="BA531" i="3"/>
  <c r="BA521" i="3"/>
  <c r="BA509" i="3"/>
  <c r="BA505" i="3"/>
  <c r="BA501" i="3"/>
  <c r="BA493" i="3"/>
  <c r="BL493" i="3"/>
  <c r="AZ493" i="3"/>
  <c r="BA487" i="3"/>
  <c r="BA19" i="3"/>
  <c r="BA566" i="3"/>
  <c r="BA562" i="3"/>
  <c r="BA560" i="3"/>
  <c r="BA558" i="3"/>
  <c r="BA556" i="3"/>
  <c r="BQ556" i="3"/>
  <c r="BL556" i="3"/>
  <c r="AZ556" i="3"/>
  <c r="BA554" i="3"/>
  <c r="BA550" i="3"/>
  <c r="BQ550" i="3"/>
  <c r="BL550" i="3"/>
  <c r="AZ550" i="3"/>
  <c r="BA546" i="3"/>
  <c r="BA544" i="3"/>
  <c r="BA540" i="3"/>
  <c r="BA536" i="3"/>
  <c r="BA532" i="3"/>
  <c r="BA528" i="3"/>
  <c r="BA524" i="3"/>
  <c r="BA520" i="3"/>
  <c r="BA516" i="3"/>
  <c r="BA512" i="3"/>
  <c r="BA508" i="3"/>
  <c r="BA502" i="3"/>
  <c r="BQ502" i="3"/>
  <c r="BL502" i="3"/>
  <c r="AZ502" i="3"/>
  <c r="BA498" i="3"/>
  <c r="BA492" i="3"/>
  <c r="BA488" i="3"/>
  <c r="BA484" i="3"/>
  <c r="BA20" i="3"/>
  <c r="G566" i="3"/>
  <c r="G562" i="3"/>
  <c r="G560" i="3"/>
  <c r="G558" i="3"/>
  <c r="G556" i="3"/>
  <c r="G554" i="3"/>
  <c r="G550" i="3"/>
  <c r="G546" i="3"/>
  <c r="BL543" i="3"/>
  <c r="AZ543" i="3"/>
  <c r="BA542" i="3"/>
  <c r="BQ542" i="3"/>
  <c r="BL542" i="3"/>
  <c r="AZ542" i="3"/>
  <c r="AC542" i="3"/>
  <c r="G542" i="3"/>
  <c r="BQ568" i="3"/>
  <c r="BQ566" i="3"/>
  <c r="BQ564" i="3"/>
  <c r="BL564" i="3"/>
  <c r="BQ562" i="3"/>
  <c r="BL562" i="3"/>
  <c r="AZ562" i="3"/>
  <c r="BQ560" i="3"/>
  <c r="BL560" i="3"/>
  <c r="BQ558" i="3"/>
  <c r="BL558" i="3"/>
  <c r="BQ554" i="3"/>
  <c r="BQ552" i="3"/>
  <c r="BL552" i="3"/>
  <c r="BQ548" i="3"/>
  <c r="BQ546" i="3"/>
  <c r="BL546" i="3"/>
  <c r="AZ546" i="3"/>
  <c r="BQ544" i="3"/>
  <c r="BL544" i="3"/>
  <c r="AZ544" i="3"/>
  <c r="G544" i="3"/>
  <c r="G538" i="3"/>
  <c r="G534" i="3"/>
  <c r="G530" i="3"/>
  <c r="G526" i="3"/>
  <c r="G522" i="3"/>
  <c r="BQ540" i="3"/>
  <c r="BL540" i="3"/>
  <c r="BQ538" i="3"/>
  <c r="BL538" i="3"/>
  <c r="BQ536" i="3"/>
  <c r="BQ534" i="3"/>
  <c r="BL534" i="3"/>
  <c r="BA534" i="3"/>
  <c r="AZ534" i="3"/>
  <c r="BQ532" i="3"/>
  <c r="BL532" i="3"/>
  <c r="AZ532" i="3"/>
  <c r="BQ530" i="3"/>
  <c r="BQ528" i="3"/>
  <c r="BQ526" i="3"/>
  <c r="BL526" i="3"/>
  <c r="BA526" i="3"/>
  <c r="AZ526" i="3"/>
  <c r="BQ524" i="3"/>
  <c r="BL524" i="3"/>
  <c r="AZ524" i="3"/>
  <c r="BQ522" i="3"/>
  <c r="BQ520" i="3"/>
  <c r="BL520" i="3"/>
  <c r="AZ520" i="3"/>
  <c r="BQ518" i="3"/>
  <c r="BQ516" i="3"/>
  <c r="BL516" i="3"/>
  <c r="AZ516" i="3"/>
  <c r="BQ514" i="3"/>
  <c r="BL514" i="3"/>
  <c r="BA514" i="3"/>
  <c r="AZ514" i="3"/>
  <c r="BQ512" i="3"/>
  <c r="BQ510" i="3"/>
  <c r="BL510" i="3"/>
  <c r="BQ508" i="3"/>
  <c r="BL508" i="3"/>
  <c r="AC506" i="3"/>
  <c r="G506" i="3"/>
  <c r="BQ506" i="3"/>
  <c r="G502" i="3"/>
  <c r="G498" i="3"/>
  <c r="BQ504" i="3"/>
  <c r="BQ500" i="3"/>
  <c r="BL500" i="3"/>
  <c r="BQ498" i="3"/>
  <c r="BQ496" i="3"/>
  <c r="AC494" i="3"/>
  <c r="BQ494" i="3"/>
  <c r="G492" i="3"/>
  <c r="G488" i="3"/>
  <c r="G484" i="3"/>
  <c r="G20" i="3"/>
  <c r="BQ492" i="3"/>
  <c r="BL492" i="3"/>
  <c r="AZ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c r="J21" i="40"/>
  <c r="AC21" i="40"/>
  <c r="S27" i="31"/>
  <c r="AZ558" i="3"/>
  <c r="AZ540" i="3"/>
  <c r="AZ560" i="3"/>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1" i="3"/>
  <c r="BL361" i="3"/>
  <c r="G362" i="3"/>
  <c r="BA363" i="3"/>
  <c r="G371" i="3"/>
  <c r="BL372" i="3"/>
  <c r="G373" i="3"/>
  <c r="BL374"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8" i="3"/>
  <c r="AZ358" i="3"/>
  <c r="BA359" i="3"/>
  <c r="BL359" i="3"/>
  <c r="AZ359" i="3"/>
  <c r="G360" i="3"/>
  <c r="G361" i="3"/>
  <c r="BL362"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G310" i="3"/>
  <c r="BA310" i="3"/>
  <c r="AZ310" i="3"/>
  <c r="BL311" i="3"/>
  <c r="G312" i="3"/>
  <c r="BA312" i="3"/>
  <c r="AZ312" i="3"/>
  <c r="G314" i="3"/>
  <c r="BA314" i="3"/>
  <c r="AZ314" i="3"/>
  <c r="BL315" i="3"/>
  <c r="G316" i="3"/>
  <c r="BA316" i="3"/>
  <c r="AZ316" i="3"/>
  <c r="G318" i="3"/>
  <c r="BA320" i="3"/>
  <c r="AZ320" i="3"/>
  <c r="BL321" i="3"/>
  <c r="G322" i="3"/>
  <c r="BA324" i="3"/>
  <c r="AZ324" i="3"/>
  <c r="BL325" i="3"/>
  <c r="AZ325" i="3"/>
  <c r="G326" i="3"/>
  <c r="BA328" i="3"/>
  <c r="AZ328" i="3"/>
  <c r="BL329" i="3"/>
  <c r="AZ329" i="3"/>
  <c r="G330" i="3"/>
  <c r="BA332" i="3"/>
  <c r="AZ332" i="3"/>
  <c r="G334" i="3"/>
  <c r="BA336" i="3"/>
  <c r="AZ336" i="3"/>
  <c r="BL337" i="3"/>
  <c r="AZ337" i="3"/>
  <c r="G338" i="3"/>
  <c r="BA340" i="3"/>
  <c r="AZ340" i="3"/>
  <c r="BL341" i="3"/>
  <c r="G342" i="3"/>
  <c r="BA344" i="3"/>
  <c r="AZ344" i="3"/>
  <c r="BL345" i="3"/>
  <c r="AZ345" i="3"/>
  <c r="G346" i="3"/>
  <c r="BA348" i="3"/>
  <c r="AZ348" i="3"/>
  <c r="G350" i="3"/>
  <c r="BA352" i="3"/>
  <c r="AZ352" i="3"/>
  <c r="BL353" i="3"/>
  <c r="G354" i="3"/>
  <c r="BA356" i="3"/>
  <c r="AZ356" i="3"/>
  <c r="G358" i="3"/>
  <c r="BA362" i="3"/>
  <c r="AZ362" i="3"/>
  <c r="BL363" i="3"/>
  <c r="G364" i="3"/>
  <c r="BA366" i="3"/>
  <c r="AZ366" i="3"/>
  <c r="BL367" i="3"/>
  <c r="AZ367" i="3"/>
  <c r="AZ209" i="3"/>
  <c r="AZ213" i="3"/>
  <c r="AZ217" i="3"/>
  <c r="AZ221" i="3"/>
  <c r="AZ225" i="3"/>
  <c r="AZ229" i="3"/>
  <c r="AZ233" i="3"/>
  <c r="AZ237" i="3"/>
  <c r="AZ241" i="3"/>
  <c r="AZ245" i="3"/>
  <c r="AZ321" i="3"/>
  <c r="AZ341" i="3"/>
  <c r="AZ353" i="3"/>
  <c r="AZ363" i="3"/>
  <c r="G368" i="3"/>
  <c r="BA370" i="3"/>
  <c r="AZ370" i="3"/>
  <c r="G372" i="3"/>
  <c r="BA374" i="3"/>
  <c r="AZ374" i="3"/>
  <c r="G376" i="3"/>
  <c r="BA378" i="3"/>
  <c r="AZ378" i="3"/>
  <c r="BL379" i="3"/>
  <c r="AZ379" i="3"/>
  <c r="G380" i="3"/>
  <c r="BA382" i="3"/>
  <c r="AZ382" i="3"/>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c r="H77" i="40"/>
  <c r="I77" i="40"/>
  <c r="J77" i="40"/>
  <c r="K77" i="40"/>
  <c r="L77" i="40"/>
  <c r="M77" i="40"/>
  <c r="BH5" i="3"/>
  <c r="R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AZ548" i="3"/>
  <c r="BL547" i="3"/>
  <c r="BA547" i="3"/>
  <c r="BL539" i="3"/>
  <c r="BA539" i="3"/>
  <c r="AZ539" i="3"/>
  <c r="BA538" i="3"/>
  <c r="AZ538" i="3"/>
  <c r="BL537" i="3"/>
  <c r="BA537" i="3"/>
  <c r="AZ537" i="3"/>
  <c r="BL536" i="3"/>
  <c r="AZ536" i="3"/>
  <c r="BA535" i="3"/>
  <c r="AZ535" i="3"/>
  <c r="BA533" i="3"/>
  <c r="AZ533" i="3"/>
  <c r="BL531" i="3"/>
  <c r="AZ531" i="3"/>
  <c r="BL530" i="3"/>
  <c r="BA530" i="3"/>
  <c r="BL529" i="3"/>
  <c r="BA529" i="3"/>
  <c r="AZ529" i="3"/>
  <c r="BL528" i="3"/>
  <c r="AZ528" i="3"/>
  <c r="BA527" i="3"/>
  <c r="AZ527" i="3"/>
  <c r="BA525" i="3"/>
  <c r="AZ525" i="3"/>
  <c r="BL523" i="3"/>
  <c r="BA523" i="3"/>
  <c r="AZ523" i="3"/>
  <c r="BL522" i="3"/>
  <c r="BA522" i="3"/>
  <c r="AZ522" i="3"/>
  <c r="BL521" i="3"/>
  <c r="AZ521" i="3"/>
  <c r="BA519" i="3"/>
  <c r="AZ519" i="3"/>
  <c r="BL518" i="3"/>
  <c r="BA518" i="3"/>
  <c r="AZ518" i="3"/>
  <c r="BL517" i="3"/>
  <c r="BA517" i="3"/>
  <c r="AZ517" i="3"/>
  <c r="BL515" i="3"/>
  <c r="BA515" i="3"/>
  <c r="BL513" i="3"/>
  <c r="BA513" i="3"/>
  <c r="AZ513" i="3"/>
  <c r="BL512" i="3"/>
  <c r="AZ512" i="3"/>
  <c r="BA511" i="3"/>
  <c r="AZ511" i="3"/>
  <c r="BA510" i="3"/>
  <c r="AZ510" i="3"/>
  <c r="BL509" i="3"/>
  <c r="AZ509" i="3"/>
  <c r="BL507" i="3"/>
  <c r="BA507" i="3"/>
  <c r="AZ507" i="3"/>
  <c r="BL506" i="3"/>
  <c r="BA506" i="3"/>
  <c r="AZ506" i="3"/>
  <c r="BL505" i="3"/>
  <c r="AZ505" i="3"/>
  <c r="BL504" i="3"/>
  <c r="BA504" i="3"/>
  <c r="AZ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c r="S17" i="34"/>
  <c r="AC36" i="33"/>
  <c r="F25" i="40"/>
  <c r="AA25" i="40"/>
  <c r="J11" i="33"/>
  <c r="W11" i="33"/>
  <c r="H33" i="37"/>
  <c r="AB33" i="37"/>
  <c r="W15" i="34"/>
  <c r="AC15" i="34"/>
  <c r="U20" i="35"/>
  <c r="AB20" i="35"/>
  <c r="W23" i="40"/>
  <c r="B11" i="1"/>
  <c r="E11" i="1"/>
  <c r="K11" i="1"/>
  <c r="M11" i="1"/>
  <c r="O11" i="1" s="1"/>
  <c r="B9" i="1"/>
  <c r="E9" i="1"/>
  <c r="K9" i="1"/>
  <c r="M9" i="1"/>
  <c r="O9" i="1" s="1"/>
  <c r="B7" i="1"/>
  <c r="E7" i="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D96" i="9"/>
  <c r="M18" i="15"/>
  <c r="A18" i="64"/>
  <c r="B74" i="63"/>
  <c r="C53" i="10"/>
  <c r="A25" i="64"/>
  <c r="A18" i="51"/>
  <c r="B14" i="63"/>
  <c r="BA16" i="3"/>
  <c r="BA17" i="3"/>
  <c r="AZ17" i="3"/>
  <c r="F3" i="35"/>
  <c r="K1" i="43"/>
  <c r="K1" i="12"/>
  <c r="G1" i="44"/>
  <c r="I4" i="6"/>
  <c r="AZ15" i="3"/>
  <c r="BK5" i="3"/>
  <c r="BO5" i="3"/>
  <c r="BP5" i="3"/>
  <c r="BN5" i="3"/>
  <c r="G29" i="6"/>
  <c r="BL18" i="3"/>
  <c r="AZ18" i="3"/>
  <c r="BC5" i="3"/>
  <c r="BD5" i="3"/>
  <c r="BR5" i="3"/>
  <c r="BS5" i="3"/>
  <c r="BQ5" i="3"/>
  <c r="BL16" i="3"/>
  <c r="BM5" i="3"/>
  <c r="F29" i="6"/>
  <c r="G28" i="12"/>
  <c r="D24" i="44"/>
  <c r="D26" i="44"/>
  <c r="F50" i="46"/>
  <c r="H52" i="46"/>
  <c r="C6" i="46"/>
  <c r="I5" i="48"/>
  <c r="K21" i="46"/>
  <c r="F42" i="46"/>
  <c r="D74" i="46"/>
  <c r="D87" i="46"/>
  <c r="D72" i="46"/>
  <c r="A4" i="64"/>
  <c r="A4" i="51"/>
  <c r="C51" i="10"/>
  <c r="A9" i="64"/>
  <c r="H83" i="46"/>
  <c r="H87" i="46"/>
  <c r="AA12" i="36"/>
  <c r="U12" i="35"/>
  <c r="AB12" i="35"/>
  <c r="W11" i="35"/>
  <c r="AA11" i="35"/>
  <c r="S14" i="37"/>
  <c r="U13" i="37"/>
  <c r="S13" i="21"/>
  <c r="C24" i="9"/>
  <c r="C25" i="9"/>
  <c r="B6" i="63"/>
  <c r="L5" i="54"/>
  <c r="B39" i="63"/>
  <c r="K5" i="54"/>
  <c r="B38" i="63"/>
  <c r="T41" i="4"/>
  <c r="A17" i="64"/>
  <c r="B46" i="50"/>
  <c r="B4" i="63"/>
  <c r="H89" i="46"/>
  <c r="H85" i="46"/>
  <c r="H90" i="46"/>
  <c r="H88" i="46"/>
  <c r="H86" i="46"/>
  <c r="K10" i="1"/>
  <c r="M10" i="1"/>
  <c r="S13" i="1"/>
  <c r="R13" i="1"/>
  <c r="B6" i="1"/>
  <c r="E6" i="1"/>
  <c r="B10" i="1"/>
  <c r="E10" i="1"/>
  <c r="B8" i="1"/>
  <c r="E8" i="1"/>
  <c r="B12" i="1"/>
  <c r="E12" i="1"/>
  <c r="K6" i="1"/>
  <c r="M6" i="1"/>
  <c r="O6" i="1" s="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6" i="3"/>
  <c r="E13" i="52"/>
  <c r="C4" i="4" s="1"/>
  <c r="B20" i="55" s="1"/>
  <c r="B70" i="63" s="1"/>
  <c r="G66" i="36"/>
  <c r="J18" i="36"/>
  <c r="W18" i="36"/>
  <c r="AC18" i="36"/>
  <c r="L20" i="6"/>
  <c r="C45" i="9"/>
  <c r="B7" i="66"/>
  <c r="C28" i="46"/>
  <c r="C37" i="46"/>
  <c r="E37" i="46"/>
  <c r="C38" i="46"/>
  <c r="E38" i="46"/>
  <c r="C39" i="46"/>
  <c r="E39" i="46"/>
  <c r="C40" i="46"/>
  <c r="E40" i="46"/>
  <c r="C41" i="46"/>
  <c r="E41" i="46"/>
  <c r="C42" i="46"/>
  <c r="O40" i="9"/>
  <c r="K31" i="9"/>
  <c r="K32" i="9"/>
  <c r="N76" i="9"/>
  <c r="C46" i="9"/>
  <c r="K33" i="9"/>
  <c r="O41" i="9"/>
  <c r="K34" i="9"/>
  <c r="B8" i="66"/>
  <c r="R8" i="54"/>
  <c r="B54" i="63"/>
  <c r="H61" i="46"/>
  <c r="J21" i="46"/>
  <c r="F38" i="46"/>
  <c r="F41" i="46"/>
  <c r="F40" i="46"/>
  <c r="H117" i="46"/>
  <c r="D24" i="59"/>
  <c r="D23" i="59"/>
  <c r="U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H72" i="46"/>
  <c r="T21" i="59"/>
  <c r="S21" i="59"/>
  <c r="D22" i="59"/>
  <c r="V21" i="59"/>
  <c r="D21" i="59"/>
  <c r="D20" i="59"/>
  <c r="D19" i="59"/>
  <c r="C24" i="46"/>
  <c r="D65" i="46"/>
  <c r="D50" i="46"/>
  <c r="F36" i="44"/>
  <c r="M22" i="44"/>
  <c r="M20" i="15"/>
  <c r="E29" i="6"/>
  <c r="BL13" i="3"/>
  <c r="L19" i="6"/>
  <c r="L27" i="6" s="1"/>
  <c r="F30" i="6"/>
  <c r="C7" i="21"/>
  <c r="C58" i="21"/>
  <c r="D58" i="21"/>
  <c r="E58" i="21"/>
  <c r="C7" i="33"/>
  <c r="C58" i="33"/>
  <c r="D58" i="33"/>
  <c r="E58" i="33"/>
  <c r="F58" i="33"/>
  <c r="C7" i="34"/>
  <c r="C59" i="34"/>
  <c r="C9" i="39"/>
  <c r="C69" i="39"/>
  <c r="C9" i="40"/>
  <c r="C64" i="40"/>
  <c r="N67" i="9"/>
  <c r="D38" i="4"/>
  <c r="C39" i="4"/>
  <c r="G23" i="46"/>
  <c r="C23" i="46"/>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O23" i="46"/>
  <c r="A1" i="70"/>
  <c r="H50" i="46"/>
  <c r="H51" i="46"/>
  <c r="H56" i="46"/>
  <c r="H55" i="46"/>
  <c r="H58" i="46"/>
  <c r="H53" i="46"/>
  <c r="H54" i="46"/>
  <c r="AZ13" i="3"/>
  <c r="AZ5" i="3" s="1"/>
  <c r="E3" i="6" s="1"/>
  <c r="E8" i="6"/>
  <c r="E53" i="40"/>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E10" i="46"/>
  <c r="E11" i="46"/>
  <c r="E9" i="46"/>
  <c r="E8" i="46"/>
  <c r="G28" i="6"/>
  <c r="G30" i="6" s="1"/>
  <c r="G31" i="6"/>
  <c r="G27" i="12"/>
  <c r="F34" i="44"/>
  <c r="F24" i="43"/>
  <c r="C24" i="43"/>
  <c r="C25" i="43"/>
  <c r="C2" i="65"/>
  <c r="I1" i="65"/>
  <c r="G20" i="43"/>
  <c r="G26" i="12"/>
  <c r="F70" i="9"/>
  <c r="F66" i="9"/>
  <c r="P72" i="9"/>
  <c r="F28" i="15"/>
  <c r="F30" i="44"/>
  <c r="C30" i="44"/>
  <c r="D86" i="9"/>
  <c r="F29" i="12"/>
  <c r="F32" i="15"/>
  <c r="F59" i="15"/>
  <c r="F71" i="9"/>
  <c r="K15" i="1"/>
  <c r="P11" i="1"/>
  <c r="P6" i="1"/>
  <c r="P12" i="1"/>
  <c r="P9" i="1"/>
  <c r="P13" i="1"/>
  <c r="G6" i="1"/>
  <c r="K17" i="4"/>
  <c r="A22" i="51"/>
  <c r="B16" i="63"/>
  <c r="A25" i="51"/>
  <c r="B18" i="63"/>
  <c r="G10" i="1"/>
  <c r="G13" i="1"/>
  <c r="V13" i="59"/>
  <c r="C95" i="9"/>
  <c r="C92" i="9"/>
  <c r="C25" i="12"/>
  <c r="C15"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69" i="39"/>
  <c r="C71" i="39"/>
  <c r="C66" i="40"/>
  <c r="D64" i="40"/>
  <c r="J7" i="33"/>
  <c r="C18" i="11"/>
  <c r="K77" i="9"/>
  <c r="K79" i="9"/>
  <c r="K81" i="9"/>
  <c r="D16" i="59"/>
  <c r="X16" i="59"/>
  <c r="Y16" i="59"/>
  <c r="Z16" i="59"/>
  <c r="B4" i="52"/>
  <c r="E14" i="52"/>
  <c r="E11" i="52"/>
  <c r="E7" i="52"/>
  <c r="E4" i="52"/>
  <c r="B10" i="52"/>
  <c r="B5" i="52"/>
  <c r="B12" i="52"/>
  <c r="B14" i="52"/>
  <c r="Y3" i="59"/>
  <c r="Z3" i="59"/>
  <c r="AB17" i="59"/>
  <c r="AA17" i="59"/>
  <c r="D17" i="59"/>
  <c r="Y17" i="59"/>
  <c r="Z17" i="59"/>
  <c r="P26" i="46"/>
  <c r="P28" i="46"/>
  <c r="B67" i="40"/>
  <c r="P27" i="46"/>
  <c r="P29" i="46"/>
  <c r="B72" i="39"/>
  <c r="P25" i="46"/>
  <c r="M17" i="15"/>
  <c r="E83" i="46"/>
  <c r="B81" i="46"/>
  <c r="E12" i="6"/>
  <c r="E58" i="40" s="1"/>
  <c r="J7" i="21"/>
  <c r="E61" i="46"/>
  <c r="B59" i="46"/>
  <c r="E50" i="46"/>
  <c r="B48" i="46"/>
  <c r="E17" i="46"/>
  <c r="C17" i="46"/>
  <c r="C7" i="46"/>
  <c r="F27" i="6"/>
  <c r="E58" i="39"/>
  <c r="E14" i="6"/>
  <c r="E65" i="39" s="1"/>
  <c r="E11" i="6"/>
  <c r="E28" i="6"/>
  <c r="E63" i="39"/>
  <c r="K14" i="1"/>
  <c r="H7" i="34"/>
  <c r="F7" i="34"/>
  <c r="AA7" i="34"/>
  <c r="R49" i="34"/>
  <c r="J7" i="34"/>
  <c r="W7" i="34"/>
  <c r="F7" i="21"/>
  <c r="AA7" i="21"/>
  <c r="R48" i="21"/>
  <c r="H7" i="21"/>
  <c r="AB7" i="21"/>
  <c r="T48" i="21"/>
  <c r="G48" i="21"/>
  <c r="S13" i="59"/>
  <c r="U13" i="59"/>
  <c r="F58" i="15"/>
  <c r="H7" i="35"/>
  <c r="U7" i="35"/>
  <c r="E64" i="40"/>
  <c r="D66" i="40"/>
  <c r="AC7" i="33"/>
  <c r="V48" i="33"/>
  <c r="I48" i="33"/>
  <c r="W7" i="33"/>
  <c r="S7" i="34"/>
  <c r="J7" i="37"/>
  <c r="W7" i="21"/>
  <c r="AC7" i="21"/>
  <c r="V48" i="21"/>
  <c r="I48" i="21"/>
  <c r="D71" i="39"/>
  <c r="E69" i="39"/>
  <c r="AB7" i="34"/>
  <c r="T49" i="34"/>
  <c r="G49" i="34"/>
  <c r="U7" i="34"/>
  <c r="H7" i="33"/>
  <c r="F7" i="33"/>
  <c r="J46" i="36"/>
  <c r="J7" i="35"/>
  <c r="F7" i="35"/>
  <c r="H7" i="37"/>
  <c r="F7" i="37"/>
  <c r="D15" i="59"/>
  <c r="M19" i="44"/>
  <c r="M32" i="46"/>
  <c r="P32" i="46"/>
  <c r="O32" i="46"/>
  <c r="N32" i="46"/>
  <c r="AE12" i="1"/>
  <c r="AE9" i="1"/>
  <c r="AE10" i="1"/>
  <c r="AE11" i="1"/>
  <c r="AC7" i="34"/>
  <c r="V49" i="34"/>
  <c r="I49" i="34"/>
  <c r="AG8" i="1"/>
  <c r="AG9" i="1"/>
  <c r="AG11" i="1"/>
  <c r="AG12" i="1"/>
  <c r="AG10" i="1"/>
  <c r="AG7" i="1"/>
  <c r="AG6" i="1"/>
  <c r="D45" i="9"/>
  <c r="E60" i="40"/>
  <c r="E30" i="6"/>
  <c r="U7" i="21"/>
  <c r="M14" i="1"/>
  <c r="S7" i="21"/>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E66" i="40"/>
  <c r="F64" i="40"/>
  <c r="D14" i="59"/>
  <c r="S8" i="1"/>
  <c r="G43" i="35"/>
  <c r="H43" i="35"/>
  <c r="O14" i="1"/>
  <c r="C8" i="59"/>
  <c r="T13"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D13" i="59"/>
  <c r="S12" i="1"/>
  <c r="S9" i="1"/>
  <c r="S11" i="1"/>
  <c r="S10" i="1"/>
  <c r="F8" i="59"/>
  <c r="C7" i="59"/>
  <c r="D8" i="59"/>
  <c r="D9" i="59"/>
  <c r="R9" i="1"/>
  <c r="P14" i="1"/>
  <c r="D10" i="59"/>
  <c r="D11" i="59"/>
  <c r="D12" i="59"/>
  <c r="C43" i="37"/>
  <c r="B3" i="37"/>
  <c r="B2" i="37"/>
  <c r="C42" i="37"/>
  <c r="C38" i="35"/>
  <c r="C39" i="35"/>
  <c r="B3" i="35"/>
  <c r="B2" i="35" s="1"/>
  <c r="M46" i="36"/>
  <c r="E52" i="33"/>
  <c r="F52" i="33"/>
  <c r="E53" i="33"/>
  <c r="F53" i="33"/>
  <c r="I53" i="33"/>
  <c r="J53" i="33"/>
  <c r="E47" i="37"/>
  <c r="F47" i="37"/>
  <c r="E46" i="37"/>
  <c r="F46" i="37"/>
  <c r="E43" i="35"/>
  <c r="F43" i="35"/>
  <c r="E42" i="35"/>
  <c r="F42" i="35"/>
  <c r="C49" i="33"/>
  <c r="B3" i="33"/>
  <c r="B2" i="33"/>
  <c r="C48" i="33"/>
  <c r="H69" i="39"/>
  <c r="G71" i="39"/>
  <c r="H64" i="40"/>
  <c r="G66" i="40"/>
  <c r="D77" i="9"/>
  <c r="N75" i="9"/>
  <c r="D66" i="9"/>
  <c r="N72" i="9"/>
  <c r="R11" i="1"/>
  <c r="C6" i="59"/>
  <c r="D7" i="59"/>
  <c r="F7" i="59"/>
  <c r="B8" i="59"/>
  <c r="E8" i="59"/>
  <c r="R12" i="1"/>
  <c r="R8" i="1"/>
  <c r="R10" i="1"/>
  <c r="I64" i="40"/>
  <c r="H66" i="40"/>
  <c r="H71" i="39"/>
  <c r="I69" i="39"/>
  <c r="N46" i="36"/>
  <c r="E7" i="59"/>
  <c r="B7" i="59"/>
  <c r="F6" i="59"/>
  <c r="D6" i="59"/>
  <c r="C5" i="59"/>
  <c r="O46" i="36"/>
  <c r="J7" i="36"/>
  <c r="F7" i="36"/>
  <c r="H7" i="36"/>
  <c r="J64" i="40"/>
  <c r="I66" i="40"/>
  <c r="J69" i="39"/>
  <c r="I71" i="39"/>
  <c r="D5" i="59"/>
  <c r="T5" i="59"/>
  <c r="F5" i="59"/>
  <c r="V5" i="59"/>
  <c r="B6" i="59"/>
  <c r="E6" i="59"/>
  <c r="K69" i="39"/>
  <c r="J71" i="39"/>
  <c r="U7" i="36"/>
  <c r="AB7" i="36"/>
  <c r="T36" i="36"/>
  <c r="G36" i="36"/>
  <c r="AC7" i="36"/>
  <c r="V36" i="36"/>
  <c r="I36" i="36"/>
  <c r="W7" i="36"/>
  <c r="J66" i="40"/>
  <c r="K64" i="40"/>
  <c r="S7" i="36"/>
  <c r="AA7" i="36"/>
  <c r="R36" i="36"/>
  <c r="E5" i="59"/>
  <c r="U5" i="59"/>
  <c r="B5" i="59"/>
  <c r="R37" i="36"/>
  <c r="E36" i="36"/>
  <c r="I41" i="36"/>
  <c r="J41" i="36"/>
  <c r="K66" i="40"/>
  <c r="L64" i="40"/>
  <c r="G41" i="36"/>
  <c r="H41" i="36"/>
  <c r="G40" i="36"/>
  <c r="H40" i="36"/>
  <c r="I40" i="36"/>
  <c r="J40" i="36"/>
  <c r="L69" i="39"/>
  <c r="K71" i="39"/>
  <c r="S5" i="59"/>
  <c r="M24" i="46"/>
  <c r="L71" i="39"/>
  <c r="M69" i="39"/>
  <c r="M64" i="40"/>
  <c r="L66" i="40"/>
  <c r="E40" i="36"/>
  <c r="F40" i="36"/>
  <c r="E41" i="36"/>
  <c r="F41" i="36"/>
  <c r="C37" i="36"/>
  <c r="B3" i="36"/>
  <c r="B2" i="36"/>
  <c r="C36" i="36"/>
  <c r="N64" i="40"/>
  <c r="N66" i="40"/>
  <c r="M66" i="40"/>
  <c r="N69" i="39"/>
  <c r="N71" i="39"/>
  <c r="M71" i="39"/>
  <c r="J9" i="40"/>
  <c r="H9" i="40"/>
  <c r="F9" i="40"/>
  <c r="J9" i="39"/>
  <c r="H9" i="39"/>
  <c r="F9" i="39"/>
  <c r="S9" i="39"/>
  <c r="AA9" i="39"/>
  <c r="R49" i="39"/>
  <c r="W9" i="39"/>
  <c r="AC9" i="39"/>
  <c r="V49" i="39"/>
  <c r="I49" i="39" s="1"/>
  <c r="U9" i="40"/>
  <c r="AB9" i="40"/>
  <c r="T44" i="40"/>
  <c r="G44" i="40" s="1"/>
  <c r="U9" i="39"/>
  <c r="AB9" i="39"/>
  <c r="T49" i="39"/>
  <c r="G49" i="39" s="1"/>
  <c r="S9" i="40"/>
  <c r="AA9" i="40"/>
  <c r="R44" i="40"/>
  <c r="R45" i="40" s="1"/>
  <c r="AC9" i="40"/>
  <c r="V44" i="40"/>
  <c r="I44" i="40" s="1"/>
  <c r="W9" i="40"/>
  <c r="E44" i="40"/>
  <c r="E49" i="40" s="1"/>
  <c r="F49" i="40" s="1"/>
  <c r="R50" i="39"/>
  <c r="E49" i="39"/>
  <c r="E54" i="39" s="1"/>
  <c r="F54" i="39" s="1"/>
  <c r="C49" i="39"/>
  <c r="C50" i="39"/>
  <c r="B61" i="39" s="1"/>
  <c r="F61" i="39" s="1"/>
  <c r="L46" i="15"/>
  <c r="E21" i="46"/>
  <c r="C20" i="46"/>
  <c r="C5" i="46"/>
  <c r="D5" i="46"/>
  <c r="G37" i="46"/>
  <c r="I37" i="46"/>
  <c r="G38" i="46"/>
  <c r="I38" i="46"/>
  <c r="G39" i="46"/>
  <c r="I39" i="46"/>
  <c r="G40" i="46"/>
  <c r="I40" i="46"/>
  <c r="G41" i="46"/>
  <c r="I41" i="46"/>
  <c r="G42" i="46"/>
  <c r="T14" i="46"/>
  <c r="V14" i="46"/>
  <c r="T6" i="46"/>
  <c r="V6" i="46"/>
  <c r="T13" i="46"/>
  <c r="V13" i="46"/>
  <c r="T5" i="46"/>
  <c r="V5" i="46"/>
  <c r="T12" i="46"/>
  <c r="V12" i="46"/>
  <c r="T4" i="46"/>
  <c r="V4" i="46"/>
  <c r="T11" i="46"/>
  <c r="V11" i="46"/>
  <c r="T10" i="46"/>
  <c r="V10" i="46"/>
  <c r="T8" i="46"/>
  <c r="V8" i="46"/>
  <c r="T3" i="46"/>
  <c r="V3" i="46"/>
  <c r="T15" i="46"/>
  <c r="V15" i="46"/>
  <c r="T2" i="46"/>
  <c r="V2" i="46"/>
  <c r="T7" i="46"/>
  <c r="V7" i="46"/>
  <c r="T9" i="46"/>
  <c r="V9" i="46"/>
  <c r="T16" i="46"/>
  <c r="V16" i="46"/>
  <c r="T8" i="70"/>
  <c r="W8" i="70"/>
  <c r="T7" i="70"/>
  <c r="W7" i="70"/>
  <c r="T6" i="70"/>
  <c r="W6" i="70"/>
  <c r="R5" i="70"/>
  <c r="R8" i="70"/>
  <c r="R7" i="70"/>
  <c r="R6" i="70"/>
  <c r="S5" i="70"/>
  <c r="S8" i="70"/>
  <c r="S7" i="70"/>
  <c r="S6" i="70"/>
  <c r="T5" i="70"/>
  <c r="W5" i="70"/>
  <c r="U5" i="70"/>
  <c r="U8" i="70"/>
  <c r="U7" i="70"/>
  <c r="U6" i="70"/>
  <c r="V5" i="70"/>
  <c r="V8" i="70"/>
  <c r="V7" i="70"/>
  <c r="V6" i="70"/>
  <c r="U28" i="70"/>
  <c r="S28" i="70"/>
  <c r="U27" i="70"/>
  <c r="S27" i="70"/>
  <c r="U26" i="70"/>
  <c r="S26" i="70"/>
  <c r="T28" i="70"/>
  <c r="W28" i="70"/>
  <c r="T27" i="70"/>
  <c r="W27" i="70"/>
  <c r="T26" i="70"/>
  <c r="W26" i="70"/>
  <c r="I5" i="65"/>
  <c r="F16" i="15"/>
  <c r="F6" i="15"/>
  <c r="F7" i="15"/>
  <c r="F36" i="15"/>
  <c r="F13" i="15"/>
  <c r="F37" i="15"/>
  <c r="F38" i="15"/>
  <c r="F42" i="15"/>
  <c r="L48" i="15"/>
  <c r="M6" i="15"/>
  <c r="F6" i="73"/>
  <c r="F7" i="73"/>
  <c r="F36" i="73"/>
  <c r="F13" i="73"/>
  <c r="F37" i="73"/>
  <c r="F38" i="73"/>
  <c r="F42" i="73"/>
  <c r="M8" i="73"/>
  <c r="M9" i="73"/>
  <c r="F16" i="73"/>
  <c r="F43" i="73"/>
  <c r="E2" i="65"/>
  <c r="F26" i="73"/>
  <c r="F26" i="15"/>
  <c r="F8" i="15"/>
  <c r="F9" i="15"/>
  <c r="N4" i="65"/>
  <c r="F40" i="15"/>
  <c r="M8" i="15"/>
  <c r="M9" i="15"/>
  <c r="F8" i="73"/>
  <c r="F40" i="73"/>
  <c r="M6" i="73"/>
  <c r="M28" i="73"/>
  <c r="M26" i="73"/>
  <c r="M22" i="73"/>
  <c r="J15" i="73"/>
  <c r="M23" i="73"/>
  <c r="M24" i="73"/>
  <c r="F9" i="73"/>
  <c r="F41" i="73"/>
  <c r="L48" i="73"/>
  <c r="L47" i="73"/>
  <c r="J36" i="73"/>
  <c r="M29" i="73"/>
  <c r="M27" i="73"/>
  <c r="J3" i="65"/>
  <c r="N5" i="65"/>
  <c r="I4" i="65"/>
  <c r="B12" i="67"/>
  <c r="M28" i="15"/>
  <c r="F43" i="44"/>
  <c r="I3" i="65"/>
  <c r="E12" i="67"/>
  <c r="E11" i="67"/>
  <c r="M31" i="44"/>
  <c r="E10" i="67"/>
  <c r="F11" i="67"/>
  <c r="B11" i="67"/>
  <c r="B8" i="67"/>
  <c r="B10" i="67"/>
  <c r="F14" i="67"/>
  <c r="I6" i="65"/>
  <c r="F18" i="44"/>
  <c r="F11" i="44"/>
  <c r="M26" i="44"/>
  <c r="B9" i="67"/>
  <c r="F38" i="44"/>
  <c r="M8" i="44"/>
  <c r="M25" i="44"/>
  <c r="F45" i="44"/>
  <c r="E14" i="67"/>
  <c r="N7" i="65"/>
  <c r="F10" i="44"/>
  <c r="I7" i="65"/>
  <c r="J36" i="15"/>
  <c r="F9" i="44"/>
  <c r="N6" i="65"/>
  <c r="E8" i="67"/>
  <c r="F8" i="44"/>
  <c r="M10" i="44"/>
  <c r="M30" i="44"/>
  <c r="L47" i="15"/>
  <c r="F12" i="67"/>
  <c r="F13" i="67"/>
  <c r="N3" i="65"/>
  <c r="L48" i="44"/>
  <c r="M22" i="15"/>
  <c r="M11" i="44"/>
  <c r="F39" i="44"/>
  <c r="M28" i="44"/>
  <c r="F46" i="44"/>
  <c r="M27" i="15"/>
  <c r="C19" i="44"/>
  <c r="E7" i="67"/>
  <c r="F37" i="44"/>
  <c r="J7" i="65"/>
  <c r="M23" i="15"/>
  <c r="B13" i="67"/>
  <c r="F9" i="67"/>
  <c r="M24" i="15"/>
  <c r="J17" i="44"/>
  <c r="E9" i="67"/>
  <c r="M26" i="15"/>
  <c r="L49" i="44"/>
  <c r="B14" i="67"/>
  <c r="F28" i="44"/>
  <c r="J15" i="15"/>
  <c r="J4" i="65"/>
  <c r="J6" i="65"/>
  <c r="E13" i="67"/>
  <c r="F15" i="44"/>
  <c r="J5" i="65"/>
  <c r="F8" i="67"/>
  <c r="F40" i="44"/>
  <c r="F10" i="67"/>
  <c r="M24" i="44"/>
  <c r="M29" i="44"/>
  <c r="F7" i="67"/>
  <c r="B7" i="67"/>
  <c r="M23" i="44"/>
  <c r="G53" i="39" l="1"/>
  <c r="H53" i="39" s="1"/>
  <c r="G54" i="39"/>
  <c r="H54" i="39" s="1"/>
  <c r="I53" i="39"/>
  <c r="J53" i="39" s="1"/>
  <c r="I54" i="39"/>
  <c r="J54" i="39" s="1"/>
  <c r="I49" i="40"/>
  <c r="J49" i="40" s="1"/>
  <c r="I48" i="40"/>
  <c r="J48" i="40" s="1"/>
  <c r="C44" i="40"/>
  <c r="C45" i="40"/>
  <c r="G48" i="40"/>
  <c r="H48" i="40" s="1"/>
  <c r="G49" i="40"/>
  <c r="H49" i="40" s="1"/>
  <c r="B60" i="39"/>
  <c r="F60" i="39" s="1"/>
  <c r="B63" i="39"/>
  <c r="F63" i="39" s="1"/>
  <c r="B64" i="39"/>
  <c r="B58" i="39"/>
  <c r="F58" i="39" s="1"/>
  <c r="B66" i="39"/>
  <c r="B65" i="39"/>
  <c r="F65" i="39" s="1"/>
  <c r="B62" i="39"/>
  <c r="B59" i="39"/>
  <c r="F59" i="39" s="1"/>
  <c r="E48" i="40"/>
  <c r="F48" i="40" s="1"/>
  <c r="E53" i="39"/>
  <c r="F53" i="39" s="1"/>
  <c r="F31" i="6"/>
  <c r="D33" i="46"/>
  <c r="O10" i="1"/>
  <c r="P10" i="1" s="1"/>
  <c r="E62" i="39"/>
  <c r="E57" i="40"/>
  <c r="D16" i="12"/>
  <c r="D16" i="43"/>
  <c r="C16" i="43" s="1"/>
  <c r="C21" i="4"/>
  <c r="O5" i="54" s="1"/>
  <c r="B45" i="63" s="1"/>
  <c r="L38" i="9"/>
  <c r="B14" i="66" s="1"/>
  <c r="B1" i="66" s="1"/>
  <c r="D46" i="9"/>
  <c r="E6" i="6"/>
  <c r="E15" i="6"/>
  <c r="E10" i="6"/>
  <c r="D42" i="46"/>
  <c r="E20" i="6"/>
  <c r="AC5" i="3"/>
  <c r="G13" i="3"/>
  <c r="O8" i="1"/>
  <c r="P8" i="1" s="1"/>
  <c r="E13" i="6"/>
  <c r="E27" i="6"/>
  <c r="E5" i="52"/>
  <c r="E8" i="52"/>
  <c r="B11" i="52"/>
  <c r="B6" i="52"/>
  <c r="B8" i="52"/>
  <c r="B9" i="52"/>
  <c r="E9" i="52"/>
  <c r="E6" i="52"/>
  <c r="B7" i="52"/>
  <c r="E12" i="52"/>
  <c r="E10" i="52"/>
  <c r="E4" i="4" s="1"/>
  <c r="B21" i="55" s="1"/>
  <c r="B72" i="63" s="1"/>
  <c r="J22" i="44"/>
  <c r="B2" i="67"/>
  <c r="E4" i="67"/>
  <c r="C29" i="44"/>
  <c r="J54" i="44"/>
  <c r="J58" i="44"/>
  <c r="J56" i="44" s="1"/>
  <c r="J59" i="44" s="1"/>
  <c r="Q52" i="44" s="1"/>
  <c r="I55" i="44"/>
  <c r="L57" i="44"/>
  <c r="C36" i="44"/>
  <c r="E3" i="67"/>
  <c r="L59" i="44"/>
  <c r="L60" i="44"/>
  <c r="L58" i="15"/>
  <c r="L59" i="15"/>
  <c r="C8" i="44"/>
  <c r="M9" i="44"/>
  <c r="J8" i="44" s="1"/>
  <c r="Q72" i="15"/>
  <c r="Q73" i="44"/>
  <c r="J1" i="65"/>
  <c r="Q72" i="73"/>
  <c r="L59" i="73"/>
  <c r="L58" i="73"/>
  <c r="L60" i="73"/>
  <c r="J57" i="73"/>
  <c r="J55" i="73" s="1"/>
  <c r="J58" i="73" s="1"/>
  <c r="Q51" i="73" s="1"/>
  <c r="L57" i="73"/>
  <c r="J53" i="73"/>
  <c r="J60" i="73"/>
  <c r="Q49" i="73" s="1"/>
  <c r="J59" i="73"/>
  <c r="L56" i="73"/>
  <c r="I54" i="73"/>
  <c r="F68" i="73"/>
  <c r="F48" i="73"/>
  <c r="F67" i="73"/>
  <c r="F50" i="73"/>
  <c r="F67" i="15"/>
  <c r="C4" i="65"/>
  <c r="B39" i="1" s="1"/>
  <c r="F50" i="15"/>
  <c r="C27" i="15"/>
  <c r="C27" i="73"/>
  <c r="B40" i="1"/>
  <c r="F70" i="73"/>
  <c r="F65" i="73"/>
  <c r="F64" i="73"/>
  <c r="F63" i="73"/>
  <c r="F49" i="73"/>
  <c r="M7" i="73"/>
  <c r="J6" i="73" s="1"/>
  <c r="C6" i="73"/>
  <c r="F48" i="15"/>
  <c r="J53" i="15"/>
  <c r="L56" i="15"/>
  <c r="J59" i="15"/>
  <c r="L57" i="15"/>
  <c r="J57" i="15"/>
  <c r="J55" i="15" s="1"/>
  <c r="J58" i="15" s="1"/>
  <c r="Q51" i="15" s="1"/>
  <c r="I54" i="15"/>
  <c r="J60" i="15"/>
  <c r="Q49" i="15" s="1"/>
  <c r="L60" i="15"/>
  <c r="F65" i="15"/>
  <c r="F64" i="15"/>
  <c r="F63" i="15"/>
  <c r="M7" i="15"/>
  <c r="J6" i="15" s="1"/>
  <c r="F49" i="15"/>
  <c r="C6" i="15"/>
  <c r="C18" i="44"/>
  <c r="E3" i="65"/>
  <c r="C16" i="73"/>
  <c r="K19" i="6" l="1"/>
  <c r="K21" i="6"/>
  <c r="M21" i="6" s="1"/>
  <c r="I21" i="6" s="1"/>
  <c r="S21" i="6" s="1"/>
  <c r="K26" i="6"/>
  <c r="M26" i="6" s="1"/>
  <c r="I26" i="6" s="1"/>
  <c r="S26" i="6" s="1"/>
  <c r="K22" i="6"/>
  <c r="M22" i="6" s="1"/>
  <c r="I22" i="6" s="1"/>
  <c r="S22" i="6" s="1"/>
  <c r="K25" i="6"/>
  <c r="M25" i="6" s="1"/>
  <c r="I25" i="6" s="1"/>
  <c r="S25" i="6" s="1"/>
  <c r="E31" i="6"/>
  <c r="K23" i="6"/>
  <c r="M23" i="6" s="1"/>
  <c r="I23" i="6" s="1"/>
  <c r="S23" i="6" s="1"/>
  <c r="K24" i="6"/>
  <c r="M24" i="6" s="1"/>
  <c r="I24" i="6" s="1"/>
  <c r="S24" i="6" s="1"/>
  <c r="G5" i="3"/>
  <c r="B3" i="3" s="1"/>
  <c r="K7" i="1"/>
  <c r="D9" i="12"/>
  <c r="K20" i="6"/>
  <c r="E16" i="6"/>
  <c r="D13" i="11"/>
  <c r="C13" i="11" s="1"/>
  <c r="D22" i="12"/>
  <c r="C22" i="12" s="1"/>
  <c r="C20" i="12" s="1"/>
  <c r="C7" i="66"/>
  <c r="C8" i="66"/>
  <c r="D1" i="46"/>
  <c r="E59" i="40"/>
  <c r="E64" i="39"/>
  <c r="H42" i="46"/>
  <c r="I42" i="46" s="1"/>
  <c r="E42" i="46"/>
  <c r="E61" i="40"/>
  <c r="E66" i="39"/>
  <c r="C16" i="12"/>
  <c r="D19" i="12"/>
  <c r="C19" i="12" s="1"/>
  <c r="F62" i="39"/>
  <c r="F66" i="39"/>
  <c r="F64" i="39"/>
  <c r="B60" i="40"/>
  <c r="F60" i="40" s="1"/>
  <c r="B57" i="40"/>
  <c r="F57" i="40" s="1"/>
  <c r="B55" i="40"/>
  <c r="F55" i="40" s="1"/>
  <c r="B56" i="40"/>
  <c r="F56" i="40" s="1"/>
  <c r="B58" i="40"/>
  <c r="F58" i="40" s="1"/>
  <c r="B53" i="40"/>
  <c r="F53" i="40" s="1"/>
  <c r="B59" i="40"/>
  <c r="B54" i="40"/>
  <c r="F54" i="40" s="1"/>
  <c r="B61" i="40"/>
  <c r="J60" i="44"/>
  <c r="J61" i="44" s="1"/>
  <c r="Q50" i="44" s="1"/>
  <c r="F17" i="11"/>
  <c r="C17" i="11" s="1"/>
  <c r="C19" i="11" s="1"/>
  <c r="J19" i="15"/>
  <c r="J18" i="15"/>
  <c r="J18" i="73"/>
  <c r="J19" i="73"/>
  <c r="J21" i="44"/>
  <c r="J20" i="44"/>
  <c r="C33" i="15"/>
  <c r="C32" i="15"/>
  <c r="Q58" i="15"/>
  <c r="Q67" i="15"/>
  <c r="C48" i="15"/>
  <c r="C32" i="73"/>
  <c r="C33" i="73"/>
  <c r="F24" i="73"/>
  <c r="C24" i="73" s="1"/>
  <c r="F24" i="15"/>
  <c r="C24" i="15" s="1"/>
  <c r="F26" i="12"/>
  <c r="C27" i="12" s="1"/>
  <c r="D26" i="12" s="1"/>
  <c r="C32" i="12" s="1"/>
  <c r="D30" i="12" s="1"/>
  <c r="L36" i="46"/>
  <c r="F20" i="43"/>
  <c r="D20" i="43" s="1"/>
  <c r="F26" i="44"/>
  <c r="C26" i="44" s="1"/>
  <c r="F11" i="15"/>
  <c r="M11" i="73"/>
  <c r="J10" i="73" s="1"/>
  <c r="J5" i="73" s="1"/>
  <c r="M11" i="15"/>
  <c r="J10" i="15" s="1"/>
  <c r="J5" i="15" s="1"/>
  <c r="F11" i="73"/>
  <c r="F13" i="44"/>
  <c r="C12" i="44" s="1"/>
  <c r="C7" i="44" s="1"/>
  <c r="M13" i="44"/>
  <c r="J12" i="44" s="1"/>
  <c r="J7" i="44" s="1"/>
  <c r="F1" i="73"/>
  <c r="Q53" i="73"/>
  <c r="Q74" i="73"/>
  <c r="Q61" i="73"/>
  <c r="C34" i="44"/>
  <c r="C35" i="44"/>
  <c r="Q74" i="15"/>
  <c r="Q61" i="15"/>
  <c r="Q75" i="44"/>
  <c r="Q62" i="44"/>
  <c r="Q54" i="44"/>
  <c r="F1" i="44"/>
  <c r="F1" i="15"/>
  <c r="Q53" i="15"/>
  <c r="C48" i="73"/>
  <c r="Q67" i="73"/>
  <c r="Q58" i="73"/>
  <c r="Q75" i="73"/>
  <c r="Q62" i="73"/>
  <c r="Q62" i="15"/>
  <c r="Q75" i="15"/>
  <c r="Q63" i="44"/>
  <c r="Q76" i="44"/>
  <c r="B3" i="67"/>
  <c r="B4" i="67"/>
  <c r="M29" i="15"/>
  <c r="F43" i="15"/>
  <c r="AE7" i="1"/>
  <c r="F41" i="15" s="1"/>
  <c r="L47" i="44" l="1"/>
  <c r="E13" i="3"/>
  <c r="AT6" i="3"/>
  <c r="F70" i="15"/>
  <c r="F61" i="40"/>
  <c r="F59" i="40"/>
  <c r="M20" i="6"/>
  <c r="I20" i="6" s="1"/>
  <c r="S20" i="6" s="1"/>
  <c r="S7" i="1"/>
  <c r="AP16" i="1"/>
  <c r="F22" i="11" s="1"/>
  <c r="H16" i="1"/>
  <c r="G16" i="1"/>
  <c r="M7" i="1"/>
  <c r="Q16" i="1"/>
  <c r="K16" i="1"/>
  <c r="L19" i="1" s="1"/>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78" i="3"/>
  <c r="E376" i="3"/>
  <c r="E21" i="3"/>
  <c r="E140" i="3"/>
  <c r="E142" i="3"/>
  <c r="E468" i="3"/>
  <c r="E185" i="3"/>
  <c r="E27" i="3"/>
  <c r="E469" i="3"/>
  <c r="E136" i="3"/>
  <c r="E85" i="3"/>
  <c r="E332" i="3"/>
  <c r="E139" i="3"/>
  <c r="E445" i="3"/>
  <c r="E556" i="3"/>
  <c r="E291" i="3"/>
  <c r="E527" i="3"/>
  <c r="E365"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489" i="3"/>
  <c r="E353" i="3"/>
  <c r="E50" i="3"/>
  <c r="E236" i="3"/>
  <c r="E474" i="3"/>
  <c r="E171" i="3"/>
  <c r="E354" i="3"/>
  <c r="E531" i="3"/>
  <c r="E495" i="3"/>
  <c r="E427" i="3"/>
  <c r="E294" i="3"/>
  <c r="E343" i="3"/>
  <c r="E109" i="3"/>
  <c r="E412" i="3"/>
  <c r="E568" i="3"/>
  <c r="E245" i="3"/>
  <c r="E451" i="3"/>
  <c r="E305" i="3"/>
  <c r="E12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344" i="3"/>
  <c r="E335" i="3"/>
  <c r="E366" i="3"/>
  <c r="E330" i="3"/>
  <c r="E350" i="3"/>
  <c r="E496" i="3"/>
  <c r="E352" i="3"/>
  <c r="E94" i="3"/>
  <c r="E64" i="3"/>
  <c r="E410" i="3"/>
  <c r="E148" i="3"/>
  <c r="E247" i="3"/>
  <c r="E539" i="3"/>
  <c r="E52" i="3"/>
  <c r="U6" i="3"/>
  <c r="E73"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36" i="3"/>
  <c r="E545" i="3"/>
  <c r="N6" i="3"/>
  <c r="E37" i="3"/>
  <c r="L6" i="3"/>
  <c r="E116" i="3"/>
  <c r="E465" i="3"/>
  <c r="E243" i="3"/>
  <c r="E416" i="3"/>
  <c r="E96" i="3"/>
  <c r="E160" i="3"/>
  <c r="E242" i="3"/>
  <c r="E133" i="3"/>
  <c r="E87" i="3"/>
  <c r="E458" i="3"/>
  <c r="E29" i="3"/>
  <c r="E256" i="3"/>
  <c r="E491" i="3"/>
  <c r="E319" i="3"/>
  <c r="E456" i="3"/>
  <c r="AJ6" i="3"/>
  <c r="E15" i="3"/>
  <c r="E56" i="3"/>
  <c r="E208" i="3"/>
  <c r="E485" i="3"/>
  <c r="E483" i="3"/>
  <c r="E532" i="3"/>
  <c r="E340" i="3"/>
  <c r="E130"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AY6" i="3"/>
  <c r="E286" i="3"/>
  <c r="E183" i="3"/>
  <c r="E320" i="3"/>
  <c r="E45" i="3"/>
  <c r="E284" i="3"/>
  <c r="E42" i="3"/>
  <c r="E181" i="3"/>
  <c r="E269" i="3"/>
  <c r="E338" i="3"/>
  <c r="E562" i="3"/>
  <c r="E518" i="3"/>
  <c r="E167" i="3"/>
  <c r="E515" i="3"/>
  <c r="E494" i="3"/>
  <c r="E542" i="3"/>
  <c r="E254" i="3"/>
  <c r="E341" i="3"/>
  <c r="E316" i="3"/>
  <c r="E318" i="3"/>
  <c r="E380" i="3"/>
  <c r="E413" i="3"/>
  <c r="M6" i="3"/>
  <c r="E241" i="3"/>
  <c r="E69" i="3"/>
  <c r="E446" i="3"/>
  <c r="E152" i="3"/>
  <c r="E437" i="3"/>
  <c r="E46" i="3"/>
  <c r="E221" i="3"/>
  <c r="E457" i="3"/>
  <c r="E31" i="3"/>
  <c r="X6" i="3"/>
  <c r="AA6" i="3"/>
  <c r="AD6" i="3"/>
  <c r="AC6" i="3" s="1"/>
  <c r="E299" i="3"/>
  <c r="E327" i="3"/>
  <c r="E103" i="3"/>
  <c r="E200" i="3"/>
  <c r="E62" i="3"/>
  <c r="E389" i="3"/>
  <c r="E230" i="3"/>
  <c r="E143" i="3"/>
  <c r="E250" i="3"/>
  <c r="E471" i="3"/>
  <c r="E408" i="3"/>
  <c r="E238" i="3"/>
  <c r="E44" i="3"/>
  <c r="E36" i="3"/>
  <c r="E237" i="3"/>
  <c r="E428" i="3"/>
  <c r="E100" i="3"/>
  <c r="E374" i="3"/>
  <c r="E223" i="3"/>
  <c r="E205" i="3"/>
  <c r="E399" i="3"/>
  <c r="E478" i="3"/>
  <c r="E317" i="3"/>
  <c r="E357" i="3"/>
  <c r="E179" i="3"/>
  <c r="AS6" i="3"/>
  <c r="E444" i="3"/>
  <c r="E383" i="3"/>
  <c r="E561" i="3"/>
  <c r="E443" i="3"/>
  <c r="E194" i="3"/>
  <c r="E297" i="3"/>
  <c r="AN6" i="3"/>
  <c r="E59" i="3"/>
  <c r="E464" i="3"/>
  <c r="E209" i="3"/>
  <c r="E450" i="3"/>
  <c r="E149" i="3"/>
  <c r="E249" i="3"/>
  <c r="E549" i="3"/>
  <c r="E460" i="3"/>
  <c r="I3" i="6"/>
  <c r="E463" i="3"/>
  <c r="E292" i="3"/>
  <c r="E426" i="3"/>
  <c r="E60" i="3"/>
  <c r="E75" i="3"/>
  <c r="E178" i="3"/>
  <c r="J6" i="3"/>
  <c r="E48" i="3"/>
  <c r="E438" i="3"/>
  <c r="E455" i="3"/>
  <c r="E283" i="3"/>
  <c r="E156" i="3"/>
  <c r="E49" i="3"/>
  <c r="E521" i="3"/>
  <c r="E461" i="3"/>
  <c r="E328" i="3"/>
  <c r="E155" i="3"/>
  <c r="E346" i="3"/>
  <c r="E541" i="3"/>
  <c r="E557" i="3"/>
  <c r="E476" i="3"/>
  <c r="E192" i="3"/>
  <c r="E114" i="3"/>
  <c r="E348" i="3"/>
  <c r="E93" i="3"/>
  <c r="E394" i="3"/>
  <c r="E55" i="3"/>
  <c r="E282" i="3"/>
  <c r="E570" i="3"/>
  <c r="E375" i="3"/>
  <c r="E409" i="3"/>
  <c r="E83" i="3"/>
  <c r="E124" i="3"/>
  <c r="E222" i="3"/>
  <c r="E388" i="3"/>
  <c r="E430" i="3"/>
  <c r="E146" i="3"/>
  <c r="E77" i="3"/>
  <c r="E434" i="3"/>
  <c r="E552" i="3"/>
  <c r="E57"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I6" i="3"/>
  <c r="H6" i="3" s="1"/>
  <c r="E6" i="3" s="1"/>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K27" i="6"/>
  <c r="S6" i="1"/>
  <c r="M19" i="6"/>
  <c r="J19" i="44"/>
  <c r="F68" i="15"/>
  <c r="J26" i="44"/>
  <c r="J28" i="44"/>
  <c r="J31" i="44" s="1"/>
  <c r="J26" i="73"/>
  <c r="J29" i="73" s="1"/>
  <c r="J24" i="73"/>
  <c r="J26" i="15"/>
  <c r="J29" i="15" s="1"/>
  <c r="J24" i="15"/>
  <c r="C33" i="44"/>
  <c r="C10" i="73"/>
  <c r="C5" i="73" s="1"/>
  <c r="C52" i="73"/>
  <c r="O36" i="46"/>
  <c r="L37" i="46"/>
  <c r="N36" i="46"/>
  <c r="Q36" i="46"/>
  <c r="M36" i="46"/>
  <c r="P36" i="46"/>
  <c r="C60" i="73"/>
  <c r="C47" i="73"/>
  <c r="C40" i="44"/>
  <c r="C10" i="15"/>
  <c r="C5" i="15" s="1"/>
  <c r="C52" i="15"/>
  <c r="C47" i="15" s="1"/>
  <c r="C60" i="15"/>
  <c r="C20" i="11"/>
  <c r="C21" i="11" s="1"/>
  <c r="C17" i="15"/>
  <c r="C16" i="15"/>
  <c r="C17" i="73"/>
  <c r="S16" i="1" l="1"/>
  <c r="T6" i="1" s="1"/>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D3" i="6"/>
  <c r="AY37" i="3"/>
  <c r="AY203" i="3"/>
  <c r="AY95" i="3"/>
  <c r="AY83" i="3"/>
  <c r="AY45" i="3"/>
  <c r="AY277" i="3"/>
  <c r="AY384" i="3"/>
  <c r="AY425" i="3"/>
  <c r="AY202" i="3"/>
  <c r="AY286" i="3"/>
  <c r="AY398" i="3"/>
  <c r="AY169" i="3"/>
  <c r="AY348" i="3"/>
  <c r="AY72" i="3"/>
  <c r="AY241" i="3"/>
  <c r="AY30" i="3"/>
  <c r="AY542" i="3"/>
  <c r="AY382" i="3"/>
  <c r="AY555" i="3"/>
  <c r="AY143" i="3"/>
  <c r="AY308" i="3"/>
  <c r="AY236" i="3"/>
  <c r="AY52" i="3"/>
  <c r="AY109" i="3"/>
  <c r="AY537" i="3"/>
  <c r="AY136" i="3"/>
  <c r="AY448" i="3"/>
  <c r="AY381" i="3"/>
  <c r="AY178" i="3"/>
  <c r="AY550" i="3"/>
  <c r="AY389" i="3"/>
  <c r="AY122" i="3"/>
  <c r="BC6" i="3"/>
  <c r="AY91" i="3"/>
  <c r="AY274" i="3"/>
  <c r="AY114" i="3"/>
  <c r="AY558" i="3"/>
  <c r="AY156" i="3"/>
  <c r="AY27" i="3"/>
  <c r="AY160" i="3"/>
  <c r="AY96" i="3"/>
  <c r="AY206" i="3"/>
  <c r="AY225" i="3"/>
  <c r="AY360" i="3"/>
  <c r="AY292" i="3"/>
  <c r="AY180" i="3"/>
  <c r="AY167" i="3"/>
  <c r="AY551" i="3"/>
  <c r="AY33" i="3"/>
  <c r="AY522" i="3"/>
  <c r="AY173" i="3"/>
  <c r="AY23" i="3"/>
  <c r="AY215" i="3"/>
  <c r="AY507" i="3"/>
  <c r="AY499" i="3"/>
  <c r="AY514" i="3"/>
  <c r="AY298" i="3"/>
  <c r="AY421" i="3"/>
  <c r="AY313" i="3"/>
  <c r="AY56" i="3"/>
  <c r="AY387" i="3"/>
  <c r="AY113"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82" i="3"/>
  <c r="AY128" i="3"/>
  <c r="AY182" i="3"/>
  <c r="AY264" i="3"/>
  <c r="AY479" i="3"/>
  <c r="AY364" i="3"/>
  <c r="AY238" i="3"/>
  <c r="AY115" i="3"/>
  <c r="AY230" i="3"/>
  <c r="AY420" i="3"/>
  <c r="AY157" i="3"/>
  <c r="AY516" i="3"/>
  <c r="AY142" i="3"/>
  <c r="AY232" i="3"/>
  <c r="AY326" i="3"/>
  <c r="AY269" i="3"/>
  <c r="AY457" i="3"/>
  <c r="AY13" i="3"/>
  <c r="AY38" i="3"/>
  <c r="AY378" i="3"/>
  <c r="AY248" i="3"/>
  <c r="AY249" i="3"/>
  <c r="AY452" i="3"/>
  <c r="AY439" i="3"/>
  <c r="AY473" i="3"/>
  <c r="AY59" i="3"/>
  <c r="AY61" i="3"/>
  <c r="AY391" i="3"/>
  <c r="AY403" i="3"/>
  <c r="AY125" i="3"/>
  <c r="AY410"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99" i="3"/>
  <c r="AY495" i="3"/>
  <c r="AY532" i="3"/>
  <c r="AY496" i="3"/>
  <c r="AY352" i="3"/>
  <c r="BP6" i="3"/>
  <c r="AY235" i="3"/>
  <c r="AY509" i="3"/>
  <c r="AY373" i="3"/>
  <c r="AY73" i="3"/>
  <c r="AY135" i="3"/>
  <c r="AY201" i="3"/>
  <c r="AY120" i="3"/>
  <c r="AY233" i="3"/>
  <c r="AY535" i="3"/>
  <c r="AY332" i="3"/>
  <c r="AY513" i="3"/>
  <c r="AY164" i="3"/>
  <c r="AY418" i="3"/>
  <c r="AY285" i="3"/>
  <c r="AY163" i="3"/>
  <c r="AY107" i="3"/>
  <c r="AY154" i="3"/>
  <c r="AY194" i="3"/>
  <c r="AY88" i="3"/>
  <c r="AY504" i="3"/>
  <c r="AY467" i="3"/>
  <c r="AY70" i="3"/>
  <c r="AY435" i="3"/>
  <c r="AY188" i="3"/>
  <c r="AY87" i="3"/>
  <c r="AY49" i="3"/>
  <c r="AY302" i="3"/>
  <c r="AY556" i="3"/>
  <c r="BD6" i="3"/>
  <c r="BQ6" i="3"/>
  <c r="AY541" i="3"/>
  <c r="AY237" i="3"/>
  <c r="AY454" i="3"/>
  <c r="AY512"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162" i="3"/>
  <c r="AY562" i="3"/>
  <c r="AY303" i="3"/>
  <c r="AY204" i="3"/>
  <c r="AY216" i="3"/>
  <c r="AY28" i="3"/>
  <c r="AY311" i="3"/>
  <c r="AY257" i="3"/>
  <c r="AY254" i="3"/>
  <c r="AY359" i="3"/>
  <c r="AY437" i="3"/>
  <c r="AY493" i="3"/>
  <c r="AY273" i="3"/>
  <c r="AY64" i="3"/>
  <c r="AY158" i="3"/>
  <c r="AY443" i="3"/>
  <c r="AY219" i="3"/>
  <c r="AY148" i="3"/>
  <c r="BA6" i="3"/>
  <c r="AY446" i="3"/>
  <c r="AY211" i="3"/>
  <c r="AY221" i="3"/>
  <c r="AY531" i="3"/>
  <c r="AY63" i="3"/>
  <c r="AY213" i="3"/>
  <c r="AY284" i="3"/>
  <c r="AY98" i="3"/>
  <c r="AY471" i="3"/>
  <c r="AY358" i="3"/>
  <c r="AY433" i="3"/>
  <c r="AY296" i="3"/>
  <c r="AY530" i="3"/>
  <c r="AY397" i="3"/>
  <c r="AY155" i="3"/>
  <c r="AY275" i="3"/>
  <c r="BN6" i="3"/>
  <c r="AY184" i="3"/>
  <c r="AY511" i="3"/>
  <c r="AY119" i="3"/>
  <c r="AY524" i="3"/>
  <c r="AY130" i="3"/>
  <c r="AY538" i="3"/>
  <c r="AY355" i="3"/>
  <c r="AY546" i="3"/>
  <c r="AY323" i="3"/>
  <c r="AY187" i="3"/>
  <c r="AY146" i="3"/>
  <c r="AY41" i="3"/>
  <c r="AY175" i="3"/>
  <c r="AY139" i="3"/>
  <c r="BK6" i="3"/>
  <c r="AY132" i="3"/>
  <c r="AY528" i="3"/>
  <c r="AY144" i="3"/>
  <c r="AY294" i="3"/>
  <c r="AY543" i="3"/>
  <c r="AY424" i="3"/>
  <c r="AY329" i="3"/>
  <c r="AY477" i="3"/>
  <c r="AY306" i="3"/>
  <c r="AY48" i="3"/>
  <c r="AY362" i="3"/>
  <c r="AY192"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22" i="3"/>
  <c r="AY406" i="3"/>
  <c r="BI6" i="3"/>
  <c r="AY150" i="3"/>
  <c r="AY432" i="3"/>
  <c r="AY280" i="3"/>
  <c r="AY172" i="3"/>
  <c r="BS6" i="3"/>
  <c r="AY394" i="3"/>
  <c r="AY282" i="3"/>
  <c r="AY544" i="3"/>
  <c r="AY24" i="3"/>
  <c r="AY494" i="3"/>
  <c r="AY515" i="3"/>
  <c r="AY290" i="3"/>
  <c r="AY46" i="3"/>
  <c r="AY569" i="3"/>
  <c r="AY371" i="3"/>
  <c r="AY283" i="3"/>
  <c r="AY380" i="3"/>
  <c r="AY396" i="3"/>
  <c r="F33" i="12"/>
  <c r="C34" i="12" s="1"/>
  <c r="D33" i="12" s="1"/>
  <c r="F21" i="43"/>
  <c r="J12" i="40"/>
  <c r="H12" i="40"/>
  <c r="F12" i="40"/>
  <c r="J12" i="39"/>
  <c r="H12" i="39"/>
  <c r="F12" i="39"/>
  <c r="C22" i="11"/>
  <c r="C23" i="11" s="1"/>
  <c r="B2" i="11" s="1"/>
  <c r="B3" i="11" s="1"/>
  <c r="M27" i="6"/>
  <c r="I19" i="6"/>
  <c r="O7" i="1"/>
  <c r="O16" i="1" s="1"/>
  <c r="M16" i="1"/>
  <c r="T7" i="1"/>
  <c r="C59" i="15"/>
  <c r="C65" i="15"/>
  <c r="C38" i="15"/>
  <c r="P37" i="46"/>
  <c r="M37" i="46"/>
  <c r="N37" i="46"/>
  <c r="Q37" i="46"/>
  <c r="O37" i="46"/>
  <c r="B5" i="11"/>
  <c r="C65" i="73"/>
  <c r="C59" i="73"/>
  <c r="C38" i="73"/>
  <c r="Q49" i="44"/>
  <c r="Q55" i="44" s="1"/>
  <c r="Q67" i="44"/>
  <c r="Q58" i="44"/>
  <c r="C14" i="15"/>
  <c r="C14" i="73"/>
  <c r="B4" i="11" l="1"/>
  <c r="C18" i="73"/>
  <c r="C15" i="73"/>
  <c r="C19" i="73" s="1"/>
  <c r="C18" i="15"/>
  <c r="C15" i="15"/>
  <c r="P7" i="1"/>
  <c r="P16" i="1" s="1"/>
  <c r="C13" i="12" s="1"/>
  <c r="S19" i="6"/>
  <c r="S27" i="6" s="1"/>
  <c r="I27" i="6"/>
  <c r="U12" i="39"/>
  <c r="AB12" i="39"/>
  <c r="AA12" i="40"/>
  <c r="S12" i="40"/>
  <c r="W12" i="40"/>
  <c r="AC12" i="40"/>
  <c r="C13" i="43"/>
  <c r="N16" i="1"/>
  <c r="F22" i="43" s="1"/>
  <c r="L16" i="1"/>
  <c r="AA12" i="39"/>
  <c r="S12" i="39"/>
  <c r="AC12" i="39"/>
  <c r="W12" i="39"/>
  <c r="U12" i="40"/>
  <c r="AB12" i="40"/>
  <c r="D8" i="6"/>
  <c r="D22" i="6"/>
  <c r="D11" i="6"/>
  <c r="D13" i="6"/>
  <c r="F46" i="9"/>
  <c r="D10" i="6"/>
  <c r="H24" i="6"/>
  <c r="H21" i="6"/>
  <c r="H26" i="6"/>
  <c r="E46" i="9"/>
  <c r="D28" i="6"/>
  <c r="H23" i="6"/>
  <c r="D24" i="6"/>
  <c r="R24" i="6" s="1"/>
  <c r="D9" i="6"/>
  <c r="H19" i="6"/>
  <c r="E62" i="40"/>
  <c r="F62" i="40" s="1"/>
  <c r="B2" i="40" s="1"/>
  <c r="D14" i="6"/>
  <c r="D25" i="6"/>
  <c r="D26" i="6"/>
  <c r="R26" i="6" s="1"/>
  <c r="D12" i="6"/>
  <c r="H20" i="6"/>
  <c r="D23" i="6"/>
  <c r="R23" i="6" s="1"/>
  <c r="F45" i="9"/>
  <c r="H25" i="6"/>
  <c r="R25" i="6" s="1"/>
  <c r="C22" i="4"/>
  <c r="D19" i="6"/>
  <c r="D6" i="6"/>
  <c r="H22" i="6"/>
  <c r="D5" i="6"/>
  <c r="E67" i="39"/>
  <c r="F67" i="39" s="1"/>
  <c r="B2" i="39" s="1"/>
  <c r="E45" i="9"/>
  <c r="D15" i="6"/>
  <c r="D16" i="6" s="1"/>
  <c r="D20" i="6"/>
  <c r="R20" i="6" s="1"/>
  <c r="R7" i="1" s="1"/>
  <c r="D29" i="6"/>
  <c r="D30" i="6" s="1"/>
  <c r="D21" i="6"/>
  <c r="R21" i="6" s="1"/>
  <c r="K38" i="9"/>
  <c r="C14" i="66" s="1"/>
  <c r="B2" i="66" s="1"/>
  <c r="T9" i="1"/>
  <c r="T13" i="1"/>
  <c r="T8" i="1"/>
  <c r="T12" i="1"/>
  <c r="T10" i="1"/>
  <c r="T11" i="1"/>
  <c r="F35" i="15"/>
  <c r="M21" i="15"/>
  <c r="C16" i="44"/>
  <c r="C19" i="15" l="1"/>
  <c r="C20" i="15" s="1"/>
  <c r="C23" i="15" s="1"/>
  <c r="C17" i="44"/>
  <c r="C20" i="44"/>
  <c r="C21" i="44" s="1"/>
  <c r="J20" i="15"/>
  <c r="J17" i="15" s="1"/>
  <c r="F62" i="15"/>
  <c r="C61" i="15" s="1"/>
  <c r="C58" i="15" s="1"/>
  <c r="C34" i="15"/>
  <c r="C31" i="15" s="1"/>
  <c r="A20" i="64"/>
  <c r="A6" i="64"/>
  <c r="N5" i="54"/>
  <c r="B43" i="63" s="1"/>
  <c r="A6" i="51"/>
  <c r="B7" i="63" s="1"/>
  <c r="A20" i="51"/>
  <c r="B15" i="63" s="1"/>
  <c r="H27" i="6"/>
  <c r="D7" i="66"/>
  <c r="D8" i="66"/>
  <c r="B5" i="39"/>
  <c r="B4" i="39"/>
  <c r="B3" i="39"/>
  <c r="B5" i="68"/>
  <c r="D14" i="68" s="1"/>
  <c r="R19" i="6"/>
  <c r="R6" i="1" s="1"/>
  <c r="D27" i="6"/>
  <c r="D31" i="6" s="1"/>
  <c r="B4" i="40"/>
  <c r="B3" i="40"/>
  <c r="B5" i="40"/>
  <c r="R22" i="6"/>
  <c r="R27" i="6" s="1"/>
  <c r="C14" i="43"/>
  <c r="C17" i="43"/>
  <c r="C14" i="12"/>
  <c r="C17" i="12"/>
  <c r="T16" i="1"/>
  <c r="C20" i="73"/>
  <c r="C26" i="73" s="1"/>
  <c r="F35" i="73"/>
  <c r="M21" i="73"/>
  <c r="C18" i="43" l="1"/>
  <c r="C19" i="43" s="1"/>
  <c r="C21" i="43" s="1"/>
  <c r="C23" i="73"/>
  <c r="C29" i="73" s="1"/>
  <c r="J20" i="73"/>
  <c r="J17" i="73" s="1"/>
  <c r="C34" i="73"/>
  <c r="C31" i="73" s="1"/>
  <c r="F62" i="73"/>
  <c r="C61" i="73" s="1"/>
  <c r="C58" i="73" s="1"/>
  <c r="C13" i="73"/>
  <c r="C56" i="73"/>
  <c r="C63" i="73" s="1"/>
  <c r="C18" i="12"/>
  <c r="C23" i="12" s="1"/>
  <c r="R16" i="1"/>
  <c r="C26" i="15"/>
  <c r="C29" i="15" s="1"/>
  <c r="I5" i="6"/>
  <c r="I6" i="6"/>
  <c r="G3" i="46" s="1"/>
  <c r="C22" i="44"/>
  <c r="C25" i="44" s="1"/>
  <c r="C28" i="44"/>
  <c r="C31" i="44" s="1"/>
  <c r="C20" i="43" l="1"/>
  <c r="C23" i="43" s="1"/>
  <c r="C27" i="43" s="1"/>
  <c r="B2" i="43" s="1"/>
  <c r="C36" i="73"/>
  <c r="D2" i="73"/>
  <c r="D13" i="68" s="1"/>
  <c r="D12" i="68" s="1"/>
  <c r="D11" i="68" s="1"/>
  <c r="E11" i="68" s="1"/>
  <c r="E7" i="68" s="1"/>
  <c r="C27" i="68" s="1"/>
  <c r="J14" i="73"/>
  <c r="J13" i="73" s="1"/>
  <c r="J23" i="73" s="1"/>
  <c r="J16" i="73" s="1"/>
  <c r="J25" i="73" s="1"/>
  <c r="Q50" i="73"/>
  <c r="Z7" i="46"/>
  <c r="G26" i="46"/>
  <c r="B117" i="46"/>
  <c r="H26" i="46"/>
  <c r="J26" i="46"/>
  <c r="F26" i="46"/>
  <c r="E26" i="46"/>
  <c r="J22" i="73"/>
  <c r="Q71" i="73"/>
  <c r="C37" i="73"/>
  <c r="C30" i="73" s="1"/>
  <c r="C39" i="73" s="1"/>
  <c r="C55" i="73"/>
  <c r="C64" i="73" s="1"/>
  <c r="C57" i="73" s="1"/>
  <c r="C66" i="73" s="1"/>
  <c r="C67" i="73" s="1"/>
  <c r="C70" i="73" s="1"/>
  <c r="J35" i="73"/>
  <c r="J39" i="73" s="1"/>
  <c r="J40" i="73" s="1"/>
  <c r="C15" i="44"/>
  <c r="J16" i="44"/>
  <c r="Q51" i="44"/>
  <c r="C38" i="44"/>
  <c r="C13" i="15"/>
  <c r="Q50" i="15"/>
  <c r="C36" i="15"/>
  <c r="C56" i="15"/>
  <c r="C63" i="15" s="1"/>
  <c r="J14" i="15"/>
  <c r="L51" i="73"/>
  <c r="D7" i="68" l="1"/>
  <c r="C26" i="68" s="1"/>
  <c r="C32" i="68" s="1"/>
  <c r="C38" i="68" s="1"/>
  <c r="C39" i="68" s="1"/>
  <c r="C40" i="68" s="1"/>
  <c r="C41" i="68" s="1"/>
  <c r="Q68" i="73"/>
  <c r="J15" i="44"/>
  <c r="J25" i="44" s="1"/>
  <c r="J24" i="44"/>
  <c r="Q70" i="73"/>
  <c r="Q69" i="73" s="1"/>
  <c r="C40" i="73"/>
  <c r="J22" i="15"/>
  <c r="J13" i="15"/>
  <c r="J23" i="15" s="1"/>
  <c r="C37" i="15"/>
  <c r="C30" i="15" s="1"/>
  <c r="C39" i="15" s="1"/>
  <c r="Q71" i="15"/>
  <c r="C55" i="15"/>
  <c r="C64" i="15" s="1"/>
  <c r="C57" i="15" s="1"/>
  <c r="C66" i="15" s="1"/>
  <c r="C67" i="15" s="1"/>
  <c r="J35" i="15"/>
  <c r="C39" i="44"/>
  <c r="C32" i="44" s="1"/>
  <c r="C42" i="44" s="1"/>
  <c r="Q72" i="44"/>
  <c r="C43" i="44"/>
  <c r="D26" i="46"/>
  <c r="C25" i="46" s="1"/>
  <c r="C33" i="46" s="1"/>
  <c r="B123" i="46"/>
  <c r="C123" i="46" s="1"/>
  <c r="D122" i="46"/>
  <c r="E122" i="46" s="1"/>
  <c r="F122" i="46" s="1"/>
  <c r="I122" i="46"/>
  <c r="J122" i="46" s="1"/>
  <c r="K122" i="46" s="1"/>
  <c r="L122" i="46" s="1"/>
  <c r="M122" i="46" s="1"/>
  <c r="D119" i="46"/>
  <c r="E119" i="46" s="1"/>
  <c r="F119" i="46" s="1"/>
  <c r="G119" i="46" s="1"/>
  <c r="H119" i="46" s="1"/>
  <c r="B122" i="46"/>
  <c r="C122" i="46" s="1"/>
  <c r="B120" i="46"/>
  <c r="C120" i="46" s="1"/>
  <c r="I121" i="46"/>
  <c r="J121" i="46" s="1"/>
  <c r="K121" i="46" s="1"/>
  <c r="L121" i="46" s="1"/>
  <c r="M121" i="46" s="1"/>
  <c r="I119" i="46"/>
  <c r="J119" i="46" s="1"/>
  <c r="K119" i="46" s="1"/>
  <c r="L119" i="46" s="1"/>
  <c r="M119" i="46" s="1"/>
  <c r="B121" i="46"/>
  <c r="C121" i="46" s="1"/>
  <c r="B119" i="46"/>
  <c r="C119" i="46" s="1"/>
  <c r="I123" i="46"/>
  <c r="J123" i="46" s="1"/>
  <c r="K123" i="46" s="1"/>
  <c r="L123" i="46" s="1"/>
  <c r="M123" i="46" s="1"/>
  <c r="G122" i="46"/>
  <c r="H122" i="46" s="1"/>
  <c r="D120" i="46"/>
  <c r="E120" i="46" s="1"/>
  <c r="F120" i="46" s="1"/>
  <c r="G120" i="46" s="1"/>
  <c r="H120" i="46" s="1"/>
  <c r="D121" i="46"/>
  <c r="E121" i="46" s="1"/>
  <c r="F121" i="46" s="1"/>
  <c r="G121" i="46" s="1"/>
  <c r="H121" i="46" s="1"/>
  <c r="D123" i="46"/>
  <c r="E123" i="46" s="1"/>
  <c r="F123" i="46" s="1"/>
  <c r="G123" i="46" s="1"/>
  <c r="H123" i="46" s="1"/>
  <c r="I120" i="46"/>
  <c r="J120" i="46" s="1"/>
  <c r="K120" i="46" s="1"/>
  <c r="L120" i="46" s="1"/>
  <c r="M120" i="46" s="1"/>
  <c r="D117" i="46"/>
  <c r="B5" i="43"/>
  <c r="B3" i="43"/>
  <c r="B4" i="43"/>
  <c r="B2" i="68"/>
  <c r="L51" i="15"/>
  <c r="J16" i="15" l="1"/>
  <c r="J25" i="15" s="1"/>
  <c r="Q68" i="15"/>
  <c r="C44" i="44"/>
  <c r="C45" i="44" s="1"/>
  <c r="Q71" i="44"/>
  <c r="Q70" i="44" s="1"/>
  <c r="C40" i="15"/>
  <c r="Q70" i="15"/>
  <c r="Q69" i="15" s="1"/>
  <c r="C34" i="46"/>
  <c r="E34" i="46" s="1"/>
  <c r="C31" i="46" s="1"/>
  <c r="E33" i="46"/>
  <c r="C30" i="46" s="1"/>
  <c r="B2" i="46" s="1"/>
  <c r="J39" i="15"/>
  <c r="J40" i="15" s="1"/>
  <c r="Q48" i="73"/>
  <c r="Q54" i="73" s="1"/>
  <c r="B2" i="73"/>
  <c r="B3" i="73" s="1"/>
  <c r="H43" i="73"/>
  <c r="C46" i="73"/>
  <c r="Q57" i="73"/>
  <c r="Q63" i="73" s="1"/>
  <c r="C43" i="73"/>
  <c r="Q66" i="73"/>
  <c r="Q76" i="73" s="1"/>
  <c r="J42" i="73"/>
  <c r="J43" i="73" s="1"/>
  <c r="J18" i="44"/>
  <c r="J27" i="44" s="1"/>
  <c r="B3" i="68"/>
  <c r="C8" i="12" s="1"/>
  <c r="C10" i="12"/>
  <c r="C46" i="15"/>
  <c r="C70" i="15"/>
  <c r="C19" i="9"/>
  <c r="L43" i="9" l="1"/>
  <c r="H43" i="15"/>
  <c r="J42" i="15"/>
  <c r="J43" i="15" s="1"/>
  <c r="C43" i="15"/>
  <c r="Q57" i="15"/>
  <c r="Q63" i="15" s="1"/>
  <c r="Q48" i="15"/>
  <c r="Q54" i="15" s="1"/>
  <c r="B2" i="15"/>
  <c r="Q66" i="15"/>
  <c r="Q76" i="15" s="1"/>
  <c r="B2" i="44"/>
  <c r="L52" i="44"/>
  <c r="B3" i="46"/>
  <c r="D4" i="46"/>
  <c r="B4" i="46"/>
  <c r="C20" i="9"/>
  <c r="C21" i="9"/>
  <c r="Q69" i="44" l="1"/>
  <c r="L58" i="44"/>
  <c r="L61" i="44" s="1"/>
  <c r="B5" i="44"/>
  <c r="B4" i="44"/>
  <c r="B3" i="44"/>
  <c r="B3" i="15"/>
  <c r="D8" i="12" s="1"/>
  <c r="D10" i="12"/>
  <c r="C6" i="12" s="1"/>
  <c r="C24" i="12" l="1"/>
  <c r="C29" i="12"/>
  <c r="Q68" i="44"/>
  <c r="Q77" i="44" s="1"/>
  <c r="Q59" i="44"/>
  <c r="Q64" i="44" s="1"/>
  <c r="C35" i="12" l="1"/>
  <c r="C33" i="12" s="1"/>
  <c r="C28" i="12"/>
  <c r="C26" i="12" s="1"/>
  <c r="C31" i="12" s="1"/>
  <c r="C30" i="12" s="1"/>
  <c r="C36" i="12" l="1"/>
  <c r="B2" i="12" s="1"/>
  <c r="D19" i="9"/>
  <c r="D22" i="9" l="1"/>
  <c r="G19" i="9"/>
  <c r="K20" i="9" s="1"/>
  <c r="L44" i="9"/>
  <c r="B4" i="12"/>
  <c r="B3" i="12"/>
  <c r="B5" i="12"/>
  <c r="D21" i="9"/>
  <c r="D20" i="9"/>
  <c r="G20" i="9" l="1"/>
  <c r="G21" i="9"/>
  <c r="C32" i="9"/>
  <c r="N43" i="9"/>
  <c r="G22" i="9"/>
  <c r="C42" i="9" l="1"/>
  <c r="C33" i="9"/>
  <c r="O43" i="9"/>
  <c r="O38" i="9"/>
  <c r="C35" i="9"/>
  <c r="F42" i="9" s="1"/>
  <c r="C34" i="9"/>
  <c r="M38" i="9" l="1"/>
  <c r="K27" i="9" s="1"/>
  <c r="E42" i="9"/>
  <c r="P5" i="54" s="1"/>
  <c r="B46" i="63" s="1"/>
  <c r="D14" i="66"/>
  <c r="K26" i="9"/>
  <c r="K25" i="9"/>
  <c r="D42" i="9"/>
  <c r="Q5" i="54" s="1"/>
  <c r="B47" i="63" s="1"/>
  <c r="N38" i="9"/>
  <c r="K28" i="9" s="1"/>
  <c r="R5" i="54"/>
  <c r="B48" i="63" s="1"/>
  <c r="N68" i="9"/>
  <c r="C44" i="9"/>
  <c r="D63" i="9"/>
  <c r="N69" i="9" l="1"/>
  <c r="E44" i="9"/>
  <c r="O39" i="9"/>
  <c r="D44" i="9"/>
  <c r="F44" i="9"/>
  <c r="C111" i="9"/>
  <c r="C104" i="9" s="1"/>
  <c r="C82" i="9"/>
  <c r="C81" i="9" s="1"/>
  <c r="C85" i="9" s="1"/>
  <c r="C86" i="9" s="1"/>
  <c r="D72" i="9" s="1"/>
  <c r="D71" i="9"/>
  <c r="C90" i="9"/>
  <c r="D73" i="9"/>
  <c r="N73" i="9" s="1"/>
  <c r="C96" i="9"/>
  <c r="C91" i="9" s="1"/>
  <c r="D70" i="9"/>
  <c r="C103" i="9"/>
  <c r="C113" i="9" s="1"/>
  <c r="E14" i="66"/>
  <c r="F14" i="66"/>
  <c r="B5" i="66"/>
  <c r="D5" i="66" l="1"/>
  <c r="C5" i="66"/>
  <c r="C114" i="9"/>
  <c r="E114" i="9" s="1"/>
  <c r="E115" i="9" s="1"/>
  <c r="C97" i="9"/>
  <c r="K29" i="9"/>
  <c r="K30" i="9" s="1"/>
  <c r="G14" i="66"/>
  <c r="B6" i="66" s="1"/>
  <c r="R6" i="54"/>
  <c r="B50" i="63" s="1"/>
  <c r="M84" i="9"/>
  <c r="N84" i="9" s="1"/>
  <c r="M87" i="9"/>
  <c r="N87" i="9" s="1"/>
  <c r="M83" i="9"/>
  <c r="N83" i="9" s="1"/>
  <c r="M86" i="9"/>
  <c r="N86" i="9" s="1"/>
  <c r="M88" i="9"/>
  <c r="N88" i="9" s="1"/>
  <c r="M85" i="9"/>
  <c r="N85" i="9" s="1"/>
  <c r="C115" i="9" l="1"/>
  <c r="D76" i="9" s="1"/>
  <c r="D74" i="9" s="1"/>
  <c r="N74" i="9" s="1"/>
  <c r="O77" i="9" s="1"/>
  <c r="N89" i="9"/>
  <c r="O89" i="9" s="1"/>
  <c r="D6" i="66"/>
  <c r="C6" i="66"/>
  <c r="C98" i="9"/>
  <c r="E98" i="9" s="1"/>
  <c r="E99" i="9" s="1"/>
  <c r="C99" i="9" l="1"/>
  <c r="Q77" i="9"/>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<sst xmlns="http://schemas.openxmlformats.org/spreadsheetml/2006/main" count="7854" uniqueCount="3398">
  <si>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</si>
  <si>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</si>
  <si>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</si>
  <si>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</si>
  <si>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</si>
  <si>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</si>
  <si>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</si>
  <si>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</si>
  <si>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</si>
  <si>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</si>
  <si>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</si>
  <si>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</si>
  <si>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</si>
  <si>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</si>
  <si>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</si>
  <si>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</si>
  <si>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</si>
  <si>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</si>
  <si>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</si>
  <si>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</si>
  <si>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</si>
  <si>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</si>
  <si>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</si>
  <si>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</si>
  <si>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</si>
  <si>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</si>
  <si>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</si>
  <si>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</si>
  <si>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</si>
  <si>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</si>
  <si>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</si>
  <si>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</si>
  <si>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</si>
  <si>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</si>
  <si>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</si>
  <si>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</si>
  <si>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</si>
  <si>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</si>
  <si>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</si>
  <si>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</si>
  <si>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</si>
  <si>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</si>
  <si>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</si>
  <si>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</si>
  <si>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</si>
  <si>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</si>
  <si>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</si>
  <si>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</si>
  <si>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</si>
  <si>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</si>
  <si>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</si>
  <si>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</si>
  <si>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</si>
  <si>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</si>
  <si>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</si>
  <si>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</si>
  <si>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</si>
  <si>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</si>
  <si>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</si>
  <si>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</si>
  <si>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</si>
  <si>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</si>
  <si>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</si>
  <si>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</si>
  <si>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</si>
  <si>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</si>
  <si>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</si>
  <si>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</si>
  <si>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</si>
  <si>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</si>
  <si>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</si>
  <si>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</si>
  <si>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</si>
  <si>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</si>
  <si>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</si>
  <si>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</si>
  <si>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</si>
  <si>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</si>
  <si>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</si>
  <si>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</si>
  <si>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</si>
  <si>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</si>
  <si>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</si>
  <si>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</si>
  <si>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</si>
  <si>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</si>
  <si>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</si>
  <si>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</si>
  <si>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</si>
  <si>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</si>
  <si>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</si>
  <si>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</si>
  <si>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</si>
  <si>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</si>
  <si>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</si>
  <si>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</si>
  <si>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</si>
  <si>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</si>
  <si>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</si>
  <si>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</si>
  <si>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</si>
  <si>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</si>
  <si>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</si>
  <si>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</si>
  <si>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</si>
  <si>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</si>
  <si>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</si>
  <si>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</si>
  <si>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</si>
  <si>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</si>
  <si>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</si>
  <si>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</si>
  <si>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</si>
  <si>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</si>
  <si>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</si>
  <si>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</si>
  <si>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</si>
  <si>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</si>
  <si>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</si>
  <si>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</si>
  <si>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</si>
  <si>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</si>
  <si>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</si>
  <si>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</si>
  <si>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</si>
  <si>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</si>
  <si>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</si>
  <si>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</si>
  <si>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</si>
  <si>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</si>
  <si>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</si>
  <si>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</si>
  <si>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</si>
  <si>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</si>
  <si>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</si>
  <si>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</si>
  <si>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</si>
  <si>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</si>
  <si>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</si>
  <si>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</si>
  <si>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</si>
  <si>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</si>
  <si>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</si>
  <si>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</si>
  <si>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</si>
  <si>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</si>
  <si>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</si>
  <si>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</si>
  <si>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</si>
  <si>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</si>
  <si>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</si>
  <si>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</si>
  <si>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</si>
  <si>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</si>
  <si>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</si>
  <si>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</si>
  <si>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</si>
  <si>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</si>
  <si>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</si>
  <si>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</si>
  <si>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</si>
  <si>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</si>
  <si>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</si>
  <si>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</si>
  <si>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</si>
  <si>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</si>
  <si>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</si>
  <si>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</si>
  <si>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</si>
  <si>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</si>
  <si>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</si>
  <si>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</si>
  <si>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</si>
  <si>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</si>
  <si>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</si>
  <si>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</si>
  <si>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</si>
  <si>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</si>
  <si>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</si>
  <si>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</si>
  <si>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</si>
  <si>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</si>
  <si>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</si>
  <si>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</si>
  <si>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</si>
  <si>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</si>
  <si>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</si>
  <si>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</si>
  <si>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</si>
  <si>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</si>
  <si>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</si>
  <si>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</si>
  <si>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</si>
  <si>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</si>
  <si>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</si>
  <si>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</si>
  <si>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</si>
  <si>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</si>
  <si>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</si>
  <si>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</si>
  <si>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</si>
  <si>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</si>
  <si>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</si>
  <si>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</si>
  <si>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</si>
  <si>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</si>
  <si>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</si>
  <si>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</si>
  <si>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</si>
  <si>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</si>
  <si>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</si>
  <si>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</si>
  <si>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</si>
  <si>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</si>
  <si>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</si>
  <si>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</si>
  <si>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</si>
  <si>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</si>
  <si>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</si>
  <si>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</si>
  <si>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</si>
  <si>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</si>
  <si>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</si>
  <si>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</si>
  <si>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</si>
  <si>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</si>
  <si>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</si>
  <si>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</si>
  <si>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</si>
  <si>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</si>
  <si>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</si>
  <si>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</si>
  <si>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</si>
  <si>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</si>
  <si>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</si>
  <si>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</si>
  <si>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</si>
  <si>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</si>
  <si>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</si>
  <si>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</si>
  <si>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</si>
  <si>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</si>
  <si>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</si>
  <si>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</si>
  <si>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</si>
  <si>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</si>
  <si>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</si>
  <si>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</si>
  <si>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</si>
  <si>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</si>
  <si>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</si>
  <si>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</si>
  <si>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</si>
  <si>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</si>
  <si>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</si>
  <si>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</si>
  <si>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</si>
  <si>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</si>
  <si>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</si>
  <si>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</si>
  <si>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</si>
  <si>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</si>
  <si>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</si>
  <si>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</si>
  <si>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</si>
  <si>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</si>
  <si>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</si>
  <si>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</si>
  <si>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</si>
  <si>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</si>
  <si>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</si>
  <si>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</si>
  <si>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</si>
  <si>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</si>
  <si>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</si>
  <si>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</si>
  <si>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</si>
  <si>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</si>
  <si>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</si>
  <si>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</si>
  <si>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</si>
  <si>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</si>
  <si>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</si>
  <si>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</si>
  <si>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</si>
  <si>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</si>
  <si>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</si>
  <si>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</si>
  <si>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</si>
  <si>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</si>
  <si>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</si>
  <si>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</si>
  <si>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</si>
  <si>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</si>
  <si>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</si>
  <si>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</si>
  <si>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</si>
  <si>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</si>
  <si>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</si>
  <si>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</si>
  <si>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</si>
  <si>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</si>
  <si>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</si>
  <si>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</si>
  <si>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</si>
  <si>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</si>
  <si>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</si>
  <si>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</si>
  <si>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</si>
  <si>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</si>
  <si>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</si>
  <si>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</si>
  <si>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</si>
  <si>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</si>
  <si>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</si>
  <si>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</si>
  <si>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</si>
  <si>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</si>
  <si>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</si>
  <si>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</si>
  <si>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</si>
  <si>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</si>
  <si>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</si>
  <si>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</si>
  <si>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</si>
  <si>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</si>
  <si>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</si>
  <si>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</si>
  <si>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</si>
  <si>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</si>
  <si>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</si>
  <si>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</si>
  <si>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</si>
  <si>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</si>
  <si>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</si>
  <si>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</si>
  <si>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</si>
  <si>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</si>
  <si>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</si>
  <si>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</si>
  <si>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</si>
  <si>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</si>
  <si>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</si>
  <si>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</si>
  <si>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</si>
  <si>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</si>
  <si>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</si>
  <si>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</si>
  <si>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</si>
  <si>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</si>
  <si>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</si>
  <si>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</si>
  <si>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</si>
  <si>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</si>
  <si>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</si>
  <si>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</si>
  <si>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</si>
  <si>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</si>
  <si>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</si>
  <si>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</si>
  <si>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</si>
  <si>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</si>
  <si>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</si>
  <si>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</si>
  <si>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</si>
  <si>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</si>
  <si>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</si>
  <si>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</si>
  <si>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</si>
  <si>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</si>
  <si>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</si>
  <si>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</si>
  <si>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</si>
  <si>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</si>
  <si>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</si>
  <si>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</si>
  <si>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</si>
  <si>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</si>
  <si>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</si>
  <si>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</si>
  <si>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</si>
  <si>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</si>
  <si>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</si>
  <si>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</si>
  <si>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</si>
  <si>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</si>
  <si>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</si>
  <si>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</si>
  <si>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</si>
  <si>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</si>
  <si>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</si>
  <si>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</si>
  <si>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</si>
  <si>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</si>
  <si>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</si>
  <si>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</si>
  <si>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</si>
  <si>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</si>
  <si>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</si>
  <si>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</si>
  <si>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</si>
  <si>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</si>
  <si>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</si>
  <si>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</si>
  <si>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</si>
  <si>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</si>
  <si>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</si>
  <si>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</si>
  <si>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</si>
  <si>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</si>
  <si>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</si>
  <si>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</si>
  <si>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</si>
  <si>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</si>
  <si>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</si>
  <si>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</si>
  <si>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</si>
  <si>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</si>
  <si>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</si>
  <si>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</si>
  <si>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</si>
  <si>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</si>
  <si>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</si>
  <si>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</si>
  <si>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</si>
  <si>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</si>
  <si>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</si>
  <si>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</si>
  <si>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</si>
  <si>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</si>
  <si>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</si>
  <si>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</si>
  <si>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</si>
  <si>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</si>
  <si>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</si>
  <si>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</si>
  <si>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</si>
  <si>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</si>
  <si>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</si>
  <si>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</si>
  <si>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</si>
  <si>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</si>
  <si>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</si>
  <si>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</si>
  <si>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</si>
  <si>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</si>
  <si>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</si>
  <si>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</si>
  <si>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</si>
  <si>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</si>
  <si>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</si>
  <si>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</si>
  <si>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</si>
  <si>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</si>
  <si>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</si>
  <si>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</si>
  <si>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</si>
  <si>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</si>
  <si>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</si>
  <si>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</si>
  <si>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</si>
  <si>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</si>
  <si>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</si>
  <si>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</si>
  <si>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</si>
  <si>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</si>
  <si>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</si>
  <si>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</si>
  <si>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</si>
  <si>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</si>
  <si>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</si>
  <si>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</si>
  <si>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</si>
  <si>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</si>
  <si>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</si>
  <si>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</si>
  <si>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</si>
  <si>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</si>
  <si>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</si>
  <si>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</si>
  <si>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</si>
  <si>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</si>
  <si>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</si>
  <si>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</si>
  <si>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</si>
  <si>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</si>
  <si>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</si>
  <si>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</si>
  <si>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</si>
  <si>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</si>
  <si>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</si>
  <si>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</si>
  <si>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</si>
  <si>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</si>
  <si>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</si>
  <si>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</si>
  <si>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</si>
  <si>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</si>
  <si>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</si>
  <si>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</si>
  <si>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</si>
  <si>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</si>
  <si>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</si>
  <si>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</si>
  <si>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</si>
  <si>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</si>
  <si>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</si>
  <si>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</si>
  <si>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</si>
  <si>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</si>
  <si>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</si>
  <si>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</si>
  <si>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</si>
  <si>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</si>
  <si>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</si>
  <si>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</si>
  <si>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</si>
  <si>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</si>
  <si>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</si>
  <si>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</si>
  <si>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</si>
  <si>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</si>
  <si>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</si>
  <si>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</si>
  <si>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</si>
  <si>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</si>
  <si>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</si>
  <si>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</si>
  <si>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</si>
  <si>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</si>
  <si>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</si>
  <si>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</si>
  <si>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</si>
  <si>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</si>
  <si>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</si>
  <si>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</si>
  <si>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</si>
  <si>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</si>
  <si>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</si>
  <si>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</si>
  <si>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</si>
  <si>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</si>
  <si>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</si>
  <si>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</si>
  <si>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</si>
  <si>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</si>
  <si>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</si>
  <si>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</si>
  <si>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</si>
  <si>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</si>
  <si>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</si>
  <si>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</si>
  <si>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</si>
  <si>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</si>
  <si>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</si>
  <si>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</si>
  <si>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</si>
  <si>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</si>
  <si>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</si>
  <si>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</si>
  <si>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</si>
  <si>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</si>
  <si>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</si>
  <si>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</si>
  <si>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</si>
  <si>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</si>
  <si>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</si>
  <si>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</si>
  <si>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</si>
  <si>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</si>
  <si>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</si>
  <si>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</si>
  <si>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</si>
  <si>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</si>
  <si>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</si>
  <si>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</si>
  <si>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</si>
  <si>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</si>
  <si>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</si>
  <si>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</si>
  <si>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</si>
  <si>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</si>
  <si>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</si>
  <si>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</si>
  <si>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</si>
  <si>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</si>
  <si>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</si>
  <si>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</si>
  <si>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</si>
  <si>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</si>
  <si>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</si>
  <si>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</si>
  <si>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</si>
  <si>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</si>
  <si>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</si>
  <si>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</si>
  <si>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</si>
  <si>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</si>
  <si>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</si>
  <si>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</si>
  <si>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</si>
  <si>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</si>
  <si>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</si>
  <si>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</si>
  <si>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</si>
  <si>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</si>
  <si>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</si>
  <si>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</si>
  <si>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</si>
  <si>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</si>
  <si>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</si>
  <si>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</si>
  <si>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</si>
  <si>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</si>
  <si>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</si>
  <si>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</si>
  <si>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</si>
  <si>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</si>
  <si>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</si>
  <si>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</si>
  <si>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</si>
  <si>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</si>
  <si>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</si>
  <si>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</si>
  <si>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</si>
  <si>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</si>
  <si>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</si>
  <si>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</si>
  <si>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</si>
  <si>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</si>
  <si>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</si>
  <si>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</si>
  <si>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</si>
  <si>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</si>
  <si>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</si>
  <si>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</si>
  <si>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</si>
  <si>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</si>
  <si>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</si>
  <si>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</si>
  <si>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</si>
  <si>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</si>
  <si>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</si>
  <si>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</si>
  <si>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</si>
  <si>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</si>
  <si>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</si>
  <si>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</si>
  <si>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</si>
  <si>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</si>
  <si>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</si>
  <si>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</si>
  <si>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</si>
  <si>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</si>
  <si>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</si>
  <si>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</si>
  <si>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</si>
  <si>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</si>
  <si>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</si>
  <si>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</si>
  <si>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</si>
  <si>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</si>
  <si>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</si>
  <si>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</si>
  <si>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</si>
  <si>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</si>
  <si>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</si>
  <si>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</si>
  <si>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</si>
  <si>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</si>
  <si>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</si>
  <si>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</si>
  <si>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</si>
  <si>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</si>
  <si>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</si>
  <si>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</si>
  <si>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</si>
  <si>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</si>
  <si>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</si>
  <si>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</si>
  <si>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</si>
  <si>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</si>
  <si>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</si>
  <si>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</si>
  <si>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</si>
  <si>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</si>
  <si>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</si>
  <si>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</si>
  <si>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</si>
  <si>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</si>
  <si>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</si>
  <si>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</si>
  <si>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</si>
  <si>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</si>
  <si>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</si>
  <si>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</si>
  <si>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</si>
  <si>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</si>
  <si>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</si>
  <si>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</si>
  <si>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</si>
  <si>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</si>
  <si>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</si>
  <si>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</si>
  <si>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</si>
  <si>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</si>
  <si>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</si>
  <si>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</si>
  <si>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</si>
  <si>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</si>
  <si>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</si>
  <si>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</si>
  <si>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</si>
  <si>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</si>
  <si>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</si>
  <si>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</si>
  <si>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</si>
  <si>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</si>
  <si>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</si>
  <si>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</si>
  <si>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</si>
  <si>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</si>
  <si>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</si>
  <si>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</si>
  <si>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</si>
  <si>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</si>
  <si>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</si>
  <si>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</si>
  <si>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</si>
  <si>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</si>
  <si>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</si>
  <si>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</si>
  <si>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</si>
  <si>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</si>
  <si>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</si>
  <si>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</si>
  <si>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</si>
  <si>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</si>
  <si>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</si>
  <si>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</si>
  <si>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</si>
  <si>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</si>
  <si>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</si>
  <si>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</si>
  <si>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</si>
  <si>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</si>
  <si>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</si>
  <si>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</si>
  <si>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</si>
  <si>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</si>
  <si>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</si>
  <si>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</si>
  <si>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</si>
  <si>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</si>
  <si>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</si>
  <si>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</si>
  <si>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</si>
  <si>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</si>
  <si>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</si>
  <si>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</si>
  <si>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</si>
  <si>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</si>
  <si>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</si>
  <si>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</si>
  <si>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</si>
  <si>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</si>
  <si>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</si>
  <si>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</si>
  <si>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</si>
  <si>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</si>
  <si>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</si>
  <si>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</si>
  <si>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</si>
  <si>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</si>
  <si>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</si>
  <si>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</si>
  <si>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</si>
  <si>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</si>
  <si>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</si>
  <si>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</si>
  <si>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</si>
  <si>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</si>
  <si>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</si>
  <si>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</si>
  <si>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</si>
  <si>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</si>
  <si>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</si>
  <si>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</si>
  <si>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</si>
  <si>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</si>
  <si>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</si>
  <si>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</si>
  <si>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</si>
  <si>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</si>
  <si>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</si>
  <si>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</si>
  <si>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</si>
  <si>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</si>
  <si>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</si>
  <si>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</si>
  <si>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</si>
  <si>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</si>
  <si>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</si>
  <si>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</si>
  <si>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</si>
  <si>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</si>
  <si>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</si>
  <si>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</si>
  <si>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</si>
  <si>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</si>
  <si>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</si>
  <si>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</si>
  <si>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</si>
  <si>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</si>
  <si>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</si>
  <si>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</si>
  <si>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</si>
  <si>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</si>
  <si>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</si>
  <si>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</si>
  <si>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</si>
  <si>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</si>
  <si>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</si>
  <si>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</si>
  <si>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</si>
  <si>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</si>
  <si>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</si>
  <si>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</si>
  <si>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</si>
  <si>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</si>
  <si>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</si>
  <si>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</si>
  <si>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</si>
  <si>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</si>
  <si>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</si>
  <si>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</si>
  <si>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</si>
  <si>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</si>
  <si>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</si>
  <si>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</si>
  <si>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</si>
  <si>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</si>
  <si>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</si>
  <si>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</si>
  <si>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</si>
  <si>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</si>
  <si>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</si>
  <si>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</si>
  <si>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</si>
  <si>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</si>
  <si>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</si>
  <si>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</si>
  <si>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</si>
  <si>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</si>
  <si>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</si>
  <si>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</si>
  <si>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</si>
  <si>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</si>
  <si>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</si>
  <si>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</si>
  <si>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</si>
  <si>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</si>
  <si>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</si>
  <si>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</si>
  <si>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</si>
  <si>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</si>
  <si>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</si>
  <si>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</si>
  <si>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</si>
  <si>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</si>
  <si>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</si>
  <si>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</si>
  <si>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</si>
  <si>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</si>
  <si>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</si>
  <si>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</si>
  <si>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</si>
  <si>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</si>
  <si>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</si>
  <si>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</si>
  <si>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</si>
  <si>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</si>
  <si>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</si>
  <si>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</si>
  <si>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</si>
  <si>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</si>
  <si>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</si>
  <si>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</si>
  <si>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</si>
  <si>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</si>
  <si>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</si>
  <si>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</si>
  <si>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</si>
  <si>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</si>
  <si>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</si>
  <si>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</si>
  <si>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</si>
  <si>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</si>
  <si>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</si>
  <si>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</si>
  <si>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</si>
  <si>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</si>
  <si>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</si>
  <si>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</si>
  <si>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</si>
  <si>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</si>
  <si>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</si>
  <si>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</si>
  <si>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</si>
  <si>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</si>
  <si>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</si>
  <si>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</si>
  <si>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</si>
  <si>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</si>
  <si>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</si>
  <si>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</si>
  <si>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</si>
  <si>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</si>
  <si>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</si>
  <si>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</si>
  <si>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</si>
  <si>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</si>
  <si>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</si>
  <si>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</si>
  <si>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</si>
  <si>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</si>
  <si>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</si>
  <si>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</si>
  <si>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</si>
  <si>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</si>
  <si>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</si>
  <si>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</si>
  <si>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</si>
  <si>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</si>
  <si>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</si>
  <si>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</si>
  <si>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</si>
  <si>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</si>
  <si>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</si>
  <si>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</si>
  <si>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</si>
  <si>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</si>
  <si>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</si>
  <si>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</si>
  <si>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</si>
  <si>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</si>
  <si>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</si>
  <si>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</si>
  <si>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</si>
  <si>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</si>
  <si>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</si>
  <si>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</si>
  <si>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</si>
  <si>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</si>
  <si>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</si>
  <si>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</si>
  <si>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</si>
  <si>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</si>
  <si>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</si>
  <si>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</si>
  <si>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</si>
  <si>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</si>
  <si>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</si>
  <si>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</si>
  <si>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</si>
  <si>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</si>
  <si>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</si>
  <si>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</si>
  <si>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</si>
  <si>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</si>
  <si>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</si>
  <si>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</si>
  <si>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</si>
  <si>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</si>
  <si>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</si>
  <si>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</si>
  <si>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</si>
  <si>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</si>
  <si>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</si>
  <si>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</si>
  <si>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</si>
  <si>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</si>
  <si>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</si>
  <si>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</si>
  <si>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</si>
  <si>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</si>
  <si>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</si>
  <si>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</si>
  <si>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</si>
  <si>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</si>
  <si>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</si>
  <si>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</si>
  <si>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</si>
  <si>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</si>
  <si>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</si>
  <si>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</si>
  <si>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</si>
  <si>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</si>
  <si>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</si>
  <si>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</si>
  <si>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</si>
  <si>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</si>
  <si>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</si>
  <si>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</si>
  <si>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</si>
  <si>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</si>
  <si>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</si>
  <si>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</si>
  <si>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</si>
  <si>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</si>
  <si>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</si>
  <si>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</si>
  <si>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</si>
  <si>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</si>
  <si>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</si>
  <si>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</si>
  <si>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</si>
  <si>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</si>
  <si>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</si>
  <si>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</si>
  <si>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</si>
  <si>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</si>
  <si>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</si>
  <si>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</si>
  <si>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</si>
  <si>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</si>
  <si>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</si>
  <si>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</si>
  <si>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</si>
  <si>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</si>
  <si>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</si>
  <si>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</si>
  <si>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</si>
  <si>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</si>
  <si>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</si>
  <si>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</si>
  <si>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</si>
  <si>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</si>
  <si>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</si>
  <si>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</si>
  <si>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</si>
  <si>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</si>
  <si>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</si>
  <si>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</si>
  <si>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</si>
  <si>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</si>
  <si>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</si>
  <si>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</si>
  <si>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</si>
  <si>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</si>
  <si>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</si>
  <si>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</si>
  <si>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</si>
  <si>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</si>
  <si>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</si>
  <si>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</si>
  <si>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</si>
  <si>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</si>
  <si>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</si>
  <si>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</si>
  <si>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</si>
  <si>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</si>
  <si>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</si>
  <si>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</si>
  <si>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</si>
  <si>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</si>
  <si>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</si>
  <si>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</si>
  <si>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</si>
  <si>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</si>
  <si>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</si>
  <si>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</si>
  <si>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</si>
  <si>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</si>
  <si>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</si>
  <si>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</si>
  <si>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</si>
  <si>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</si>
  <si>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</si>
  <si>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</si>
  <si>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</si>
  <si>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</si>
  <si>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</si>
  <si>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</si>
  <si>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</si>
  <si>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</si>
  <si>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</si>
  <si>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</si>
  <si>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</si>
  <si>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</si>
  <si>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</si>
  <si>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</si>
  <si>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</si>
  <si>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</si>
  <si>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</si>
  <si>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</si>
  <si>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</si>
  <si>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</si>
  <si>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</si>
  <si>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</si>
  <si>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</si>
  <si>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</si>
  <si>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</si>
  <si>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</si>
  <si>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</si>
  <si>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</si>
  <si>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</si>
  <si>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</si>
  <si>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</si>
  <si>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</si>
  <si>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</si>
  <si>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</si>
  <si>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</si>
  <si>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</si>
  <si>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</si>
  <si>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</si>
  <si>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</si>
  <si>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</si>
  <si>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</si>
  <si>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</si>
  <si>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</si>
  <si>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</si>
  <si>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</si>
  <si>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</si>
  <si>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</si>
  <si>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</si>
  <si>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</si>
  <si>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</si>
  <si>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</si>
  <si>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</si>
  <si>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</si>
  <si>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</si>
  <si>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</si>
  <si>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</si>
  <si>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</si>
  <si>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</si>
  <si>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</si>
  <si>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</si>
  <si>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</si>
  <si>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</si>
  <si>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</si>
  <si>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</si>
  <si>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</si>
  <si>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</si>
  <si>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</si>
  <si>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</si>
  <si>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</si>
  <si>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</si>
  <si>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</si>
  <si>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</si>
  <si>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</si>
  <si>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</si>
  <si>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</si>
  <si>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</si>
  <si>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</si>
  <si>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</si>
  <si>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</si>
  <si>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</si>
  <si>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</si>
  <si>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</si>
  <si>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</si>
  <si>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</si>
  <si>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</si>
  <si>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</si>
  <si>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</si>
  <si>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</si>
  <si>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</si>
  <si>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</si>
  <si>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</si>
  <si>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</si>
  <si>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</si>
  <si>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</si>
  <si>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</si>
  <si>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</si>
  <si>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</si>
  <si>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</si>
  <si>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</si>
  <si>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</si>
  <si>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</si>
  <si>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</si>
  <si>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</si>
  <si>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</si>
  <si>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</si>
  <si>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</si>
  <si>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</si>
  <si>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</si>
  <si>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</si>
  <si>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</si>
  <si>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</si>
  <si>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</si>
  <si>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</si>
  <si>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</si>
  <si>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</si>
  <si>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</si>
  <si>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</si>
  <si>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</si>
  <si>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</si>
  <si>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</si>
  <si>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</si>
  <si>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</si>
  <si>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</si>
  <si>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</si>
  <si>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</si>
  <si>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</si>
  <si>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</si>
  <si>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</si>
  <si>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</si>
  <si>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</si>
  <si>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</si>
  <si>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</si>
  <si>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</si>
  <si>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</si>
  <si>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</si>
  <si>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</si>
  <si>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</si>
  <si>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</si>
  <si>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</si>
  <si>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</si>
  <si>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</si>
  <si>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</si>
  <si>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</si>
  <si>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</si>
  <si>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</si>
  <si>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</si>
  <si>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</si>
  <si>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</si>
  <si>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</si>
  <si>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</si>
  <si>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</si>
  <si>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</si>
  <si>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</si>
  <si>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</si>
  <si>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</si>
  <si>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</si>
  <si>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</si>
  <si>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</si>
  <si>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</si>
  <si>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</si>
  <si>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</si>
  <si>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</si>
  <si>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</si>
  <si>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</si>
  <si>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</si>
  <si>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</si>
  <si>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</si>
  <si>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</si>
  <si>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</si>
  <si>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</si>
  <si>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</si>
  <si>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</si>
  <si>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</si>
  <si>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</si>
  <si>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</si>
  <si>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</si>
  <si>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</si>
  <si>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</si>
  <si>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</si>
  <si>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</si>
  <si>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</si>
  <si>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</si>
  <si>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</si>
  <si>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</si>
  <si>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</si>
  <si>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</si>
  <si>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</si>
  <si>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</si>
  <si>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</si>
  <si>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</si>
  <si>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</si>
  <si>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</si>
  <si>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</si>
  <si>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</si>
  <si>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</si>
  <si>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</si>
  <si>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</si>
  <si>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</si>
  <si>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</si>
  <si>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</si>
  <si>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</si>
  <si>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</si>
  <si>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</si>
  <si>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</si>
  <si>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</si>
  <si>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</si>
  <si>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</si>
  <si>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</si>
  <si>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</si>
  <si>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</si>
  <si>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</si>
  <si>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</si>
  <si>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</si>
  <si>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</si>
  <si>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</si>
  <si>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</si>
  <si>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</si>
  <si>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</si>
  <si>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</si>
  <si>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</si>
  <si>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</si>
  <si>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</si>
  <si>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</si>
  <si>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</si>
  <si>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</si>
  <si>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</si>
  <si>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</si>
  <si>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</si>
  <si>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</si>
  <si>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</si>
  <si>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</si>
  <si>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</si>
  <si>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</si>
  <si>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</si>
  <si>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</si>
  <si>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</si>
  <si>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</si>
  <si>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</si>
  <si>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</si>
  <si>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</si>
  <si>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</si>
  <si>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</si>
  <si>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</si>
  <si>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</si>
  <si>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</si>
  <si>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</si>
  <si>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</si>
  <si>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</si>
  <si>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</si>
  <si>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</si>
  <si>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</si>
  <si>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</si>
  <si>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</si>
  <si>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</si>
  <si>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</si>
  <si>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</si>
  <si>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</si>
  <si>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</si>
  <si>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</si>
  <si>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</si>
  <si>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</si>
  <si>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</si>
  <si>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</si>
  <si>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</si>
  <si>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</si>
  <si>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</si>
  <si>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</si>
  <si>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</si>
  <si>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</si>
  <si>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</si>
  <si>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</si>
  <si>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</si>
  <si>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</si>
  <si>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</si>
  <si>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</si>
  <si>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</si>
  <si>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</si>
  <si>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</si>
  <si>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</si>
  <si>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</si>
  <si>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</si>
  <si>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</si>
  <si>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</si>
  <si>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</si>
  <si>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</si>
  <si>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</si>
  <si>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</si>
  <si>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</si>
  <si>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</si>
  <si>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</si>
  <si>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</si>
  <si>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</si>
  <si>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</si>
  <si>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</si>
  <si>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</si>
  <si>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</si>
  <si>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</si>
  <si>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</si>
  <si>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</si>
  <si>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</si>
  <si>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</si>
  <si>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</si>
  <si>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</si>
  <si>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</si>
  <si>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</si>
  <si>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</si>
  <si>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</si>
  <si>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</si>
  <si>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</si>
  <si>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</si>
  <si>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</si>
  <si>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</si>
  <si>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</si>
  <si>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</si>
  <si>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</si>
  <si>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</si>
  <si>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</si>
  <si>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</si>
  <si>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</si>
  <si>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</si>
  <si>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</si>
  <si>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</si>
  <si>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</si>
  <si>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</si>
  <si>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</si>
  <si>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</si>
  <si>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</si>
  <si>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</si>
  <si>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</si>
  <si>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</si>
  <si>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</si>
  <si>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</si>
  <si>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</si>
  <si>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</si>
  <si>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</si>
  <si>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</si>
  <si>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</si>
  <si>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</si>
  <si>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</si>
  <si>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</si>
  <si>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</si>
  <si>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</si>
  <si>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</si>
  <si>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</si>
  <si>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</si>
  <si>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</si>
  <si>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</si>
  <si>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</si>
  <si>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</si>
  <si>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</si>
  <si>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</si>
  <si>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</si>
  <si>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</si>
  <si>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</si>
  <si>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</si>
  <si>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</si>
  <si>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</si>
  <si>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</si>
  <si>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</si>
  <si>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</si>
  <si>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</si>
  <si>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</si>
  <si>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</si>
  <si>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</si>
  <si>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</si>
  <si>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</si>
  <si>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</si>
  <si>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</si>
  <si>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</si>
  <si>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</si>
  <si>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</si>
  <si>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</si>
  <si>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</si>
  <si>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</si>
  <si>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</si>
  <si>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</si>
  <si>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</si>
  <si>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</si>
  <si>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</si>
  <si>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</si>
  <si>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</si>
  <si>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</si>
  <si>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</si>
  <si>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</si>
  <si>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</si>
  <si>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</si>
  <si>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</si>
  <si>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</si>
  <si>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</si>
  <si>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</si>
  <si>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</si>
  <si>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</si>
  <si>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</si>
  <si>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</si>
  <si>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</si>
  <si>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</si>
  <si>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</si>
  <si>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</si>
  <si>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</si>
  <si>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</si>
  <si>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</si>
  <si>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</si>
  <si>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</si>
  <si>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</si>
  <si>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</si>
  <si>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</si>
  <si>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</si>
  <si>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</si>
  <si>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</si>
  <si>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</si>
  <si>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</si>
  <si>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</si>
  <si>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</si>
  <si>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</si>
  <si>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</si>
  <si>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</si>
  <si>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</si>
  <si>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</si>
  <si>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</si>
  <si>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</si>
  <si>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</si>
  <si>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</si>
  <si>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</si>
  <si>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</si>
  <si>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</si>
  <si>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</si>
  <si>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</si>
  <si>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</si>
  <si>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</si>
  <si>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</si>
  <si>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</si>
  <si>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</si>
  <si>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</si>
  <si>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</si>
  <si>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</si>
  <si>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</si>
  <si>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</si>
  <si>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</si>
  <si>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</si>
  <si>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</si>
  <si>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</si>
  <si>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</si>
  <si>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</si>
  <si>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</si>
  <si>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</si>
  <si>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</si>
  <si>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</si>
  <si>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</si>
  <si>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</si>
  <si>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</si>
  <si>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</si>
  <si>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</si>
  <si>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</si>
  <si>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</si>
  <si>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</si>
  <si>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</si>
  <si>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</si>
  <si>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</si>
  <si>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</si>
  <si>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</si>
  <si>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</si>
  <si>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</si>
  <si>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</si>
  <si>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</si>
  <si>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</si>
  <si>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</si>
  <si>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</si>
  <si>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</si>
  <si>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</si>
  <si>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</si>
  <si>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</si>
  <si>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</si>
  <si>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</si>
  <si>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</si>
  <si>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</si>
  <si>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</si>
  <si>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</si>
  <si>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</si>
  <si>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</si>
  <si>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</si>
  <si>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</si>
  <si>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</si>
  <si>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</si>
  <si>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</si>
  <si>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</si>
  <si>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</si>
  <si>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</si>
  <si>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</si>
  <si>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</si>
  <si>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</si>
  <si>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</si>
  <si>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</si>
  <si>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</si>
  <si>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</si>
  <si>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</si>
  <si>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</si>
  <si>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</si>
  <si>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</si>
  <si>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</si>
  <si>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</si>
  <si>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</si>
  <si>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</si>
  <si>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</si>
  <si>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</si>
  <si>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</si>
  <si>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</si>
  <si>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</si>
  <si>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</si>
  <si>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</si>
  <si>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</si>
  <si>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</si>
  <si>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</si>
  <si>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</si>
  <si>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</si>
  <si>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</si>
  <si>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</si>
  <si>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</si>
  <si>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</si>
  <si>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</si>
  <si>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</si>
  <si>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</si>
  <si>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</si>
  <si>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</si>
  <si>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</si>
  <si>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</si>
  <si>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</si>
  <si>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</si>
  <si>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</si>
  <si>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</si>
  <si>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</si>
  <si>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</si>
  <si>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</si>
  <si>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</si>
  <si>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</si>
  <si>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</si>
  <si>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</si>
  <si>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</si>
  <si>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</si>
  <si>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</si>
  <si>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</si>
  <si>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</si>
  <si>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</si>
  <si>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</si>
  <si>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</si>
  <si>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</si>
  <si>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</si>
  <si>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</si>
  <si>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</si>
  <si>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</si>
  <si>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</si>
  <si>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</si>
  <si>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</si>
  <si>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</si>
  <si>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</si>
  <si>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</si>
  <si>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</si>
  <si>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</si>
  <si>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</si>
  <si>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</si>
  <si>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</si>
  <si>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</si>
  <si>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</si>
  <si>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</si>
  <si>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</si>
  <si>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</si>
  <si>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</si>
  <si>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</si>
  <si>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</si>
  <si>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</si>
  <si>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</si>
  <si>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</si>
  <si>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</si>
  <si>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</si>
  <si>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</si>
  <si>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</si>
  <si>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</si>
  <si>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</si>
  <si>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</si>
  <si>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</si>
  <si>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</si>
  <si>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</si>
  <si>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</si>
  <si>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</si>
  <si>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</si>
  <si>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</si>
  <si>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</si>
  <si>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</si>
  <si>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</si>
  <si>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</si>
  <si>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</si>
  <si>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</si>
  <si>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</si>
  <si>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</si>
  <si>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</si>
  <si>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</si>
  <si>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</si>
  <si>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</si>
  <si>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</si>
  <si>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</si>
  <si>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</si>
  <si>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</si>
  <si>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</si>
  <si>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</si>
  <si>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</si>
  <si>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</si>
  <si>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</si>
  <si>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</si>
  <si>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</si>
  <si>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</si>
  <si>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</si>
  <si>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</si>
  <si>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</si>
  <si>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</si>
  <si>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</si>
  <si>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</si>
  <si>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</si>
  <si>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</si>
  <si>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</si>
  <si>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</si>
  <si>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</si>
  <si>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</si>
  <si>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</si>
  <si>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</si>
  <si>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</si>
  <si>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</si>
  <si>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</si>
  <si>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</si>
  <si>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</si>
  <si>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</si>
  <si>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</si>
  <si>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</si>
  <si>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</si>
  <si>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</si>
  <si>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</si>
  <si>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</si>
  <si>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</si>
  <si>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</si>
  <si>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</si>
  <si>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</si>
  <si>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</si>
  <si>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</si>
  <si>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</si>
  <si>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</si>
  <si>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</si>
  <si>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</si>
  <si>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</si>
  <si>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</si>
  <si>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</si>
  <si>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</si>
  <si>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</si>
  <si>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</si>
  <si>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</si>
  <si>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</si>
  <si>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</si>
  <si>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</si>
  <si>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</si>
  <si>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</si>
  <si>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</si>
  <si>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</si>
  <si>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</si>
  <si>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</si>
  <si>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</si>
  <si>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</si>
  <si>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</si>
  <si>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</si>
  <si>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</si>
  <si>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</si>
  <si>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</si>
  <si>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</si>
  <si>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</si>
  <si>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</si>
  <si>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</si>
  <si>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</si>
  <si>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</si>
  <si>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</si>
  <si>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</si>
  <si>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</si>
  <si>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</si>
  <si>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</si>
  <si>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</si>
  <si>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</si>
  <si>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</si>
  <si>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</si>
  <si>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</si>
  <si>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</si>
  <si>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</si>
  <si>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</si>
  <si>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</si>
  <si>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</si>
  <si>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</si>
  <si>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</si>
  <si>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</si>
  <si>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</si>
  <si>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</si>
  <si>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</si>
  <si>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</si>
  <si>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</si>
  <si>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</si>
  <si>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</si>
  <si>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</si>
  <si>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</si>
  <si>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</si>
  <si>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</si>
  <si>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</si>
  <si>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</si>
  <si>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</si>
  <si>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</si>
  <si>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</si>
  <si>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</si>
  <si>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</si>
  <si>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</si>
  <si>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</si>
  <si>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</si>
  <si>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</si>
  <si>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</si>
  <si>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</si>
  <si>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</si>
  <si>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</si>
  <si>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</si>
  <si>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</si>
  <si>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</si>
  <si>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</si>
  <si>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</si>
  <si>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</si>
  <si>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</si>
  <si>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</si>
  <si>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</si>
  <si>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</si>
  <si>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</si>
  <si>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</si>
  <si>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</si>
  <si>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</si>
  <si>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</si>
  <si>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</si>
  <si>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</si>
  <si>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</si>
  <si>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</si>
  <si>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</si>
  <si>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</si>
  <si>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</si>
  <si>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</si>
  <si>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</si>
  <si>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</si>
  <si>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</si>
  <si>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</si>
  <si>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</si>
  <si>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</si>
  <si>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</si>
  <si>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</si>
  <si>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</si>
  <si>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</si>
  <si>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</si>
  <si>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</si>
  <si>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</si>
  <si>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</si>
  <si>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</si>
  <si>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</si>
  <si>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</si>
  <si>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</si>
  <si>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</si>
  <si>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</si>
  <si>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</si>
  <si>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</si>
  <si>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</si>
  <si>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</si>
  <si>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</si>
  <si>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</si>
  <si>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</si>
  <si>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</si>
  <si>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</si>
  <si>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</si>
  <si>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</si>
  <si>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</si>
  <si>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</si>
  <si>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</si>
  <si>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</si>
  <si>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</si>
  <si>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</si>
  <si>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</si>
  <si>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</si>
  <si>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</si>
  <si>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</si>
  <si>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</si>
  <si>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</si>
  <si>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</si>
  <si>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</si>
  <si>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</si>
  <si>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</si>
  <si>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</si>
  <si>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</si>
  <si>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</si>
  <si>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</si>
  <si>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</si>
  <si>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</si>
  <si>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</si>
  <si>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</si>
  <si>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</si>
  <si>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</si>
  <si>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</si>
  <si>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</si>
  <si>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</si>
  <si>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</si>
  <si>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</si>
  <si>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</si>
  <si>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</si>
  <si>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</si>
  <si>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</si>
  <si>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</si>
  <si>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</si>
  <si>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</si>
  <si>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</si>
  <si>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</si>
  <si>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</si>
  <si>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</si>
  <si>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</si>
  <si>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</si>
  <si>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</si>
  <si>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</si>
  <si>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</si>
  <si>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</si>
  <si>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</si>
  <si>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</si>
  <si>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</si>
  <si>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</si>
  <si>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</si>
  <si>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</si>
  <si>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</si>
  <si>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</si>
  <si>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</si>
  <si>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</si>
  <si>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</si>
  <si>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</si>
  <si>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</si>
  <si>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</si>
  <si>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</si>
  <si>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</si>
  <si>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</si>
  <si>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</si>
  <si>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</si>
  <si>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</si>
  <si>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</si>
  <si>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</si>
  <si>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</si>
  <si>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</si>
  <si>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</si>
  <si>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</si>
  <si>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</si>
  <si>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</si>
  <si>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</si>
  <si>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</si>
  <si>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</si>
  <si>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</si>
  <si>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</si>
  <si>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</si>
  <si>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</si>
  <si>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</si>
  <si>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</si>
  <si>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</si>
  <si>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</si>
  <si>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</si>
  <si>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</si>
  <si>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</si>
  <si>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</si>
  <si>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</si>
  <si>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</si>
  <si>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</si>
  <si>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</si>
  <si>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</si>
  <si>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</si>
  <si>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</si>
  <si>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</si>
  <si>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</si>
  <si>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</si>
  <si>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</si>
  <si>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</si>
  <si>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</si>
  <si>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</si>
  <si>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</si>
  <si>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</si>
  <si>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</si>
  <si>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</si>
  <si>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</si>
  <si>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</si>
  <si>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</si>
  <si>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</si>
  <si>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</si>
  <si>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</si>
  <si>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</si>
  <si>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</si>
  <si>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</si>
  <si>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</si>
  <si>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</si>
  <si>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</si>
  <si>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</si>
  <si>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</si>
  <si>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</si>
  <si>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</si>
  <si>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</si>
  <si>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</si>
  <si>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</si>
  <si>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</si>
  <si>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</si>
  <si>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</si>
  <si>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</si>
  <si>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</si>
  <si>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</si>
  <si>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</si>
  <si>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</si>
  <si>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</si>
  <si>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</si>
  <si>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</si>
  <si>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</si>
  <si>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</si>
  <si>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</si>
  <si>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</si>
  <si>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</si>
  <si>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</si>
  <si>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</si>
  <si>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</si>
  <si>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</si>
  <si>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</si>
  <si>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</si>
  <si>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</si>
  <si>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</si>
  <si>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</si>
  <si>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</si>
  <si>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</si>
  <si>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</si>
  <si>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</si>
  <si>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</si>
  <si>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</si>
  <si>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</si>
  <si>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</si>
  <si>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</si>
  <si>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</si>
  <si>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</si>
  <si>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</si>
  <si>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</si>
  <si>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</si>
  <si>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</si>
  <si>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</si>
  <si>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</si>
  <si>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</si>
  <si>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</si>
  <si>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</si>
  <si>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</si>
  <si>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</si>
  <si>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</si>
  <si>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</si>
  <si>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</si>
  <si>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</si>
  <si>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</si>
  <si>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</si>
  <si>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</si>
  <si>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</si>
  <si>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</si>
  <si>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</si>
  <si>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</si>
  <si>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</si>
  <si>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</si>
  <si>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</si>
  <si>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</si>
  <si>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</si>
  <si>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</si>
  <si>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</si>
  <si>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</si>
  <si>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</si>
  <si>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</si>
  <si>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</si>
  <si>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</si>
  <si>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</si>
  <si>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</si>
  <si>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</si>
  <si>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</si>
  <si>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</si>
  <si>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</si>
  <si>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</si>
  <si>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</si>
  <si>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</si>
  <si>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</si>
  <si>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</si>
  <si>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</si>
  <si>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</si>
  <si>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</si>
  <si>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</si>
  <si>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</si>
  <si>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</si>
  <si>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</si>
  <si>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</si>
  <si>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</si>
  <si>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</si>
  <si>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</si>
  <si>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</si>
  <si>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</si>
  <si>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</si>
  <si>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</si>
  <si>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</si>
  <si>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</si>
  <si>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</si>
  <si>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</si>
  <si>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</si>
  <si>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</si>
  <si>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</si>
  <si>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</si>
  <si>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</si>
  <si>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</si>
  <si>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</si>
  <si>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</si>
  <si>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</si>
  <si>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</si>
  <si>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</si>
  <si>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</si>
  <si>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</si>
  <si>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</si>
  <si>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</si>
  <si>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</si>
  <si>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</si>
  <si>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</si>
  <si>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</si>
  <si>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</si>
  <si>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</si>
  <si>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</si>
  <si>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</si>
  <si>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</si>
  <si>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</si>
  <si>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</si>
  <si>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</si>
  <si>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</si>
  <si>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</si>
  <si>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</si>
  <si>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</si>
  <si>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</si>
  <si>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</si>
  <si>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</si>
  <si>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</si>
  <si>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</si>
  <si>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</si>
  <si>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</si>
  <si>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</si>
  <si>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</si>
  <si>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</si>
  <si>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</si>
  <si>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</si>
  <si>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</si>
  <si>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</si>
  <si>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</si>
  <si>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</si>
  <si>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</si>
  <si>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</si>
  <si>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</si>
  <si>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</si>
  <si>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</si>
  <si>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</si>
  <si>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</si>
  <si>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</si>
  <si>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</si>
  <si>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</si>
  <si>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</si>
  <si>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</si>
  <si>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</si>
  <si>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</si>
  <si>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</si>
  <si>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</si>
  <si>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</si>
  <si>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</si>
  <si>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</si>
  <si>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</si>
  <si>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</si>
  <si>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</si>
  <si>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</si>
  <si>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</si>
  <si>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</si>
  <si>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</si>
  <si>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</si>
  <si>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</si>
  <si>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</si>
  <si>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</si>
  <si>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</si>
  <si>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</si>
  <si>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</si>
  <si>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</si>
  <si>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</si>
  <si>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</si>
  <si>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</si>
  <si>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</si>
  <si>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</si>
  <si>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</si>
  <si>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</si>
  <si>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</si>
  <si>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</si>
  <si>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</si>
  <si>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</si>
  <si>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</si>
  <si>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</si>
  <si>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</si>
  <si>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</si>
  <si>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</si>
  <si>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</si>
  <si>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</si>
  <si>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</si>
  <si>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</si>
  <si>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</si>
  <si>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</si>
  <si>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</si>
  <si>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</si>
  <si>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</si>
  <si>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</si>
  <si>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</si>
  <si>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</si>
  <si>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</si>
  <si>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</si>
  <si>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</si>
  <si>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</si>
  <si>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</si>
  <si>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</si>
  <si>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</si>
  <si>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</si>
  <si>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</si>
  <si>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</si>
  <si>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</si>
  <si>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</si>
  <si>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</si>
  <si>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</si>
  <si>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</si>
  <si>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</si>
  <si>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</si>
  <si>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</si>
  <si>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</si>
  <si>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</si>
  <si>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</si>
  <si>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</si>
  <si>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</si>
  <si>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</si>
  <si>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</si>
  <si>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</si>
  <si>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</si>
  <si>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</si>
  <si>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</si>
  <si>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</si>
  <si>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</si>
  <si>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</si>
  <si>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</si>
  <si>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</si>
  <si>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</si>
  <si>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</si>
  <si>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</si>
  <si>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</si>
  <si>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</si>
  <si>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</si>
  <si>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</si>
  <si>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</si>
  <si>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</si>
  <si>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</si>
  <si>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</si>
  <si>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</si>
  <si>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</si>
  <si>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</si>
  <si>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</si>
  <si>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</si>
  <si>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</si>
  <si>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</si>
  <si>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</si>
  <si>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</si>
  <si>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</si>
  <si>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</si>
  <si>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</si>
  <si>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</si>
  <si>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</si>
  <si>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</si>
  <si>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</si>
  <si>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</si>
  <si>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</si>
  <si>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</si>
  <si>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</si>
  <si>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</si>
  <si>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</si>
  <si>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</si>
  <si>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</si>
  <si>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</si>
  <si>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</si>
  <si>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</si>
  <si>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</si>
  <si>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</si>
  <si>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</si>
  <si>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</si>
  <si>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</si>
  <si>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</si>
  <si>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</si>
  <si>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</si>
  <si>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</si>
  <si>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</si>
  <si>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</si>
  <si>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</si>
  <si>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</si>
  <si>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</si>
  <si>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</si>
  <si>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</si>
  <si>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</si>
  <si>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</si>
  <si>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</si>
  <si>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</si>
  <si>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</si>
  <si>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</si>
  <si>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</si>
  <si>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</si>
  <si>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</si>
  <si>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</si>
  <si>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</si>
  <si>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</si>
  <si>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</si>
  <si>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</si>
  <si>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</si>
  <si>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</si>
  <si>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</si>
  <si>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</si>
  <si>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</si>
  <si>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</si>
  <si>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</si>
  <si>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</si>
  <si>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</si>
  <si>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</si>
  <si>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</si>
  <si>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</si>
  <si>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</si>
  <si>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</si>
  <si>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</si>
  <si>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</si>
  <si>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</si>
  <si>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</si>
  <si>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</si>
  <si>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</si>
  <si>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</si>
  <si>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</si>
  <si>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</si>
  <si>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</si>
  <si>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</si>
  <si>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</si>
  <si>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</si>
  <si>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</si>
  <si>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</si>
  <si>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</si>
  <si>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</si>
  <si>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</si>
  <si>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</si>
  <si>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</si>
  <si>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</si>
  <si>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</si>
  <si>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</si>
  <si>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</si>
  <si>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</si>
  <si>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</si>
  <si>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</si>
  <si>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</si>
  <si>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</si>
  <si>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</si>
  <si>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</si>
  <si>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</si>
  <si>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</si>
  <si>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</si>
  <si>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</si>
  <si>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</si>
  <si>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</si>
  <si>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</si>
  <si>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</si>
  <si>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</si>
  <si>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</si>
  <si>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</si>
  <si>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</si>
  <si>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</si>
  <si>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</si>
  <si>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</si>
  <si>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</si>
  <si>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</si>
  <si>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</si>
  <si>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</si>
  <si>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</si>
  <si>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</si>
  <si>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</si>
  <si>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</si>
  <si>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</si>
  <si>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</si>
  <si>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</si>
  <si>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</si>
  <si>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</si>
  <si>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</si>
  <si>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</si>
  <si>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</si>
  <si>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</si>
  <si>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</si>
  <si>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</si>
  <si>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</si>
  <si>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</si>
  <si>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</si>
  <si>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</si>
  <si>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</si>
  <si>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</si>
  <si>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</si>
  <si>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</si>
  <si>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</si>
  <si>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</si>
  <si>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</si>
  <si>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</si>
  <si>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</si>
  <si>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</si>
  <si>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</si>
  <si>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</si>
  <si>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</si>
  <si>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</si>
  <si>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</si>
  <si>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</si>
  <si>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</si>
  <si>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</si>
  <si>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</si>
  <si>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</si>
  <si>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</si>
  <si>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</si>
  <si>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</si>
  <si>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</si>
  <si>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</si>
  <si>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</si>
  <si>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</si>
  <si>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</si>
  <si>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</si>
  <si>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</si>
  <si>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</si>
  <si>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</si>
  <si>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</si>
  <si>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</si>
  <si>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</si>
  <si>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</si>
  <si>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</si>
  <si>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</si>
  <si>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</si>
  <si>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</si>
  <si>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</si>
  <si>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</si>
  <si>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</si>
  <si>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</si>
  <si>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</si>
  <si>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</si>
  <si>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</si>
  <si>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</si>
  <si>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</si>
  <si>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</si>
  <si>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</si>
  <si>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</si>
  <si>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</si>
  <si>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</si>
  <si>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</si>
  <si>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</si>
  <si>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</si>
  <si>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</si>
  <si>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</si>
  <si>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</si>
  <si>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</si>
  <si>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</si>
  <si>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</si>
  <si>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</si>
  <si>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</si>
  <si>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</si>
  <si>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</si>
  <si>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</si>
  <si>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</si>
  <si>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</si>
  <si>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</si>
  <si>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</si>
  <si>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</si>
  <si>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</si>
  <si>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</si>
  <si>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</si>
  <si>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</si>
  <si>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</si>
  <si>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</si>
  <si>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</si>
  <si>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</si>
  <si>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</si>
  <si>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</si>
  <si>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</si>
  <si>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</si>
  <si>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</si>
  <si>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</si>
  <si>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</si>
  <si>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</si>
  <si>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</si>
  <si>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</si>
  <si>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</si>
  <si>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</si>
  <si>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</si>
  <si>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</si>
  <si>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</si>
  <si>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</si>
  <si>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</si>
  <si>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</si>
  <si>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</si>
  <si>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</si>
  <si>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</si>
  <si>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</si>
  <si>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</si>
  <si>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</si>
  <si>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</si>
  <si>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</si>
  <si>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</si>
  <si>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</si>
  <si>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</si>
  <si>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</si>
  <si>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</si>
  <si>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</si>
  <si>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</si>
  <si>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</si>
  <si>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</si>
  <si>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</si>
  <si>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</si>
  <si>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</si>
  <si>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</si>
  <si>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</si>
  <si>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</si>
  <si>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</si>
  <si>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</si>
  <si>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</si>
  <si>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</si>
  <si>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</si>
  <si>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</si>
  <si>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</si>
  <si>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</si>
  <si>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</si>
  <si>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</si>
  <si>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</si>
  <si>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</si>
  <si>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</si>
  <si>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</si>
  <si>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</si>
  <si>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</si>
  <si>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</si>
  <si>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</si>
  <si>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</si>
  <si>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</si>
  <si>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</si>
  <si>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</si>
  <si>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</si>
  <si>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</si>
  <si>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</si>
  <si>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</si>
  <si>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</si>
  <si>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</si>
  <si>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</si>
  <si>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</si>
  <si>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</si>
  <si>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</si>
  <si>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</si>
  <si>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</si>
  <si>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</si>
  <si>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</si>
  <si>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</si>
  <si>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</si>
  <si>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</si>
  <si>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</si>
  <si>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</si>
  <si>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</si>
  <si>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</si>
  <si>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</si>
  <si>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</si>
  <si>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</si>
  <si>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</si>
  <si>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</si>
  <si>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</si>
  <si>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</si>
  <si>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</si>
  <si>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</si>
  <si>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</si>
  <si>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</si>
  <si>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</si>
  <si>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</si>
  <si>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</si>
  <si>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</si>
  <si>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</si>
  <si>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</si>
  <si>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</si>
  <si>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</si>
  <si>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</si>
  <si>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</si>
  <si>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</si>
  <si>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</si>
  <si>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</si>
  <si>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</si>
  <si>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</si>
  <si>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</si>
  <si>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</si>
  <si>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</si>
  <si>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</si>
  <si>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</si>
  <si>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</si>
  <si>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</si>
  <si>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</si>
  <si>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</si>
  <si>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</si>
  <si>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</si>
  <si>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</si>
  <si>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</si>
  <si>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</si>
  <si>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</si>
  <si>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</si>
  <si>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</si>
  <si>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</si>
  <si>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</si>
  <si>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</si>
  <si>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</si>
  <si>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</si>
  <si>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</si>
  <si>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</si>
  <si>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</si>
  <si>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</si>
  <si>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</si>
  <si>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</si>
  <si>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</si>
  <si>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</si>
  <si>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</si>
  <si>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</si>
  <si>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</si>
  <si>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</si>
  <si>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</si>
  <si>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</si>
  <si>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</si>
  <si>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</si>
  <si>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</si>
  <si>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</si>
  <si>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</si>
  <si>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</si>
  <si>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</si>
  <si>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</si>
  <si>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</si>
  <si>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</si>
  <si>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</si>
  <si>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</si>
  <si>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</si>
  <si>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</si>
  <si>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</si>
  <si>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</si>
  <si>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</si>
  <si>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</si>
  <si>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</si>
  <si>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</si>
  <si>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</si>
  <si>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</si>
  <si>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</si>
  <si>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</si>
  <si>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</si>
  <si>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</si>
  <si>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</si>
  <si>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</si>
  <si>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</si>
  <si>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</si>
  <si>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</si>
  <si>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</si>
  <si>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</si>
  <si>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</si>
  <si>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</si>
  <si>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</si>
  <si>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</si>
  <si>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</si>
  <si>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</si>
  <si>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</si>
  <si>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</si>
  <si>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</si>
  <si>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</si>
  <si>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</si>
  <si>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</si>
  <si>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</si>
  <si>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</si>
  <si>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</si>
  <si>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</si>
  <si>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</si>
  <si>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</si>
  <si>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</si>
  <si>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</si>
  <si>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</si>
  <si>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</si>
  <si>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</si>
  <si>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</si>
  <si>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</si>
  <si>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</si>
  <si>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</si>
  <si>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</si>
  <si>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</si>
  <si>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</si>
  <si>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</si>
  <si>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</si>
  <si>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</si>
  <si>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</si>
  <si>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</si>
  <si>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</si>
  <si>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</si>
  <si>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</si>
  <si>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</si>
  <si>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</si>
  <si>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</si>
  <si>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</si>
  <si>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</si>
  <si>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</si>
  <si>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</si>
  <si>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</si>
  <si>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</si>
  <si>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</si>
  <si>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</si>
  <si>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</si>
  <si>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</si>
  <si>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</si>
  <si>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</si>
  <si>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</si>
  <si>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</si>
  <si>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</si>
  <si>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</si>
  <si>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</si>
  <si>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</si>
  <si>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</si>
  <si>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</si>
  <si>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</si>
  <si>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</si>
  <si>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</si>
  <si>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</si>
  <si>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</si>
  <si>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</si>
  <si>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</si>
  <si>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</si>
  <si>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</si>
  <si>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</si>
  <si>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</si>
  <si>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</si>
  <si>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</si>
  <si>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</si>
  <si>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</si>
  <si>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</si>
  <si>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</si>
  <si>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</si>
  <si>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</si>
  <si>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</si>
  <si>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</si>
  <si>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</si>
  <si>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</si>
  <si>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</si>
  <si>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</si>
  <si>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</si>
  <si>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</si>
  <si>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</si>
  <si>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</si>
  <si>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</si>
  <si>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</si>
  <si>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</si>
  <si>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</si>
  <si>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</si>
  <si>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</si>
  <si>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</si>
  <si>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</si>
  <si>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</si>
  <si>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</si>
  <si>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</si>
  <si>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</si>
  <si>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</si>
  <si>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</si>
  <si>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</si>
  <si>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</si>
  <si>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</si>
  <si>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</si>
  <si>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</si>
  <si>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</si>
  <si>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</si>
  <si>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</si>
  <si>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</si>
  <si>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</si>
  <si>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</si>
  <si>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</si>
  <si>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</si>
  <si>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</si>
  <si>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</si>
  <si>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</si>
  <si>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</si>
  <si>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</si>
  <si>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</si>
  <si>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</si>
  <si>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</si>
  <si>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</si>
  <si>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</si>
  <si>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</si>
  <si>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</si>
  <si>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</si>
  <si>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</si>
  <si>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</si>
  <si>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</si>
  <si>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</si>
  <si>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</si>
  <si>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</si>
  <si>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</si>
  <si>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</si>
  <si>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</si>
  <si>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</si>
  <si>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</si>
  <si>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</si>
  <si>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</si>
  <si>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</si>
  <si>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</si>
  <si>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</si>
  <si>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</si>
  <si>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</si>
  <si>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</si>
  <si>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</si>
  <si>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</si>
  <si>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</si>
  <si>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</si>
  <si>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</si>
  <si>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</si>
  <si>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</si>
  <si>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</si>
  <si>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</si>
  <si>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</si>
  <si>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</si>
  <si>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</si>
  <si>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</si>
  <si>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</si>
  <si>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</si>
  <si>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</si>
  <si>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</si>
  <si>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</si>
  <si>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</si>
  <si>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</si>
  <si>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</si>
  <si>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</si>
  <si>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</si>
  <si>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</si>
  <si>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</si>
  <si>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</si>
  <si>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</si>
  <si>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</si>
  <si>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</si>
  <si>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</si>
  <si>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</si>
  <si>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</si>
  <si>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</si>
  <si>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</si>
  <si>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</si>
  <si>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</si>
  <si>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</si>
  <si>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</si>
  <si>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</si>
  <si>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</si>
  <si>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</si>
  <si>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</si>
  <si>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</si>
  <si>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</si>
  <si>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</si>
  <si>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</si>
  <si>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</si>
  <si>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</si>
  <si>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</si>
  <si>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</si>
  <si>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</si>
  <si>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</si>
  <si>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</si>
  <si>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</si>
  <si>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</si>
  <si>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</si>
  <si>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</si>
  <si>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</si>
  <si>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</si>
  <si>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</si>
  <si>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</si>
  <si>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</si>
  <si>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</si>
  <si>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</si>
  <si>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</si>
  <si>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</si>
  <si>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</si>
  <si>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</si>
  <si>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</si>
  <si>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</si>
  <si>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</si>
  <si>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</si>
  <si>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</si>
  <si>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</si>
  <si>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</si>
  <si>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</si>
  <si>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</si>
  <si>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</si>
  <si>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</si>
  <si>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</si>
  <si>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</si>
  <si>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</si>
  <si>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</si>
  <si>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</si>
  <si>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</si>
  <si>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</si>
  <si>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</si>
  <si>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</si>
  <si>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</si>
  <si>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</si>
  <si>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</si>
  <si>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</si>
  <si>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</si>
  <si>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</si>
  <si>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</si>
  <si>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</si>
  <si>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</si>
  <si>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</si>
  <si>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</si>
  <si>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</si>
  <si>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</si>
  <si>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</si>
  <si>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</si>
  <si>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</si>
  <si>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</si>
  <si>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</si>
  <si>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</si>
  <si>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</si>
  <si>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</si>
  <si>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</si>
  <si>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</si>
  <si>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</si>
  <si>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</si>
  <si>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</si>
  <si>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</si>
  <si>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</si>
  <si>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</si>
  <si>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</si>
  <si>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</si>
  <si>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</si>
  <si>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</si>
  <si>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</si>
  <si>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</si>
  <si>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</si>
  <si>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</si>
  <si>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</si>
  <si>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</si>
  <si>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</si>
  <si>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</si>
  <si>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</si>
  <si>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</si>
  <si>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</si>
  <si>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</si>
  <si>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</si>
  <si>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</si>
  <si>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</si>
  <si>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</si>
  <si>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</si>
  <si>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</si>
  <si>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</si>
  <si>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</si>
  <si>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</si>
  <si>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</si>
  <si>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</si>
  <si>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</si>
  <si>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</si>
  <si>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</si>
  <si>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</si>
  <si>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</si>
  <si>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</si>
  <si>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</si>
  <si>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</si>
  <si>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</si>
  <si>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</si>
  <si>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</si>
  <si>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</si>
  <si>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</si>
  <si>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</si>
  <si>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</si>
  <si>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</si>
  <si>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</si>
  <si>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</si>
  <si>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</si>
  <si>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</si>
  <si>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</si>
  <si>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</si>
  <si>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</si>
  <si>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</si>
  <si>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</si>
  <si>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</si>
  <si>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</si>
  <si>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</si>
  <si>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</si>
  <si>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</si>
  <si>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</si>
  <si>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</si>
  <si>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</si>
  <si>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</si>
  <si>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</si>
  <si>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</si>
  <si>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</si>
  <si>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</si>
  <si>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</si>
  <si>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</si>
  <si>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</si>
  <si>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</si>
  <si>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</si>
  <si>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</si>
  <si>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</si>
  <si>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</si>
  <si>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</si>
  <si>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</si>
  <si>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</si>
  <si>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</si>
  <si>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</si>
  <si>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</si>
  <si>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</si>
  <si>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</si>
  <si>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</si>
  <si>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</si>
  <si>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</si>
  <si>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</si>
  <si>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</si>
  <si>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</si>
  <si>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</si>
  <si>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</si>
  <si>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</si>
  <si>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</si>
  <si>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</si>
  <si>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</si>
  <si>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</si>
  <si>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</si>
  <si>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</si>
  <si>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</si>
  <si>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</si>
  <si>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</si>
  <si>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</si>
  <si>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</si>
  <si>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</si>
  <si>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</si>
  <si>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</si>
  <si>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</si>
  <si>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</si>
  <si>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</si>
  <si>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</si>
  <si>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</si>
  <si>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</si>
  <si>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</si>
  <si>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</si>
  <si>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</si>
  <si>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</si>
  <si>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</si>
  <si>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</si>
  <si>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</si>
  <si>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</si>
  <si>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</si>
  <si>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</si>
  <si>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</si>
  <si>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</si>
  <si>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</si>
  <si>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</si>
  <si>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</si>
  <si>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</si>
  <si>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</si>
  <si>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</si>
  <si>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</si>
  <si>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</si>
  <si>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</si>
  <si>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</si>
  <si>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</si>
  <si>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</si>
  <si>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</si>
  <si>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</si>
  <si>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</si>
  <si>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</si>
  <si>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</si>
  <si>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</si>
  <si>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</si>
  <si>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</si>
  <si>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</si>
  <si>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</si>
  <si>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</si>
  <si>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</si>
  <si>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</si>
  <si>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</si>
  <si>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</si>
  <si>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</si>
  <si>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</si>
  <si>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</si>
  <si>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</si>
  <si>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</si>
  <si>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</si>
  <si>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</si>
  <si>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</si>
  <si>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</si>
  <si>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</si>
  <si>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</si>
  <si>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</si>
  <si>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</si>
  <si>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</si>
  <si>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</si>
  <si>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</si>
  <si>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</si>
  <si>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</si>
  <si>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</si>
  <si>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</si>
  <si>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</si>
  <si>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</si>
  <si>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</si>
  <si>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</si>
  <si>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</si>
  <si>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</si>
  <si>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</si>
  <si>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</si>
  <si>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</si>
  <si>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</si>
  <si>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</si>
  <si>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</si>
  <si>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</si>
  <si>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</si>
  <si>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</si>
  <si>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</si>
  <si>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</si>
  <si>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</si>
  <si>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</si>
  <si>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</si>
  <si>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</si>
  <si>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</si>
  <si>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</si>
  <si>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</si>
  <si>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</si>
  <si>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</si>
  <si>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</si>
  <si>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</si>
  <si>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</si>
  <si>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</si>
  <si>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</si>
  <si>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</si>
  <si>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</si>
  <si>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</si>
  <si>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</si>
  <si>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</si>
  <si>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</si>
  <si>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</si>
  <si>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</si>
  <si>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</si>
  <si>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</si>
  <si>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</si>
  <si>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</si>
  <si>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</si>
  <si>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</si>
  <si>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</si>
  <si>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</si>
  <si>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</si>
  <si>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</si>
  <si>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</si>
  <si>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</si>
  <si>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</si>
  <si>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</si>
  <si>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</si>
  <si>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</si>
  <si>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</si>
  <si>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</si>
  <si>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</si>
  <si>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</si>
  <si>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</si>
  <si>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</si>
  <si>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</si>
  <si>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</si>
  <si>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</si>
  <si>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</si>
  <si>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</si>
  <si>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</si>
  <si>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</si>
  <si>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</si>
  <si>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</si>
  <si>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</si>
  <si>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</si>
  <si>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</si>
  <si>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</si>
  <si>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</si>
  <si>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</si>
  <si>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</si>
  <si>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</si>
  <si>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</si>
  <si>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</si>
  <si>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</si>
  <si>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</si>
  <si>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</si>
  <si>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</si>
  <si>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</si>
  <si>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</si>
  <si>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</si>
  <si>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</si>
  <si>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</si>
  <si>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</si>
  <si>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</si>
  <si>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</si>
  <si>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</si>
  <si>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</si>
  <si>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</si>
  <si>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</si>
  <si>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</si>
  <si>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</si>
  <si>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</si>
  <si>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</si>
  <si>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</si>
  <si>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</si>
  <si>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</si>
  <si>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</si>
  <si>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</si>
  <si>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</si>
  <si>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</si>
  <si>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</si>
  <si>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</si>
  <si>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</si>
  <si>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</si>
  <si>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</si>
  <si>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</si>
  <si>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</si>
  <si>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</si>
  <si>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</si>
  <si>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</si>
  <si>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</si>
  <si>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</si>
  <si>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</si>
  <si>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</si>
  <si>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</si>
  <si>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</si>
  <si>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</si>
  <si>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</si>
  <si>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</si>
  <si>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</si>
  <si>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</si>
  <si>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</si>
  <si>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</si>
  <si>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</si>
  <si>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</si>
  <si>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</si>
  <si>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</si>
  <si>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</si>
  <si>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</si>
  <si>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</si>
  <si>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</si>
  <si>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</si>
  <si>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</si>
  <si>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</si>
  <si>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</si>
  <si>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</si>
  <si>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</si>
  <si>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</si>
  <si>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</si>
  <si>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</si>
  <si>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</si>
  <si>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</si>
  <si>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</si>
  <si>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</si>
  <si>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</si>
  <si>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</si>
  <si>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</si>
  <si>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</si>
  <si>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</si>
  <si>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</si>
  <si>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</si>
  <si>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</si>
  <si>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</si>
  <si>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</si>
  <si>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</si>
  <si>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</si>
  <si>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</si>
  <si>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</si>
  <si>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</si>
  <si>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</si>
  <si>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</si>
  <si>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</si>
  <si>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</si>
  <si>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</si>
  <si>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</si>
  <si>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</si>
  <si>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</si>
  <si>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</si>
  <si>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</si>
  <si>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</si>
  <si>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</si>
  <si>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</si>
  <si>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</si>
  <si>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</si>
  <si>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</si>
  <si>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</si>
  <si>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</si>
  <si>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</si>
  <si>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</si>
  <si>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</si>
  <si>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</si>
  <si>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</si>
  <si>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《不动产权证书》</t>
    <phoneticPr fontId="224" type="noConversion"/>
  </si>
  <si>
    <t>证号</t>
    <phoneticPr fontId="224" type="noConversion"/>
  </si>
  <si>
    <r>
      <t>京（2</t>
    </r>
    <r>
      <rPr>
        <sz val="11"/>
        <color theme="1"/>
        <rFont val="宋体"/>
        <family val="3"/>
        <charset val="134"/>
        <scheme val="minor"/>
      </rPr>
      <t>021）朝不动产权第0112484号</t>
    </r>
    <phoneticPr fontId="224" type="noConversion"/>
  </si>
  <si>
    <t>权利人</t>
    <phoneticPr fontId="224" type="noConversion"/>
  </si>
  <si>
    <t>北京三博脑科医院有限公司</t>
    <phoneticPr fontId="224" type="noConversion"/>
  </si>
  <si>
    <t>共有情况</t>
    <phoneticPr fontId="224" type="noConversion"/>
  </si>
  <si>
    <t>单独所有</t>
    <phoneticPr fontId="224" type="noConversion"/>
  </si>
  <si>
    <t>坐落</t>
    <phoneticPr fontId="224" type="noConversion"/>
  </si>
  <si>
    <t>朝阳区东坝非配套项目用地（E组团A地块）</t>
    <phoneticPr fontId="224" type="noConversion"/>
  </si>
  <si>
    <t>用途</t>
    <phoneticPr fontId="224" type="noConversion"/>
  </si>
  <si>
    <t>医疗卫生用地</t>
    <phoneticPr fontId="224" type="noConversion"/>
  </si>
  <si>
    <t>面积</t>
    <phoneticPr fontId="224" type="noConversion"/>
  </si>
  <si>
    <t>使用期限</t>
    <phoneticPr fontId="224" type="noConversion"/>
  </si>
  <si>
    <t>《建设用地规划许可证》</t>
    <phoneticPr fontId="224" type="noConversion"/>
  </si>
  <si>
    <r>
      <t>2</t>
    </r>
    <r>
      <rPr>
        <sz val="11"/>
        <color theme="1"/>
        <rFont val="宋体"/>
        <family val="3"/>
        <charset val="134"/>
        <scheme val="minor"/>
      </rPr>
      <t>008规地字0089号</t>
    </r>
    <phoneticPr fontId="224" type="noConversion"/>
  </si>
  <si>
    <t>用地单位</t>
    <phoneticPr fontId="224" type="noConversion"/>
  </si>
  <si>
    <t>北京金隅嘉业房地产开发有限公司</t>
    <phoneticPr fontId="224" type="noConversion"/>
  </si>
  <si>
    <t>用地项目名称</t>
    <phoneticPr fontId="224" type="noConversion"/>
  </si>
  <si>
    <t>医疗卫生、文化娱乐</t>
    <phoneticPr fontId="224" type="noConversion"/>
  </si>
  <si>
    <t>用地位置</t>
    <phoneticPr fontId="224" type="noConversion"/>
  </si>
  <si>
    <t>朝阳区东坝</t>
    <phoneticPr fontId="224" type="noConversion"/>
  </si>
  <si>
    <t>用地面积</t>
    <phoneticPr fontId="224" type="noConversion"/>
  </si>
  <si>
    <t>多规合一</t>
    <phoneticPr fontId="224" type="noConversion"/>
  </si>
  <si>
    <r>
      <t>2</t>
    </r>
    <r>
      <rPr>
        <sz val="11"/>
        <color theme="1"/>
        <rFont val="宋体"/>
        <family val="3"/>
        <charset val="134"/>
        <scheme val="minor"/>
      </rPr>
      <t>023规自（朝）综审字0001号</t>
    </r>
    <phoneticPr fontId="224" type="noConversion"/>
  </si>
  <si>
    <t>用地范围</t>
    <phoneticPr fontId="224" type="noConversion"/>
  </si>
  <si>
    <t>东至</t>
    <phoneticPr fontId="224" type="noConversion"/>
  </si>
  <si>
    <t>朝新嘉园东里7区</t>
    <phoneticPr fontId="224" type="noConversion"/>
  </si>
  <si>
    <t>南至</t>
    <phoneticPr fontId="224" type="noConversion"/>
  </si>
  <si>
    <r>
      <t>金隅嘉品M</t>
    </r>
    <r>
      <rPr>
        <sz val="11"/>
        <color theme="1"/>
        <rFont val="宋体"/>
        <family val="3"/>
        <charset val="134"/>
        <scheme val="minor"/>
      </rPr>
      <t>ALL</t>
    </r>
    <phoneticPr fontId="224" type="noConversion"/>
  </si>
  <si>
    <t>西至</t>
    <phoneticPr fontId="224" type="noConversion"/>
  </si>
  <si>
    <t>东坝中路</t>
    <phoneticPr fontId="224" type="noConversion"/>
  </si>
  <si>
    <t>北至</t>
    <phoneticPr fontId="224" type="noConversion"/>
  </si>
  <si>
    <t>东坝南四街</t>
    <phoneticPr fontId="224" type="noConversion"/>
  </si>
  <si>
    <t>用地性质</t>
    <phoneticPr fontId="224" type="noConversion"/>
  </si>
  <si>
    <t>医疗卫生用地</t>
    <phoneticPr fontId="224" type="noConversion"/>
  </si>
  <si>
    <r>
      <t>1</t>
    </r>
    <r>
      <rPr>
        <sz val="11"/>
        <color theme="1"/>
        <rFont val="宋体"/>
        <family val="3"/>
        <charset val="134"/>
        <scheme val="minor"/>
      </rPr>
      <t>#医疗综合楼</t>
    </r>
    <phoneticPr fontId="224" type="noConversion"/>
  </si>
  <si>
    <t xml:space="preserve"> </t>
    <phoneticPr fontId="224" type="noConversion"/>
  </si>
  <si>
    <t>总建筑面积</t>
    <phoneticPr fontId="224" type="noConversion"/>
  </si>
  <si>
    <t>地上</t>
    <phoneticPr fontId="224" type="noConversion"/>
  </si>
  <si>
    <t>地下</t>
    <phoneticPr fontId="224" type="noConversion"/>
  </si>
  <si>
    <t>设备</t>
    <phoneticPr fontId="224" type="noConversion"/>
  </si>
  <si>
    <t>容积率</t>
    <phoneticPr fontId="224" type="noConversion"/>
  </si>
  <si>
    <t>地下车位</t>
    <phoneticPr fontId="224" type="noConversion"/>
  </si>
  <si>
    <t>床位</t>
    <phoneticPr fontId="224" type="noConversion"/>
  </si>
  <si>
    <t>开工</t>
    <phoneticPr fontId="224" type="noConversion"/>
  </si>
  <si>
    <t>竣工</t>
    <phoneticPr fontId="224" type="noConversion"/>
  </si>
  <si>
    <t>总投</t>
    <phoneticPr fontId="224" type="noConversion"/>
  </si>
  <si>
    <r>
      <t>1</t>
    </r>
    <r>
      <rPr>
        <sz val="11"/>
        <color theme="1"/>
        <rFont val="宋体"/>
        <family val="3"/>
        <charset val="134"/>
        <scheme val="minor"/>
      </rPr>
      <t>2亿</t>
    </r>
    <phoneticPr fontId="224" type="noConversion"/>
  </si>
  <si>
    <t>项目投资情况（万元）</t>
  </si>
  <si>
    <t>合计</t>
  </si>
  <si>
    <r>
      <t>占比</t>
    </r>
    <r>
      <rPr>
        <b/>
        <sz val="10.5"/>
        <color theme="1"/>
        <rFont val="Times New Roman"/>
        <family val="1"/>
      </rPr>
      <t>%</t>
    </r>
  </si>
  <si>
    <t>建设投资</t>
  </si>
  <si>
    <r>
      <t>1</t>
    </r>
    <r>
      <rPr>
        <sz val="10.5"/>
        <color theme="1"/>
        <rFont val="宋体"/>
        <family val="3"/>
        <charset val="134"/>
      </rPr>
      <t>、建筑安装工程费</t>
    </r>
  </si>
  <si>
    <r>
      <t>2</t>
    </r>
    <r>
      <rPr>
        <sz val="10.5"/>
        <color theme="1"/>
        <rFont val="宋体"/>
        <family val="3"/>
        <charset val="134"/>
      </rPr>
      <t>、工程建设其他费用</t>
    </r>
  </si>
  <si>
    <t>其中：土地费</t>
  </si>
  <si>
    <r>
      <t>3</t>
    </r>
    <r>
      <rPr>
        <sz val="10.5"/>
        <color theme="1"/>
        <rFont val="宋体"/>
        <family val="3"/>
        <charset val="134"/>
      </rPr>
      <t>、预备费</t>
    </r>
  </si>
  <si>
    <r>
      <t>4</t>
    </r>
    <r>
      <rPr>
        <sz val="10.5"/>
        <color theme="1"/>
        <rFont val="宋体"/>
        <family val="3"/>
        <charset val="134"/>
      </rPr>
      <t>、设备投入</t>
    </r>
  </si>
  <si>
    <t>贷款利息</t>
  </si>
  <si>
    <t>总投资</t>
  </si>
  <si>
    <t>经济指标</t>
  </si>
  <si>
    <t>税前</t>
  </si>
  <si>
    <t>税后</t>
  </si>
  <si>
    <r>
      <t>内部收益率</t>
    </r>
    <r>
      <rPr>
        <sz val="10.5"/>
        <color theme="1"/>
        <rFont val="Times New Roman"/>
        <family val="1"/>
      </rPr>
      <t xml:space="preserve">IRR </t>
    </r>
  </si>
  <si>
    <r>
      <t>净现值</t>
    </r>
    <r>
      <rPr>
        <sz val="10.5"/>
        <color theme="1"/>
        <rFont val="Times New Roman"/>
        <family val="1"/>
      </rPr>
      <t>NPV</t>
    </r>
  </si>
  <si>
    <t>静态回收期</t>
  </si>
  <si>
    <t>动态回收期</t>
  </si>
  <si>
    <t>项目整体利润概况</t>
  </si>
  <si>
    <t>年平均收入（万元）</t>
  </si>
  <si>
    <t>不含建设期</t>
  </si>
  <si>
    <t>年平均净利润（万元）</t>
  </si>
  <si>
    <t>平均毛利率</t>
  </si>
  <si>
    <t>平均净利润率</t>
  </si>
  <si>
    <t>底层层高6.0米，二层层高4.8米，三层</t>
    <phoneticPr fontId="224" type="noConversion"/>
  </si>
  <si>
    <t>结构体系采用钢筋混凝土框架结构，框架抗震等级一级。</t>
    <phoneticPr fontId="224" type="noConversion"/>
  </si>
  <si>
    <t>以上标准层层高4.2米。</t>
    <phoneticPr fontId="224" type="noConversion"/>
  </si>
  <si>
    <r>
      <t>医疗7</t>
    </r>
    <r>
      <rPr>
        <sz val="11"/>
        <color theme="1"/>
        <rFont val="宋体"/>
        <family val="3"/>
        <charset val="134"/>
        <scheme val="minor"/>
      </rPr>
      <t>500</t>
    </r>
    <phoneticPr fontId="224" type="noConversion"/>
  </si>
  <si>
    <r>
      <t>人防4</t>
    </r>
    <r>
      <rPr>
        <sz val="11"/>
        <color theme="1"/>
        <rFont val="宋体"/>
        <family val="3"/>
        <charset val="134"/>
        <scheme val="minor"/>
      </rPr>
      <t>000</t>
    </r>
    <phoneticPr fontId="224" type="noConversion"/>
  </si>
  <si>
    <t>税种</t>
  </si>
  <si>
    <t>税率</t>
  </si>
  <si>
    <t>增值税率</t>
  </si>
  <si>
    <t>免税</t>
  </si>
  <si>
    <t>设备进项税率</t>
  </si>
  <si>
    <t>所得税率</t>
  </si>
  <si>
    <t>税金及附加</t>
  </si>
  <si>
    <t>1.4.1</t>
  </si>
  <si>
    <t>城建税</t>
  </si>
  <si>
    <t>1.4.2</t>
  </si>
  <si>
    <t>教育附加税</t>
  </si>
  <si>
    <t>1.4.3</t>
  </si>
  <si>
    <t>地方教育费附加</t>
  </si>
  <si>
    <t>1.4.4</t>
  </si>
  <si>
    <t>房产税</t>
  </si>
  <si>
    <t>项目建设期为4年，之后进入运营期，运营期期间平均净利润为10949万元。</t>
    <phoneticPr fontId="224" type="noConversion"/>
  </si>
  <si>
    <t>赵雯</t>
  </si>
  <si>
    <t>崔锴</t>
  </si>
  <si>
    <t>市场价格</t>
  </si>
  <si>
    <t>抵押价格</t>
  </si>
  <si>
    <t>企业</t>
  </si>
  <si>
    <t>一致</t>
  </si>
  <si>
    <t>符合</t>
  </si>
  <si>
    <t>否</t>
  </si>
  <si>
    <t>场地平整</t>
  </si>
  <si>
    <t>是</t>
  </si>
  <si>
    <t>地上</t>
  </si>
  <si>
    <t>医疗</t>
  </si>
  <si>
    <t>医疗</t>
    <phoneticPr fontId="14" type="noConversion"/>
  </si>
  <si>
    <t>地下</t>
  </si>
  <si>
    <t>医院</t>
  </si>
  <si>
    <t>医院</t>
    <phoneticPr fontId="7" type="noConversion"/>
  </si>
  <si>
    <t>车库</t>
    <phoneticPr fontId="7" type="noConversion"/>
  </si>
  <si>
    <t>不动产收益法</t>
  </si>
  <si>
    <t>土地（套用方法）</t>
  </si>
  <si>
    <t>自定义</t>
  </si>
  <si>
    <t>钢混</t>
  </si>
  <si>
    <t>利息：取LPR加浮动点数</t>
  </si>
  <si>
    <t>免交</t>
    <phoneticPr fontId="3" type="noConversion"/>
  </si>
  <si>
    <t xml:space="preserve"> </t>
    <phoneticPr fontId="224" type="noConversion"/>
  </si>
  <si>
    <t>估价对象容积率</t>
  </si>
  <si>
    <t>不临65条商业街</t>
  </si>
  <si>
    <t>与级别开发程度不一致</t>
  </si>
  <si>
    <t>中心城区</t>
  </si>
  <si>
    <t>一般</t>
  </si>
  <si>
    <t>较好</t>
  </si>
  <si>
    <t>好</t>
  </si>
  <si>
    <t>项目全部</t>
  </si>
  <si>
    <t>土地</t>
  </si>
  <si>
    <t>基准地价</t>
  </si>
  <si>
    <t>剩余法-待开发</t>
  </si>
  <si>
    <t>仓储</t>
    <phoneticPr fontId="224" type="noConversion"/>
  </si>
  <si>
    <t>车位</t>
    <phoneticPr fontId="224" type="noConversion"/>
  </si>
  <si>
    <t xml:space="preserve"> </t>
    <phoneticPr fontId="15" type="noConversion"/>
  </si>
  <si>
    <t xml:space="preserve"> </t>
    <phoneticPr fontId="15" type="noConversion"/>
  </si>
  <si>
    <t>月租</t>
    <phoneticPr fontId="3" type="noConversion"/>
  </si>
  <si>
    <t>较差</t>
  </si>
  <si>
    <t>项目</t>
    <phoneticPr fontId="3" type="noConversion"/>
  </si>
  <si>
    <r>
      <rPr>
        <sz val="10"/>
        <color indexed="8"/>
        <rFont val="宋体"/>
        <family val="3"/>
        <charset val="134"/>
      </rPr>
      <t>租金</t>
    </r>
    <r>
      <rPr>
        <sz val="10"/>
        <color indexed="8"/>
        <rFont val="Arial"/>
        <family val="2"/>
      </rPr>
      <t>/</t>
    </r>
    <r>
      <rPr>
        <sz val="10"/>
        <color indexed="8"/>
        <rFont val="宋体"/>
        <family val="3"/>
        <charset val="134"/>
      </rPr>
      <t>小时</t>
    </r>
    <phoneticPr fontId="3" type="noConversion"/>
  </si>
  <si>
    <t>小时</t>
    <phoneticPr fontId="3" type="noConversion"/>
  </si>
  <si>
    <t>天</t>
    <phoneticPr fontId="3" type="noConversion"/>
  </si>
  <si>
    <r>
      <rPr>
        <sz val="10"/>
        <color indexed="8"/>
        <rFont val="宋体"/>
        <family val="3"/>
        <charset val="134"/>
      </rPr>
      <t>土地费</t>
    </r>
    <r>
      <rPr>
        <sz val="10"/>
        <color indexed="8"/>
        <rFont val="Arial"/>
        <family val="2"/>
      </rPr>
      <t>38,901</t>
    </r>
    <r>
      <rPr>
        <sz val="10"/>
        <color indexed="8"/>
        <rFont val="宋体"/>
        <family val="3"/>
        <charset val="134"/>
      </rPr>
      <t>万元</t>
    </r>
    <phoneticPr fontId="9" type="noConversion"/>
  </si>
  <si>
    <r>
      <rPr>
        <sz val="10"/>
        <color indexed="8"/>
        <rFont val="宋体"/>
        <family val="3"/>
        <charset val="134"/>
      </rPr>
      <t>结构体系采用钢筋混凝土框架结构，框架抗震等级一级。底层层高</t>
    </r>
    <r>
      <rPr>
        <sz val="10"/>
        <color indexed="8"/>
        <rFont val="Arial"/>
        <family val="2"/>
      </rPr>
      <t>6.0</t>
    </r>
    <r>
      <rPr>
        <sz val="10"/>
        <color indexed="8"/>
        <rFont val="宋体"/>
        <family val="3"/>
        <charset val="134"/>
      </rPr>
      <t>米，二层层高</t>
    </r>
    <r>
      <rPr>
        <sz val="10"/>
        <color indexed="8"/>
        <rFont val="Arial"/>
        <family val="2"/>
      </rPr>
      <t>4.8</t>
    </r>
    <r>
      <rPr>
        <sz val="10"/>
        <color indexed="8"/>
        <rFont val="宋体"/>
        <family val="3"/>
        <charset val="134"/>
      </rPr>
      <t>米，三层以上标准层层高</t>
    </r>
    <r>
      <rPr>
        <sz val="10"/>
        <color indexed="8"/>
        <rFont val="Arial"/>
        <family val="2"/>
      </rPr>
      <t>4.2</t>
    </r>
    <r>
      <rPr>
        <sz val="10"/>
        <color indexed="8"/>
        <rFont val="宋体"/>
        <family val="3"/>
        <charset val="134"/>
      </rPr>
      <t>米</t>
    </r>
    <phoneticPr fontId="3" type="noConversion"/>
  </si>
  <si>
    <t>人防车库</t>
    <phoneticPr fontId="224" type="noConversion"/>
  </si>
  <si>
    <t>不含人防车位</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</si>
</sst>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0.5"/>
      <color theme="1"/>
      <name val="宋体"/>
      <family val="3"/>
      <charset val="134"/>
    </font>
    <font>
      <b/>
      <sz val="10.5"/>
      <color theme="1"/>
      <name val="Times New Roman"/>
      <family val="1"/>
    </font>
    <font>
      <sz val="10.5"/>
      <color theme="1"/>
      <name val="Times New Roman"/>
      <family val="1"/>
    </font>
    <font>
      <sz val="10.5"/>
      <color theme="1"/>
      <name val="宋体"/>
      <family val="3"/>
      <charset val="134"/>
    </font>
    <font>
      <sz val="10"/>
      <color theme="1"/>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A4A4A4"/>
        <bgColor indexed="64"/>
      </patternFill>
    </fill>
    <fill>
      <patternFill patternType="solid">
        <fgColor rgb="FFD9D9D9"/>
        <bgColor indexed="64"/>
      </patternFill>
    </fill>
    <fill>
      <patternFill patternType="solid">
        <fgColor rgb="FF00B050"/>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191" fontId="0" fillId="0" borderId="0" xfId="0" applyNumberFormat="1">
      <alignment vertical="center"/>
    </xf>
    <xf numFmtId="0" fontId="298" fillId="24" borderId="82" xfId="0" applyFont="1" applyFill="1" applyBorder="1" applyAlignment="1">
      <alignment horizontal="center" vertical="center"/>
    </xf>
    <xf numFmtId="0" fontId="298" fillId="24" borderId="38" xfId="0" applyFont="1" applyFill="1" applyBorder="1" applyAlignment="1">
      <alignment horizontal="center" vertical="center"/>
    </xf>
    <xf numFmtId="0" fontId="298" fillId="0" borderId="80" xfId="0" applyFont="1" applyBorder="1" applyAlignment="1">
      <alignment horizontal="center" vertical="center"/>
    </xf>
    <xf numFmtId="0" fontId="299" fillId="0" borderId="66" xfId="0" applyFont="1" applyBorder="1" applyAlignment="1">
      <alignment horizontal="center" vertical="center"/>
    </xf>
    <xf numFmtId="10" fontId="299" fillId="0" borderId="66" xfId="0" applyNumberFormat="1" applyFont="1" applyBorder="1" applyAlignment="1">
      <alignment horizontal="center" vertical="center"/>
    </xf>
    <xf numFmtId="0" fontId="300" fillId="0" borderId="80" xfId="0" applyFont="1" applyBorder="1" applyAlignment="1">
      <alignment horizontal="left" vertical="center"/>
    </xf>
    <xf numFmtId="0" fontId="300" fillId="0" borderId="66" xfId="0" applyFont="1" applyBorder="1" applyAlignment="1">
      <alignment horizontal="center" vertical="center"/>
    </xf>
    <xf numFmtId="10" fontId="300" fillId="0" borderId="66" xfId="0" applyNumberFormat="1" applyFont="1" applyBorder="1" applyAlignment="1">
      <alignment horizontal="center" vertical="center"/>
    </xf>
    <xf numFmtId="0" fontId="301" fillId="0" borderId="80" xfId="0" applyFont="1" applyBorder="1" applyAlignment="1">
      <alignment horizontal="left" vertical="center" indent="2"/>
    </xf>
    <xf numFmtId="0" fontId="298" fillId="24" borderId="172" xfId="0" applyFont="1" applyFill="1" applyBorder="1" applyAlignment="1">
      <alignment horizontal="center" vertical="center"/>
    </xf>
    <xf numFmtId="0" fontId="298" fillId="24" borderId="173" xfId="0" applyFont="1" applyFill="1" applyBorder="1" applyAlignment="1">
      <alignment horizontal="center" vertical="center"/>
    </xf>
    <xf numFmtId="0" fontId="301" fillId="0" borderId="174" xfId="0" applyFont="1" applyBorder="1" applyAlignment="1">
      <alignment horizontal="right" vertical="center"/>
    </xf>
    <xf numFmtId="0" fontId="300" fillId="0" borderId="175" xfId="0" applyFont="1" applyBorder="1" applyAlignment="1">
      <alignment horizontal="right" vertical="center"/>
    </xf>
    <xf numFmtId="10" fontId="300" fillId="0" borderId="175" xfId="0" applyNumberFormat="1" applyFont="1" applyBorder="1" applyAlignment="1">
      <alignment horizontal="right" vertical="center"/>
    </xf>
    <xf numFmtId="0" fontId="301" fillId="12" borderId="174" xfId="0" applyFont="1" applyFill="1" applyBorder="1" applyAlignment="1">
      <alignment horizontal="right" vertical="center"/>
    </xf>
    <xf numFmtId="0" fontId="300" fillId="12" borderId="175" xfId="0" applyFont="1" applyFill="1" applyBorder="1" applyAlignment="1">
      <alignment horizontal="right" vertical="center"/>
    </xf>
    <xf numFmtId="0" fontId="300" fillId="12" borderId="175" xfId="0" applyFont="1" applyFill="1" applyBorder="1" applyAlignment="1">
      <alignment horizontal="center" vertical="center"/>
    </xf>
    <xf numFmtId="4" fontId="300" fillId="12" borderId="175" xfId="0" applyNumberFormat="1" applyFont="1" applyFill="1" applyBorder="1" applyAlignment="1">
      <alignment horizontal="right" vertical="center"/>
    </xf>
    <xf numFmtId="0" fontId="301" fillId="12" borderId="175" xfId="0" applyFont="1" applyFill="1" applyBorder="1" applyAlignment="1">
      <alignment horizontal="right" vertical="center"/>
    </xf>
    <xf numFmtId="10" fontId="300" fillId="12" borderId="175" xfId="0" applyNumberFormat="1" applyFont="1" applyFill="1" applyBorder="1" applyAlignment="1">
      <alignment horizontal="right" vertical="center"/>
    </xf>
    <xf numFmtId="0" fontId="164" fillId="25" borderId="177" xfId="0" applyFont="1" applyFill="1" applyBorder="1" applyAlignment="1">
      <alignment horizontal="center" vertical="center"/>
    </xf>
    <xf numFmtId="0" fontId="226" fillId="25" borderId="178" xfId="0" applyFont="1" applyFill="1" applyBorder="1" applyAlignment="1">
      <alignment horizontal="center" vertical="center"/>
    </xf>
    <xf numFmtId="0" fontId="163" fillId="25" borderId="179" xfId="0" applyFont="1" applyFill="1" applyBorder="1" applyAlignment="1">
      <alignment horizontal="center" vertical="center"/>
    </xf>
    <xf numFmtId="0" fontId="302" fillId="0" borderId="180" xfId="0" applyFont="1" applyBorder="1" applyAlignment="1">
      <alignment horizontal="center" vertical="center"/>
    </xf>
    <xf numFmtId="0" fontId="196" fillId="0" borderId="66" xfId="0" applyFont="1" applyBorder="1" applyAlignment="1">
      <alignment horizontal="center" vertical="center"/>
    </xf>
    <xf numFmtId="0" fontId="196" fillId="0" borderId="181" xfId="0" applyFont="1" applyBorder="1" applyAlignment="1">
      <alignment horizontal="center" vertical="center"/>
    </xf>
    <xf numFmtId="9" fontId="302" fillId="0" borderId="181" xfId="0" applyNumberFormat="1" applyFont="1" applyBorder="1" applyAlignment="1">
      <alignment horizontal="center" vertical="center"/>
    </xf>
    <xf numFmtId="0" fontId="302" fillId="0" borderId="182" xfId="0" applyFont="1" applyBorder="1" applyAlignment="1">
      <alignment horizontal="center" vertical="center"/>
    </xf>
    <xf numFmtId="0" fontId="196" fillId="0" borderId="183" xfId="0" applyFont="1" applyBorder="1" applyAlignment="1">
      <alignment horizontal="center" vertical="center"/>
    </xf>
    <xf numFmtId="10" fontId="302" fillId="0" borderId="184" xfId="0" applyNumberFormat="1" applyFont="1" applyBorder="1" applyAlignment="1">
      <alignment horizontal="center" vertical="center"/>
    </xf>
    <xf numFmtId="0" fontId="182" fillId="0" borderId="17" xfId="0" applyNumberFormat="1" applyFont="1" applyFill="1" applyBorder="1" applyAlignment="1" applyProtection="1">
      <alignment horizontal="left" vertical="center"/>
      <protection locked="0"/>
    </xf>
    <xf numFmtId="180" fontId="77" fillId="12" borderId="0" xfId="0" applyNumberFormat="1" applyFont="1" applyFill="1" applyAlignment="1" applyProtection="1">
      <alignment vertical="center"/>
      <protection locked="0"/>
    </xf>
    <xf numFmtId="0" fontId="102" fillId="26" borderId="0" xfId="0" applyFont="1" applyFill="1" applyBorder="1" applyAlignment="1" applyProtection="1">
      <alignment vertical="center"/>
      <protection locked="0"/>
    </xf>
    <xf numFmtId="0" fontId="78" fillId="12" borderId="0" xfId="0" applyFont="1" applyFill="1" applyAlignment="1" applyProtection="1">
      <alignment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1" fillId="12" borderId="176" xfId="0" applyFont="1" applyFill="1" applyBorder="1" applyAlignment="1">
      <alignment horizontal="justify" vertical="center"/>
    </xf>
    <xf numFmtId="0" fontId="301" fillId="12" borderId="173" xfId="0" applyFont="1" applyFill="1" applyBorder="1" applyAlignment="1">
      <alignment horizontal="justify" vertical="center"/>
    </xf>
    <xf numFmtId="0" fontId="301" fillId="12" borderId="0" xfId="0" applyFont="1" applyFill="1" applyBorder="1" applyAlignment="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23</xdr:row>
      <xdr:rowOff>43225</xdr:rowOff>
    </xdr:from>
    <xdr:to>
      <xdr:col>14</xdr:col>
      <xdr:colOff>160987</xdr:colOff>
      <xdr:row>40</xdr:row>
      <xdr:rowOff>37657</xdr:rowOff>
    </xdr:to>
    <xdr:pic>
      <xdr:nvPicPr>
        <xdr:cNvPr id="3" name="图片 2"/>
        <xdr:cNvPicPr>
          <a:picLocks noChangeAspect="1"/>
        </xdr:cNvPicPr>
      </xdr:nvPicPr>
      <xdr:blipFill>
        <a:blip xmlns:r="http://schemas.openxmlformats.org/officeDocument/2006/relationships" r:embed="rId1"/>
        <a:stretch>
          <a:fillRect/>
        </a:stretch>
      </xdr:blipFill>
      <xdr:spPr>
        <a:xfrm>
          <a:off x="3667125" y="3986575"/>
          <a:ext cx="6323662" cy="2985282"/>
        </a:xfrm>
        <a:prstGeom prst="rect">
          <a:avLst/>
        </a:prstGeom>
      </xdr:spPr>
    </xdr:pic>
    <xdr:clientData/>
  </xdr:twoCellAnchor>
  <xdr:twoCellAnchor editAs="oneCell">
    <xdr:from>
      <xdr:col>5</xdr:col>
      <xdr:colOff>19050</xdr:colOff>
      <xdr:row>41</xdr:row>
      <xdr:rowOff>19220</xdr:rowOff>
    </xdr:from>
    <xdr:to>
      <xdr:col>7</xdr:col>
      <xdr:colOff>628650</xdr:colOff>
      <xdr:row>58</xdr:row>
      <xdr:rowOff>18585</xdr:rowOff>
    </xdr:to>
    <xdr:pic>
      <xdr:nvPicPr>
        <xdr:cNvPr id="4" name="图片 3"/>
        <xdr:cNvPicPr>
          <a:picLocks noChangeAspect="1"/>
        </xdr:cNvPicPr>
      </xdr:nvPicPr>
      <xdr:blipFill>
        <a:blip xmlns:r="http://schemas.openxmlformats.org/officeDocument/2006/relationships" r:embed="rId2"/>
        <a:stretch>
          <a:fillRect/>
        </a:stretch>
      </xdr:blipFill>
      <xdr:spPr>
        <a:xfrm>
          <a:off x="3676650" y="7048670"/>
          <a:ext cx="1981200" cy="3037840"/>
        </a:xfrm>
        <a:prstGeom prst="rect">
          <a:avLst/>
        </a:prstGeom>
      </xdr:spPr>
    </xdr:pic>
    <xdr:clientData/>
  </xdr:twoCellAnchor>
  <xdr:twoCellAnchor editAs="oneCell">
    <xdr:from>
      <xdr:col>4</xdr:col>
      <xdr:colOff>85724</xdr:colOff>
      <xdr:row>0</xdr:row>
      <xdr:rowOff>0</xdr:rowOff>
    </xdr:from>
    <xdr:to>
      <xdr:col>13</xdr:col>
      <xdr:colOff>495299</xdr:colOff>
      <xdr:row>21</xdr:row>
      <xdr:rowOff>99297</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71849" y="0"/>
          <a:ext cx="6581775" cy="3699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590550</xdr:colOff>
      <xdr:row>0</xdr:row>
      <xdr:rowOff>0</xdr:rowOff>
    </xdr:from>
    <xdr:to>
      <xdr:col>17</xdr:col>
      <xdr:colOff>395544</xdr:colOff>
      <xdr:row>23</xdr:row>
      <xdr:rowOff>27861</xdr:rowOff>
    </xdr:to>
    <xdr:pic>
      <xdr:nvPicPr>
        <xdr:cNvPr id="6" name="图片 5"/>
        <xdr:cNvPicPr>
          <a:picLocks noChangeAspect="1"/>
        </xdr:cNvPicPr>
      </xdr:nvPicPr>
      <xdr:blipFill>
        <a:blip xmlns:r="http://schemas.openxmlformats.org/officeDocument/2006/relationships" r:embed="rId4"/>
        <a:stretch>
          <a:fillRect/>
        </a:stretch>
      </xdr:blipFill>
      <xdr:spPr>
        <a:xfrm>
          <a:off x="10048875" y="0"/>
          <a:ext cx="2548194" cy="3971211"/>
        </a:xfrm>
        <a:prstGeom prst="rect">
          <a:avLst/>
        </a:prstGeom>
      </xdr:spPr>
    </xdr:pic>
    <xdr:clientData/>
  </xdr:twoCellAnchor>
  <xdr:twoCellAnchor editAs="oneCell">
    <xdr:from>
      <xdr:col>0</xdr:col>
      <xdr:colOff>0</xdr:colOff>
      <xdr:row>59</xdr:row>
      <xdr:rowOff>0</xdr:rowOff>
    </xdr:from>
    <xdr:to>
      <xdr:col>7</xdr:col>
      <xdr:colOff>208856</xdr:colOff>
      <xdr:row>73</xdr:row>
      <xdr:rowOff>75891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315575"/>
          <a:ext cx="5552381" cy="2476191"/>
        </a:xfrm>
        <a:prstGeom prst="rect">
          <a:avLst/>
        </a:prstGeom>
      </xdr:spPr>
    </xdr:pic>
    <xdr:clientData/>
  </xdr:twoCellAnchor>
  <xdr:twoCellAnchor editAs="oneCell">
    <xdr:from>
      <xdr:col>0</xdr:col>
      <xdr:colOff>0</xdr:colOff>
      <xdr:row>74</xdr:row>
      <xdr:rowOff>0</xdr:rowOff>
    </xdr:from>
    <xdr:to>
      <xdr:col>7</xdr:col>
      <xdr:colOff>208856</xdr:colOff>
      <xdr:row>105</xdr:row>
      <xdr:rowOff>94574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2887325"/>
          <a:ext cx="5552381" cy="5409524"/>
        </a:xfrm>
        <a:prstGeom prst="rect">
          <a:avLst/>
        </a:prstGeom>
      </xdr:spPr>
    </xdr:pic>
    <xdr:clientData/>
  </xdr:twoCellAnchor>
  <xdr:twoCellAnchor>
    <xdr:from>
      <xdr:col>0</xdr:col>
      <xdr:colOff>0</xdr:colOff>
      <xdr:row>105</xdr:row>
      <xdr:rowOff>28575</xdr:rowOff>
    </xdr:from>
    <xdr:to>
      <xdr:col>12</xdr:col>
      <xdr:colOff>85725</xdr:colOff>
      <xdr:row>111</xdr:row>
      <xdr:rowOff>85725</xdr:rowOff>
    </xdr:to>
    <xdr:pic>
      <xdr:nvPicPr>
        <xdr:cNvPr id="9" name="图片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8240375"/>
          <a:ext cx="8858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114</xdr:row>
      <xdr:rowOff>66675</xdr:rowOff>
    </xdr:from>
    <xdr:to>
      <xdr:col>12</xdr:col>
      <xdr:colOff>85725</xdr:colOff>
      <xdr:row>132</xdr:row>
      <xdr:rowOff>0</xdr:rowOff>
    </xdr:to>
    <xdr:pic>
      <xdr:nvPicPr>
        <xdr:cNvPr id="10" name="图片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9821525"/>
          <a:ext cx="885825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133</xdr:row>
      <xdr:rowOff>133350</xdr:rowOff>
    </xdr:from>
    <xdr:to>
      <xdr:col>12</xdr:col>
      <xdr:colOff>85725</xdr:colOff>
      <xdr:row>142</xdr:row>
      <xdr:rowOff>95250</xdr:rowOff>
    </xdr:to>
    <xdr:pic>
      <xdr:nvPicPr>
        <xdr:cNvPr id="11" name="图片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3145750"/>
          <a:ext cx="88582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0</xdr:row>
      <xdr:rowOff>0</xdr:rowOff>
    </xdr:from>
    <xdr:to>
      <xdr:col>22</xdr:col>
      <xdr:colOff>637753</xdr:colOff>
      <xdr:row>18</xdr:row>
      <xdr:rowOff>123424</xdr:rowOff>
    </xdr:to>
    <xdr:pic>
      <xdr:nvPicPr>
        <xdr:cNvPr id="2" name="图片 1"/>
        <xdr:cNvPicPr>
          <a:picLocks noChangeAspect="1"/>
        </xdr:cNvPicPr>
      </xdr:nvPicPr>
      <xdr:blipFill>
        <a:blip xmlns:r="http://schemas.openxmlformats.org/officeDocument/2006/relationships" r:embed="rId10"/>
        <a:stretch>
          <a:fillRect/>
        </a:stretch>
      </xdr:blipFill>
      <xdr:spPr>
        <a:xfrm>
          <a:off x="12887325" y="0"/>
          <a:ext cx="3380953" cy="3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213474</xdr:colOff>
      <xdr:row>28</xdr:row>
      <xdr:rowOff>123824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71474" cy="4924424"/>
        </a:xfrm>
        <a:prstGeom prst="rect">
          <a:avLst/>
        </a:prstGeom>
      </xdr:spPr>
    </xdr:pic>
    <xdr:clientData/>
  </xdr:twoCellAnchor>
  <xdr:twoCellAnchor editAs="oneCell">
    <xdr:from>
      <xdr:col>0</xdr:col>
      <xdr:colOff>0</xdr:colOff>
      <xdr:row>26</xdr:row>
      <xdr:rowOff>0</xdr:rowOff>
    </xdr:from>
    <xdr:to>
      <xdr:col>9</xdr:col>
      <xdr:colOff>627800</xdr:colOff>
      <xdr:row>54</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6800000" cy="4961905"/>
        </a:xfrm>
        <a:prstGeom prst="rect">
          <a:avLst/>
        </a:prstGeom>
      </xdr:spPr>
    </xdr:pic>
    <xdr:clientData/>
  </xdr:twoCellAnchor>
  <xdr:twoCellAnchor editAs="oneCell">
    <xdr:from>
      <xdr:col>11</xdr:col>
      <xdr:colOff>0</xdr:colOff>
      <xdr:row>0</xdr:row>
      <xdr:rowOff>0</xdr:rowOff>
    </xdr:from>
    <xdr:to>
      <xdr:col>22</xdr:col>
      <xdr:colOff>322867</xdr:colOff>
      <xdr:row>21</xdr:row>
      <xdr:rowOff>66217</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7866667" cy="3666667"/>
        </a:xfrm>
        <a:prstGeom prst="rect">
          <a:avLst/>
        </a:prstGeom>
      </xdr:spPr>
    </xdr:pic>
    <xdr:clientData/>
  </xdr:twoCellAnchor>
  <xdr:twoCellAnchor editAs="oneCell">
    <xdr:from>
      <xdr:col>10</xdr:col>
      <xdr:colOff>657225</xdr:colOff>
      <xdr:row>23</xdr:row>
      <xdr:rowOff>85725</xdr:rowOff>
    </xdr:from>
    <xdr:to>
      <xdr:col>19</xdr:col>
      <xdr:colOff>646930</xdr:colOff>
      <xdr:row>37</xdr:row>
      <xdr:rowOff>18758</xdr:rowOff>
    </xdr:to>
    <xdr:pic>
      <xdr:nvPicPr>
        <xdr:cNvPr id="6" name="图片 5"/>
        <xdr:cNvPicPr>
          <a:picLocks noChangeAspect="1"/>
        </xdr:cNvPicPr>
      </xdr:nvPicPr>
      <xdr:blipFill>
        <a:blip xmlns:r="http://schemas.openxmlformats.org/officeDocument/2006/relationships" r:embed="rId4"/>
        <a:stretch>
          <a:fillRect/>
        </a:stretch>
      </xdr:blipFill>
      <xdr:spPr>
        <a:xfrm>
          <a:off x="7515225" y="4029075"/>
          <a:ext cx="6161905" cy="2333333"/>
        </a:xfrm>
        <a:prstGeom prst="rect">
          <a:avLst/>
        </a:prstGeom>
      </xdr:spPr>
    </xdr:pic>
    <xdr:clientData/>
  </xdr:twoCellAnchor>
  <xdr:twoCellAnchor editAs="oneCell">
    <xdr:from>
      <xdr:col>20</xdr:col>
      <xdr:colOff>47625</xdr:colOff>
      <xdr:row>24</xdr:row>
      <xdr:rowOff>142875</xdr:rowOff>
    </xdr:from>
    <xdr:to>
      <xdr:col>28</xdr:col>
      <xdr:colOff>637416</xdr:colOff>
      <xdr:row>37</xdr:row>
      <xdr:rowOff>114025</xdr:rowOff>
    </xdr:to>
    <xdr:pic>
      <xdr:nvPicPr>
        <xdr:cNvPr id="7" name="图片 6"/>
        <xdr:cNvPicPr>
          <a:picLocks noChangeAspect="1"/>
        </xdr:cNvPicPr>
      </xdr:nvPicPr>
      <xdr:blipFill>
        <a:blip xmlns:r="http://schemas.openxmlformats.org/officeDocument/2006/relationships" r:embed="rId5"/>
        <a:stretch>
          <a:fillRect/>
        </a:stretch>
      </xdr:blipFill>
      <xdr:spPr>
        <a:xfrm>
          <a:off x="13763625" y="4257675"/>
          <a:ext cx="6076191" cy="2200000"/>
        </a:xfrm>
        <a:prstGeom prst="rect">
          <a:avLst/>
        </a:prstGeom>
      </xdr:spPr>
    </xdr:pic>
    <xdr:clientData/>
  </xdr:twoCellAnchor>
  <xdr:twoCellAnchor editAs="oneCell">
    <xdr:from>
      <xdr:col>0</xdr:col>
      <xdr:colOff>0</xdr:colOff>
      <xdr:row>0</xdr:row>
      <xdr:rowOff>0</xdr:rowOff>
    </xdr:from>
    <xdr:to>
      <xdr:col>8</xdr:col>
      <xdr:colOff>100965</xdr:colOff>
      <xdr:row>22</xdr:row>
      <xdr:rowOff>123190</xdr:rowOff>
    </xdr:to>
    <xdr:pic>
      <xdr:nvPicPr>
        <xdr:cNvPr id="8" name="图片 7" descr="1652770105(1)"/>
        <xdr:cNvPicPr>
          <a:picLocks noChangeAspect="1"/>
        </xdr:cNvPicPr>
      </xdr:nvPicPr>
      <xdr:blipFill>
        <a:blip xmlns:r="http://schemas.openxmlformats.org/officeDocument/2006/relationships" r:embed="rId6"/>
        <a:stretch>
          <a:fillRect/>
        </a:stretch>
      </xdr:blipFill>
      <xdr:spPr>
        <a:xfrm>
          <a:off x="0" y="0"/>
          <a:ext cx="5587365" cy="3895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1935</v>
      </c>
      <c r="B1" s="2370" t="s">
        <v>2032</v>
      </c>
    </row>
    <row r="2" spans="1:55" s="2374" customFormat="1" ht="15" thickTop="1">
      <c r="A2" s="2372" t="s">
        <v>1939</v>
      </c>
      <c r="B2" s="2373" t="str">
        <f>'预评函-封皮'!B37</f>
        <v>北京市朝阳区东坝非配套项目用地（E组团A地块）出让国有建设用地使用权市场价格预评估</v>
      </c>
      <c r="AX2" s="2375"/>
      <c r="AZ2" s="2375"/>
      <c r="BA2" s="2376"/>
      <c r="BC2" s="2376"/>
    </row>
    <row r="3" spans="1:55" s="2377" customFormat="1">
      <c r="A3" s="2356" t="s">
        <v>1940</v>
      </c>
      <c r="B3" s="2359" t="str">
        <f>'预评函-封皮'!B40</f>
        <v>北京三博脑科医院有限公司</v>
      </c>
    </row>
    <row r="4" spans="1:55" s="2358" customFormat="1">
      <c r="A4" s="2356" t="s">
        <v>1941</v>
      </c>
      <c r="B4" s="2357" t="str">
        <f>'预评函-封皮'!B46</f>
        <v>赵雯、崔锴</v>
      </c>
      <c r="N4" s="2358" t="str">
        <f>'预评函-1'!A28</f>
        <v>——</v>
      </c>
    </row>
    <row r="5" spans="1:55" s="2371" customFormat="1" ht="15" thickBot="1">
      <c r="A5" s="2378" t="s">
        <v>1942</v>
      </c>
      <c r="B5" s="2379" t="str">
        <f>'预评函-封皮'!B49</f>
        <v>康正预评字号</v>
      </c>
    </row>
    <row r="6" spans="1:55" s="2380" customFormat="1" ht="15" thickTop="1">
      <c r="A6" s="2372" t="s">
        <v>1984</v>
      </c>
      <c r="B6" s="2373" t="str">
        <f>'预评函-1'!A4</f>
        <v>受贵公司委托，我公司对北京市朝阳区东坝非配套项目用地（E组团A地块）出让国有建设用地使用权市场价格进行了预评估。</v>
      </c>
      <c r="AM6" s="2381"/>
    </row>
    <row r="7" spans="1:55" s="2355" customFormat="1">
      <c r="A7" s="2356" t="s">
        <v>1936</v>
      </c>
      <c r="B7" s="2357" t="str">
        <f>'预评函-1'!A6</f>
        <v>估价对象为北京三博脑科医院有限公司使用的、位于北京市朝阳区东坝非配套项目用地（E组团A地块）出让国有建设用地使用权。根据《国有土地使用证》[]，估价对象（分摊）出让国有建设用地使用权面积为22454.65平方米。根据《建设工程规划许可证》[]、《出让合同》[]，估价对象规划建筑面积为59167.44平方米。</v>
      </c>
    </row>
    <row r="8" spans="1:55" s="2355" customFormat="1">
      <c r="A8" s="2356" t="s">
        <v>1937</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1987</v>
      </c>
      <c r="B9" s="2357"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355" customFormat="1">
      <c r="A10" s="2356" t="s">
        <v>1938</v>
      </c>
      <c r="B10" s="2357" t="str">
        <f>'预评函-1'!A11</f>
        <v>2023年1月16日（评估专业人员勘察现场之日）</v>
      </c>
    </row>
    <row r="11" spans="1:55" s="2355" customFormat="1">
      <c r="A11" s="2356" t="s">
        <v>1944</v>
      </c>
      <c r="B11" s="2357" t="str">
        <f>'预评函-1'!A14</f>
        <v>根据《国有土地使用证》[]，本次评估估价对象证载（地类）用途为。</v>
      </c>
    </row>
    <row r="12" spans="1:55" s="2355" customFormat="1">
      <c r="A12" s="2356" t="s">
        <v>1945</v>
      </c>
      <c r="B12" s="2357" t="str">
        <f>'预评函-1'!A15</f>
        <v>本次评估设定用途即为证载用途。</v>
      </c>
    </row>
    <row r="13" spans="1:55" s="2355" customFormat="1">
      <c r="A13" s="2356" t="s">
        <v>1946</v>
      </c>
      <c r="B13" s="2357" t="str">
        <f>'预评函-1'!A17</f>
        <v>根据委托估价方介绍及评估专业人员现场勘查，本次评估估价对象实际土地开发程度为红线外市政基础设施达“七通”（即通路、通电、通讯、、、、）、宗地红线内场地平整。</v>
      </c>
    </row>
    <row r="14" spans="1:55" s="2355" customFormat="1">
      <c r="A14" s="2356" t="s">
        <v>1947</v>
      </c>
      <c r="B14" s="2357" t="str">
        <f>'预评函-1'!A18</f>
        <v>本次评估设定土地开发程度为红线外市政基础设施达“七通”、宗地红线内场地平整。</v>
      </c>
    </row>
    <row r="15" spans="1:55" s="2355" customFormat="1">
      <c r="A15" s="2356" t="s">
        <v>1943</v>
      </c>
      <c r="B15" s="2357" t="str">
        <f>'预评函-1'!A20</f>
        <v>根据《国有土地使用证》[]，估价对象（分摊）出让国有建设用地使用权面积为22454.65平方米。根据《建设工程规划许可证》[]、《出让合同》[]，估价对象规划建筑面积为59167.44平方米。</v>
      </c>
    </row>
    <row r="16" spans="1:55" s="2355" customFormat="1">
      <c r="A16" s="2356" t="s">
        <v>1948</v>
      </c>
      <c r="B16" s="2357" t="str">
        <f>'预评函-1'!A22</f>
        <v>本次估价对象为出让国有建设用地使用权，《国有土地使用证》[]证载土地终止日期为车库2058年5月16日公共服务2058年5月16日。截至估价期日，出让国有建设用地使用权剩余土地使用年限为。</v>
      </c>
    </row>
    <row r="17" spans="1:48" s="2355" customFormat="1">
      <c r="A17" s="2356" t="s">
        <v>1949</v>
      </c>
      <c r="B17" s="2357" t="str">
        <f>'预评函-1'!A23</f>
        <v>本次评估设定估价对象剩余土地使用年限为。</v>
      </c>
    </row>
    <row r="18" spans="1:48" s="2355" customFormat="1">
      <c r="A18" s="2356" t="s">
        <v>1950</v>
      </c>
      <c r="B18" s="2357" t="str">
        <f>'预评函-1'!A25</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19" spans="1:48" s="2355" customFormat="1">
      <c r="A19" s="2356" t="s">
        <v>1951</v>
      </c>
      <c r="B19" s="2357" t="str">
        <f>'预评函-1'!A26</f>
        <v>——</v>
      </c>
    </row>
    <row r="20" spans="1:48" s="2355" customFormat="1">
      <c r="A20" s="2356" t="s">
        <v>1952</v>
      </c>
      <c r="B20" s="2357" t="str">
        <f>'预评函-1'!A27</f>
        <v>——</v>
      </c>
    </row>
    <row r="21" spans="1:48" s="2371" customFormat="1" ht="15" thickBot="1">
      <c r="A21" s="2378" t="s">
        <v>1953</v>
      </c>
      <c r="B21" s="2379" t="str">
        <f>'预评函-1'!A28</f>
        <v>——</v>
      </c>
    </row>
    <row r="22" spans="1:48" ht="15" thickTop="1">
      <c r="A22" s="2367" t="s">
        <v>1954</v>
      </c>
      <c r="B22" s="23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6" t="s">
        <v>1955</v>
      </c>
      <c r="B23" s="2357" t="str">
        <f>'预评函-2'!K2</f>
        <v>估价期日：2023年1月16日</v>
      </c>
    </row>
    <row r="24" spans="1:48">
      <c r="A24" s="2356" t="s">
        <v>1956</v>
      </c>
      <c r="B24" s="2357" t="str">
        <f>'预评函-2'!R2</f>
        <v>估价期日的国有建设用地使用权性质：出让</v>
      </c>
    </row>
    <row r="25" spans="1:48">
      <c r="A25" s="2356" t="s">
        <v>2012</v>
      </c>
      <c r="B25" s="2357" t="str">
        <f>'预评函-2'!A3</f>
        <v>估价期日土地使用者</v>
      </c>
    </row>
    <row r="26" spans="1:48">
      <c r="A26" s="2356" t="s">
        <v>1988</v>
      </c>
      <c r="B26" s="2357" t="str">
        <f>'预评函-2'!A5</f>
        <v>中信开发</v>
      </c>
    </row>
    <row r="27" spans="1:48">
      <c r="A27" s="2356" t="s">
        <v>2013</v>
      </c>
      <c r="B27" s="2357" t="str">
        <f>'预评函-2'!B3</f>
        <v>宗地编号/不动产单元号</v>
      </c>
    </row>
    <row r="28" spans="1:48">
      <c r="A28" s="2356" t="s">
        <v>1989</v>
      </c>
      <c r="B28" s="2357" t="str">
        <f>'预评函-2'!B5</f>
        <v>11111111111</v>
      </c>
    </row>
    <row r="29" spans="1:48">
      <c r="A29" s="2356" t="s">
        <v>2015</v>
      </c>
      <c r="B29" s="2357">
        <f>'预评函-2'!C5</f>
        <v>22</v>
      </c>
    </row>
    <row r="30" spans="1:48">
      <c r="A30" s="2356" t="s">
        <v>2016</v>
      </c>
      <c r="B30" s="2357" t="str">
        <f>'预评函-2'!D3</f>
        <v>土地使用证编号/不动产权证书编号</v>
      </c>
    </row>
    <row r="31" spans="1:48">
      <c r="A31" s="2356" t="s">
        <v>1990</v>
      </c>
      <c r="B31" s="2357" t="str">
        <f>'预评函-2'!D5</f>
        <v>京国土字第111号</v>
      </c>
    </row>
    <row r="32" spans="1:48">
      <c r="A32" s="2356" t="s">
        <v>1991</v>
      </c>
      <c r="B32" s="2357">
        <f>'预评函-2'!E5</f>
        <v>0</v>
      </c>
      <c r="AV32" s="2361"/>
    </row>
    <row r="33" spans="1:2">
      <c r="A33" s="2356" t="s">
        <v>1992</v>
      </c>
      <c r="B33" s="2357">
        <f>'预评函-2'!F5</f>
        <v>258</v>
      </c>
    </row>
    <row r="34" spans="1:2">
      <c r="A34" s="2356" t="s">
        <v>1993</v>
      </c>
      <c r="B34" s="2357">
        <f>'预评函-2'!G5</f>
        <v>0</v>
      </c>
    </row>
    <row r="35" spans="1:2">
      <c r="A35" s="2356" t="s">
        <v>1994</v>
      </c>
      <c r="B35" s="2357">
        <f>'预评函-2'!H5</f>
        <v>1.5</v>
      </c>
    </row>
    <row r="36" spans="1:2">
      <c r="A36" s="2356" t="s">
        <v>1995</v>
      </c>
      <c r="B36" s="2357">
        <f>'预评函-2'!I5</f>
        <v>1.5</v>
      </c>
    </row>
    <row r="37" spans="1:2">
      <c r="A37" s="2356" t="s">
        <v>1996</v>
      </c>
      <c r="B37" s="2357">
        <f>'预评函-2'!J5</f>
        <v>1.5</v>
      </c>
    </row>
    <row r="38" spans="1:2">
      <c r="A38" s="2356" t="s">
        <v>1997</v>
      </c>
      <c r="B38" s="2357" t="str">
        <f>'预评函-2'!K5</f>
        <v>红线外七通、宗地红线内场地平整</v>
      </c>
    </row>
    <row r="39" spans="1:2">
      <c r="A39" s="2356" t="s">
        <v>1998</v>
      </c>
      <c r="B39" s="2357" t="str">
        <f>'预评函-2'!L5</f>
        <v>红线外七通、宗地红线内场地</v>
      </c>
    </row>
    <row r="40" spans="1:2">
      <c r="A40" s="2356" t="s">
        <v>2017</v>
      </c>
      <c r="B40" s="2357" t="str">
        <f>'预评函-2'!M3</f>
        <v>（剩余）土地使用年限/年</v>
      </c>
    </row>
    <row r="41" spans="1:2">
      <c r="A41" s="2356" t="s">
        <v>1999</v>
      </c>
      <c r="B41" s="2357">
        <f>'预评函-2'!M5</f>
        <v>0</v>
      </c>
    </row>
    <row r="42" spans="1:2">
      <c r="A42" s="2356" t="s">
        <v>2018</v>
      </c>
      <c r="B42" s="2357" t="str">
        <f>'预评函-2'!N3</f>
        <v>（分摊）出让国有建设用地使用权面积/㎡</v>
      </c>
    </row>
    <row r="43" spans="1:2">
      <c r="A43" s="2356" t="s">
        <v>2000</v>
      </c>
      <c r="B43" s="2357">
        <f>'预评函-2'!N5</f>
        <v>22454.65</v>
      </c>
    </row>
    <row r="44" spans="1:2">
      <c r="A44" s="2356" t="s">
        <v>2019</v>
      </c>
      <c r="B44" s="2357" t="str">
        <f>'预评函-2'!O3</f>
        <v>规划建筑面积/㎡</v>
      </c>
    </row>
    <row r="45" spans="1:2">
      <c r="A45" s="2356" t="s">
        <v>2001</v>
      </c>
      <c r="B45" s="2357">
        <f>'预评函-2'!O5</f>
        <v>59167.44</v>
      </c>
    </row>
    <row r="46" spans="1:2">
      <c r="A46" s="2356" t="s">
        <v>2002</v>
      </c>
      <c r="B46" s="2357">
        <f ca="1">'预评函-2'!P5</f>
        <v>17444</v>
      </c>
    </row>
    <row r="47" spans="1:2">
      <c r="A47" s="2356" t="s">
        <v>2003</v>
      </c>
      <c r="B47" s="2357">
        <f ca="1">'预评函-2'!Q5</f>
        <v>6620</v>
      </c>
    </row>
    <row r="48" spans="1:2">
      <c r="A48" s="2356" t="s">
        <v>2004</v>
      </c>
      <c r="B48" s="2357">
        <f ca="1">'预评函-2'!R5</f>
        <v>39171</v>
      </c>
    </row>
    <row r="49" spans="1:2">
      <c r="A49" s="2356" t="s">
        <v>2020</v>
      </c>
      <c r="B49" s="2357" t="str">
        <f>'预评函-2'!A6</f>
        <v>——</v>
      </c>
    </row>
    <row r="50" spans="1:2">
      <c r="A50" s="2356" t="s">
        <v>2005</v>
      </c>
      <c r="B50" s="2357">
        <f ca="1">'预评函-2'!R6</f>
        <v>39171</v>
      </c>
    </row>
    <row r="51" spans="1:2">
      <c r="A51" s="2356" t="s">
        <v>2021</v>
      </c>
      <c r="B51" s="2357" t="str">
        <f>'预评函-2'!A7</f>
        <v>——</v>
      </c>
    </row>
    <row r="52" spans="1:2">
      <c r="A52" s="2356" t="s">
        <v>2006</v>
      </c>
      <c r="B52" s="2357" t="str">
        <f>'预评函-2'!R7</f>
        <v>——</v>
      </c>
    </row>
    <row r="53" spans="1:2">
      <c r="A53" s="2356" t="s">
        <v>2022</v>
      </c>
      <c r="B53" s="2357" t="str">
        <f>'预评函-2'!A8</f>
        <v>——</v>
      </c>
    </row>
    <row r="54" spans="1:2" s="2371" customFormat="1" ht="15" thickBot="1">
      <c r="A54" s="2378" t="s">
        <v>2007</v>
      </c>
      <c r="B54" s="2379" t="str">
        <f>'预评函-2'!R8</f>
        <v>——</v>
      </c>
    </row>
    <row r="55" spans="1:2" ht="15" thickTop="1">
      <c r="A55" s="2367" t="s">
        <v>1957</v>
      </c>
      <c r="B55" s="2368" t="str">
        <f>'预评函-3'!A2</f>
        <v>1.权利限制：根据估价对象《不动产权证书》复印件、，截至估价期日，估价对象抵押权未见登记。未设定租赁等其他他项权利。</v>
      </c>
    </row>
    <row r="56" spans="1:2">
      <c r="A56" s="2356" t="s">
        <v>1958</v>
      </c>
      <c r="B56" s="2357" t="str">
        <f>'预评函-3'!A3</f>
        <v>2.基础设施条件：估价对象实际开发程度为红线外七通、宗地红线内场地平整；本次评估设定开发程度为红线外七通、宗地红线内场地。</v>
      </c>
    </row>
    <row r="57" spans="1:2">
      <c r="A57" s="2356" t="s">
        <v>1959</v>
      </c>
      <c r="B57" s="2357" t="str">
        <f>'预评函-3'!A4</f>
        <v>3.估价规划限制条件：详见《建设工程规划许可证》[]、《出让合同》[]。</v>
      </c>
    </row>
    <row r="58" spans="1:2" s="2371" customFormat="1" ht="15" thickBot="1">
      <c r="A58" s="2378" t="s">
        <v>2008</v>
      </c>
      <c r="B58" s="2379" t="str">
        <f>'预评函-3'!A5</f>
        <v>4.影响价格的其他限定条件：无。</v>
      </c>
    </row>
    <row r="59" spans="1:2" ht="15" thickTop="1">
      <c r="A59" s="2367" t="s">
        <v>1960</v>
      </c>
      <c r="B59" s="2368" t="str">
        <f>'预评函-3'!A8</f>
        <v>2.本《评估意见函》仅供金融机构进行内部审核使用，不做其他目的之用。</v>
      </c>
    </row>
    <row r="60" spans="1:2">
      <c r="A60" s="2356" t="s">
        <v>1961</v>
      </c>
      <c r="B60" s="2357" t="str">
        <f>'预评函-3'!A9</f>
        <v>3.抵押双方在办理抵押登记手续时，应使用本公司出具的正式《土地估价报告》，特提请报告使用者注意。</v>
      </c>
    </row>
    <row r="61" spans="1:2">
      <c r="A61" s="2356" t="s">
        <v>1963</v>
      </c>
      <c r="B61" s="2357" t="str">
        <f>'预评函-3'!A10</f>
        <v>4.估价师所知悉的法定优先受偿款情况为：</v>
      </c>
    </row>
    <row r="62" spans="1:2">
      <c r="A62" s="2356" t="s">
        <v>1962</v>
      </c>
      <c r="B62" s="2357" t="str">
        <f>'预评函-3'!A11</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1964</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1965</v>
      </c>
      <c r="B64" s="2362" t="str">
        <f>'预评函-3'!A13</f>
        <v>（3）。</v>
      </c>
    </row>
    <row r="65" spans="1:2">
      <c r="A65" s="2356" t="s">
        <v>1966</v>
      </c>
      <c r="B65" s="2363" t="str">
        <f>'预评函-3'!A14</f>
        <v>综上，本次评估不存在估价师知悉的法定优先受偿款</v>
      </c>
    </row>
    <row r="66" spans="1:2">
      <c r="A66" s="2356" t="s">
        <v>1967</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1968</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1971</v>
      </c>
      <c r="B68" s="2382">
        <f>'预评函-3'!D30</f>
        <v>42558</v>
      </c>
    </row>
    <row r="69" spans="1:2" ht="15" thickTop="1">
      <c r="A69" s="2367" t="s">
        <v>1969</v>
      </c>
      <c r="B69" s="2368" t="str">
        <f>'预评函-3'!A20</f>
        <v>赵雯</v>
      </c>
    </row>
    <row r="70" spans="1:2">
      <c r="A70" s="2356" t="s">
        <v>1969</v>
      </c>
      <c r="B70" s="2363">
        <f ca="1">'预评函-3'!B20</f>
        <v>2011110090</v>
      </c>
    </row>
    <row r="71" spans="1:2">
      <c r="A71" s="2356" t="s">
        <v>1970</v>
      </c>
      <c r="B71" s="2357" t="str">
        <f>'预评函-3'!A21</f>
        <v>崔锴</v>
      </c>
    </row>
    <row r="72" spans="1:2" s="2371" customFormat="1" ht="15" thickBot="1">
      <c r="A72" s="2378" t="s">
        <v>1970</v>
      </c>
      <c r="B72" s="2384">
        <f ca="1">'预评函-3'!B21</f>
        <v>2010110070</v>
      </c>
    </row>
    <row r="73" spans="1:2" ht="15" thickTop="1">
      <c r="A73" s="2367" t="s">
        <v>2029</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2030</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2031</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2061</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5"/>
  </cols>
  <sheetData>
    <row r="1" spans="1:6">
      <c r="A1" s="3282" t="s">
        <v>2672</v>
      </c>
      <c r="B1" s="3283"/>
      <c r="C1" s="3283"/>
      <c r="D1" s="3283"/>
      <c r="E1" s="3283"/>
      <c r="F1" s="3284"/>
    </row>
    <row r="2" spans="1:6">
      <c r="A2" s="3286"/>
      <c r="B2" s="3287"/>
      <c r="C2" s="3287"/>
      <c r="D2" s="3287"/>
      <c r="E2" s="3287"/>
      <c r="F2" s="3288"/>
    </row>
    <row r="3" spans="1:6">
      <c r="A3" s="3289" t="s">
        <v>2673</v>
      </c>
      <c r="B3" s="3290">
        <f>项目基本情况!D3</f>
        <v>44942</v>
      </c>
      <c r="C3" s="3291"/>
      <c r="D3" s="3291"/>
      <c r="E3" s="3291"/>
      <c r="F3" s="3288"/>
    </row>
    <row r="4" spans="1:6">
      <c r="A4" s="3289" t="s">
        <v>2674</v>
      </c>
      <c r="B4" s="3292" t="s">
        <v>2675</v>
      </c>
      <c r="C4" s="3292" t="s">
        <v>2676</v>
      </c>
      <c r="D4" s="3292" t="s">
        <v>2677</v>
      </c>
      <c r="E4" s="3292" t="s">
        <v>2678</v>
      </c>
      <c r="F4" s="3288"/>
    </row>
    <row r="5" spans="1:6">
      <c r="A5" s="3293"/>
      <c r="B5" s="3290"/>
      <c r="C5" s="3292">
        <f>ROUNDDOWN(MIN((B5-B3)/365,A5),2)</f>
        <v>-123.12</v>
      </c>
      <c r="D5" s="3294">
        <f>IF(ISERROR(ROUND(POWER(1+E5,A5-C5)*(POWER(1+E5,C5)-1)/(POWER(1+E5,A5)-1),3)),0,ROUND(POWER(1+E5,A5-C5)*(POWER(1+E5,C5)-1)/(POWER(1+E5,A5)-1),4))</f>
        <v>0</v>
      </c>
      <c r="E5" s="3295"/>
      <c r="F5" s="3288"/>
    </row>
    <row r="6" spans="1:6">
      <c r="A6" s="3293"/>
      <c r="B6" s="3290"/>
      <c r="C6" s="3292">
        <f>ROUNDDOWN(MIN((B6-B3)/365,A6),2)</f>
        <v>-123.12</v>
      </c>
      <c r="D6" s="3294">
        <f>IF(ISERROR(ROUND(POWER(1+E6,A6-C6)*(POWER(1+E6,C6)-1)/(POWER(1+E6,A6)-1),3)),0,ROUND(POWER(1+E6,A6-C6)*(POWER(1+E6,C6)-1)/(POWER(1+E6,A6)-1),4))</f>
        <v>0</v>
      </c>
      <c r="E6" s="3295"/>
      <c r="F6" s="3288"/>
    </row>
    <row r="7" spans="1:6">
      <c r="A7" s="3293"/>
      <c r="B7" s="3290"/>
      <c r="C7" s="3292">
        <f>ROUNDDOWN(MIN((B7-B3)/365,A7),2)</f>
        <v>-123.12</v>
      </c>
      <c r="D7" s="3294">
        <f>IF(ISERROR(ROUND(POWER(1+E7,A7-C7)*(POWER(1+E7,C7)-1)/(POWER(1+E7,A7)-1),3)),0,ROUND(POWER(1+E7,A7-C7)*(POWER(1+E7,C7)-1)/(POWER(1+E7,A7)-1),4))</f>
        <v>0</v>
      </c>
      <c r="E7" s="3295"/>
      <c r="F7" s="3288"/>
    </row>
    <row r="8" spans="1:6">
      <c r="A8" s="3286"/>
      <c r="B8" s="3287"/>
      <c r="C8" s="3287"/>
      <c r="D8" s="3287"/>
      <c r="E8" s="3287"/>
      <c r="F8" s="3288"/>
    </row>
    <row r="9" spans="1:6">
      <c r="A9" s="3289" t="s">
        <v>2679</v>
      </c>
      <c r="B9" s="3292"/>
      <c r="C9" s="3292"/>
      <c r="D9" s="3292"/>
      <c r="E9" s="3292"/>
      <c r="F9" s="3296"/>
    </row>
    <row r="10" spans="1:6">
      <c r="A10" s="3289" t="s">
        <v>2680</v>
      </c>
      <c r="B10" s="3292"/>
      <c r="C10" s="3292"/>
      <c r="D10" s="3292" t="s">
        <v>2678</v>
      </c>
      <c r="E10" s="3292"/>
      <c r="F10" s="3296" t="s">
        <v>2677</v>
      </c>
    </row>
    <row r="11" spans="1:6">
      <c r="A11" s="3289" t="s">
        <v>2681</v>
      </c>
      <c r="B11" s="3297"/>
      <c r="C11" s="3292" t="s">
        <v>2682</v>
      </c>
      <c r="D11" s="3298"/>
      <c r="E11" s="3292" t="s">
        <v>2683</v>
      </c>
      <c r="F11" s="3299">
        <f>ROUND(1-(1/(POWER(1+D11,B11))),4)</f>
        <v>0</v>
      </c>
    </row>
    <row r="12" spans="1:6">
      <c r="A12" s="3289" t="s">
        <v>2684</v>
      </c>
      <c r="B12" s="3297"/>
      <c r="C12" s="3292" t="s">
        <v>2685</v>
      </c>
      <c r="D12" s="3298"/>
      <c r="E12" s="3292" t="s">
        <v>2686</v>
      </c>
      <c r="F12" s="3299">
        <f>ROUND(1-(1/(POWER(1+D12,B12))),4)</f>
        <v>0</v>
      </c>
    </row>
    <row r="13" spans="1:6">
      <c r="A13" s="3289" t="s">
        <v>2687</v>
      </c>
      <c r="B13" s="3292"/>
      <c r="C13" s="3291"/>
      <c r="D13" s="3287"/>
      <c r="E13" s="3287"/>
      <c r="F13" s="3288"/>
    </row>
    <row r="14" spans="1:6">
      <c r="A14" s="3289" t="s">
        <v>2688</v>
      </c>
      <c r="B14" s="3297"/>
      <c r="C14" s="3291"/>
      <c r="D14" s="3287"/>
      <c r="E14" s="3287"/>
      <c r="F14" s="3288"/>
    </row>
    <row r="15" spans="1:6">
      <c r="A15" s="3289" t="s">
        <v>2689</v>
      </c>
      <c r="B15" s="3292" t="e">
        <f>ROUND(B14*F12/F11,2)</f>
        <v>#DIV/0!</v>
      </c>
      <c r="C15" s="3292" t="e">
        <f>ROUND(F12/F11,4)</f>
        <v>#DIV/0!</v>
      </c>
      <c r="D15" s="3287"/>
      <c r="E15" s="3287"/>
      <c r="F15" s="3288"/>
    </row>
    <row r="16" spans="1:6">
      <c r="A16" s="3289" t="s">
        <v>2690</v>
      </c>
      <c r="B16" s="3292"/>
      <c r="C16" s="3291"/>
      <c r="D16" s="3287"/>
      <c r="E16" s="3287"/>
      <c r="F16" s="3288"/>
    </row>
    <row r="17" spans="1:7">
      <c r="A17" s="3289" t="s">
        <v>2689</v>
      </c>
      <c r="B17" s="3298"/>
      <c r="C17" s="3291"/>
      <c r="D17" s="3287"/>
      <c r="E17" s="3287"/>
      <c r="F17" s="3288"/>
    </row>
    <row r="18" spans="1:7" ht="14.25" thickBot="1">
      <c r="A18" s="3300" t="s">
        <v>2688</v>
      </c>
      <c r="B18" s="3301" t="e">
        <f>ROUND(B17*F11/F12,2)</f>
        <v>#DIV/0!</v>
      </c>
      <c r="C18" s="3301" t="e">
        <f>ROUND(F11/F12,4)</f>
        <v>#DIV/0!</v>
      </c>
      <c r="D18" s="3302"/>
      <c r="E18" s="3302"/>
      <c r="F18" s="3303"/>
    </row>
    <row r="19" spans="1:7" ht="14.25" thickBot="1"/>
    <row r="20" spans="1:7">
      <c r="A20" s="3304" t="s">
        <v>2691</v>
      </c>
      <c r="B20" s="3305"/>
      <c r="C20" s="3305"/>
      <c r="D20" s="3305"/>
      <c r="E20" s="3305"/>
      <c r="F20" s="3305"/>
      <c r="G20" s="3306"/>
    </row>
    <row r="21" spans="1:7">
      <c r="A21" s="3307"/>
      <c r="B21" s="3308" t="s">
        <v>2692</v>
      </c>
      <c r="C21" s="3308" t="s">
        <v>2693</v>
      </c>
      <c r="D21" s="3308" t="s">
        <v>2694</v>
      </c>
      <c r="E21" s="3308" t="s">
        <v>2695</v>
      </c>
      <c r="F21" s="3308" t="s">
        <v>2696</v>
      </c>
      <c r="G21" s="3309" t="s">
        <v>2697</v>
      </c>
    </row>
    <row r="22" spans="1:7">
      <c r="A22" s="3307" t="s">
        <v>2698</v>
      </c>
      <c r="B22" s="3310">
        <v>50</v>
      </c>
      <c r="C22" s="3310">
        <v>32</v>
      </c>
      <c r="D22" s="3311">
        <v>0.05</v>
      </c>
      <c r="E22" s="3308">
        <f>ROUND(POWER(1+D22,B22-C22)*(POWER(1+D22,C22)-1)/(POWER(1+D22,B22)-1),3)</f>
        <v>0.86599999999999999</v>
      </c>
      <c r="F22" s="3311">
        <v>0.6</v>
      </c>
      <c r="G22" s="3309">
        <f>ROUND(100*(1-(1-E22)*F22),1)</f>
        <v>92</v>
      </c>
    </row>
    <row r="23" spans="1:7">
      <c r="A23" s="3312" t="s">
        <v>2699</v>
      </c>
      <c r="B23" s="3310">
        <v>50</v>
      </c>
      <c r="C23" s="3310">
        <v>35</v>
      </c>
      <c r="D23" s="3311">
        <v>0.05</v>
      </c>
      <c r="E23" s="3308">
        <f>ROUND(POWER(1+D23,B23-C23)*(POWER(1+D23,C23)-1)/(POWER(1+D23,B23)-1),3)</f>
        <v>0.89700000000000002</v>
      </c>
      <c r="F23" s="3311">
        <f>F22</f>
        <v>0.6</v>
      </c>
      <c r="G23" s="3309">
        <f>ROUND(100*(1-(1-E23)*F23),1)</f>
        <v>93.8</v>
      </c>
    </row>
    <row r="24" spans="1:7">
      <c r="A24" s="3312" t="s">
        <v>2700</v>
      </c>
      <c r="B24" s="3310">
        <v>50</v>
      </c>
      <c r="C24" s="3310">
        <v>25</v>
      </c>
      <c r="D24" s="3311">
        <v>0.05</v>
      </c>
      <c r="E24" s="3308">
        <f>ROUND(POWER(1+D24,B24-C24)*(POWER(1+D24,C24)-1)/(POWER(1+D24,B24)-1),3)</f>
        <v>0.77200000000000002</v>
      </c>
      <c r="F24" s="3311">
        <f>F23</f>
        <v>0.6</v>
      </c>
      <c r="G24" s="3309">
        <f>ROUND(100*(1-(1-E24)*F24),1)</f>
        <v>86.3</v>
      </c>
    </row>
    <row r="25" spans="1:7">
      <c r="A25" s="3312" t="s">
        <v>2701</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2702</v>
      </c>
      <c r="B27" s="3317"/>
      <c r="C27" s="3317"/>
      <c r="D27" s="3317"/>
      <c r="E27" s="3317"/>
      <c r="F27" s="3317"/>
      <c r="G27" s="3318"/>
    </row>
    <row r="28" spans="1:7">
      <c r="A28" s="3316" t="s">
        <v>2703</v>
      </c>
      <c r="B28" s="3317"/>
      <c r="C28" s="3317"/>
      <c r="D28" s="3317"/>
      <c r="E28" s="3317"/>
      <c r="F28" s="3317"/>
      <c r="G28" s="3318"/>
    </row>
    <row r="29" spans="1:7">
      <c r="A29" s="3316" t="s">
        <v>2704</v>
      </c>
      <c r="B29" s="3317"/>
      <c r="C29" s="3317"/>
      <c r="D29" s="3317"/>
      <c r="E29" s="3317"/>
      <c r="F29" s="3317"/>
      <c r="G29" s="3318"/>
    </row>
    <row r="30" spans="1:7">
      <c r="A30" s="3316" t="s">
        <v>2705</v>
      </c>
      <c r="B30" s="3317"/>
      <c r="C30" s="3317"/>
      <c r="D30" s="3317"/>
      <c r="E30" s="3317"/>
      <c r="F30" s="3317"/>
      <c r="G30" s="3318"/>
    </row>
    <row r="31" spans="1:7">
      <c r="A31" s="3316" t="s">
        <v>2706</v>
      </c>
      <c r="B31" s="3317"/>
      <c r="C31" s="3317"/>
      <c r="D31" s="3317"/>
      <c r="E31" s="3317"/>
      <c r="F31" s="3317"/>
      <c r="G31" s="3318"/>
    </row>
    <row r="32" spans="1:7">
      <c r="A32" s="3316" t="s">
        <v>2707</v>
      </c>
      <c r="B32" s="3317"/>
      <c r="C32" s="3317"/>
      <c r="D32" s="3317"/>
      <c r="E32" s="3317"/>
      <c r="F32" s="3317"/>
      <c r="G32" s="3318"/>
    </row>
    <row r="33" spans="1:7">
      <c r="A33" s="3316" t="s">
        <v>2708</v>
      </c>
      <c r="B33" s="3317"/>
      <c r="C33" s="3317"/>
      <c r="D33" s="3317"/>
      <c r="E33" s="3317"/>
      <c r="F33" s="3317"/>
      <c r="G33" s="3318"/>
    </row>
    <row r="34" spans="1:7">
      <c r="A34" s="3316" t="s">
        <v>2709</v>
      </c>
      <c r="B34" s="3317"/>
      <c r="C34" s="3317"/>
      <c r="D34" s="3317"/>
      <c r="E34" s="3317"/>
      <c r="F34" s="3317"/>
      <c r="G34" s="3318"/>
    </row>
    <row r="35" spans="1:7">
      <c r="A35" s="3316" t="s">
        <v>2710</v>
      </c>
      <c r="B35" s="3317"/>
      <c r="C35" s="3317"/>
      <c r="D35" s="3317"/>
      <c r="E35" s="3317"/>
      <c r="F35" s="3317"/>
      <c r="G35" s="3318"/>
    </row>
    <row r="36" spans="1:7">
      <c r="A36" s="3316" t="s">
        <v>2711</v>
      </c>
      <c r="B36" s="3317"/>
      <c r="C36" s="3317"/>
      <c r="D36" s="3317"/>
      <c r="E36" s="3317"/>
      <c r="F36" s="3317"/>
      <c r="G36" s="3318"/>
    </row>
    <row r="37" spans="1:7">
      <c r="A37" s="3316" t="s">
        <v>2712</v>
      </c>
      <c r="B37" s="3317"/>
      <c r="C37" s="3317"/>
      <c r="D37" s="3317"/>
      <c r="E37" s="3317"/>
      <c r="F37" s="3317"/>
      <c r="G37" s="3318"/>
    </row>
    <row r="38" spans="1:7">
      <c r="A38" s="3316" t="s">
        <v>2713</v>
      </c>
      <c r="B38" s="3317"/>
      <c r="C38" s="3317"/>
      <c r="D38" s="3317"/>
      <c r="E38" s="3317"/>
      <c r="F38" s="3317"/>
      <c r="G38" s="3318"/>
    </row>
    <row r="39" spans="1:7">
      <c r="A39" s="3316"/>
      <c r="B39" s="3317"/>
      <c r="C39" s="3317"/>
      <c r="D39" s="3317"/>
      <c r="E39" s="3317"/>
      <c r="F39" s="3317"/>
      <c r="G39" s="3318"/>
    </row>
    <row r="40" spans="1:7">
      <c r="A40" s="3319" t="s">
        <v>2714</v>
      </c>
      <c r="B40" s="3320"/>
      <c r="C40" s="3320"/>
      <c r="D40" s="3320"/>
      <c r="E40" s="3320"/>
      <c r="F40" s="3320"/>
      <c r="G40" s="3321"/>
    </row>
    <row r="41" spans="1:7">
      <c r="A41" s="3322" t="s">
        <v>2715</v>
      </c>
      <c r="B41" s="3323" t="s">
        <v>2716</v>
      </c>
      <c r="C41" s="3324" t="s">
        <v>2717</v>
      </c>
      <c r="D41" s="3324" t="s">
        <v>2718</v>
      </c>
      <c r="E41" s="3325"/>
      <c r="F41" s="3326"/>
      <c r="G41" s="3327"/>
    </row>
    <row r="42" spans="1:7">
      <c r="A42" s="3322" t="s">
        <v>2719</v>
      </c>
      <c r="B42" s="3323" t="s">
        <v>2720</v>
      </c>
      <c r="C42" s="3324" t="s">
        <v>2720</v>
      </c>
      <c r="D42" s="3328" t="s">
        <v>2721</v>
      </c>
      <c r="E42" s="3320" t="s">
        <v>2722</v>
      </c>
      <c r="F42" s="3320"/>
      <c r="G42" s="3321"/>
    </row>
    <row r="43" spans="1:7">
      <c r="A43" s="3322" t="s">
        <v>2723</v>
      </c>
      <c r="B43" s="3323" t="s">
        <v>2724</v>
      </c>
      <c r="C43" s="3324" t="s">
        <v>2725</v>
      </c>
      <c r="D43" s="3324" t="s">
        <v>2726</v>
      </c>
      <c r="E43" s="3325" t="s">
        <v>2727</v>
      </c>
      <c r="F43" s="3326"/>
      <c r="G43" s="3327"/>
    </row>
    <row r="44" spans="1:7">
      <c r="A44" s="3322" t="s">
        <v>2728</v>
      </c>
      <c r="B44" s="3323" t="s">
        <v>2729</v>
      </c>
      <c r="C44" s="3324" t="s">
        <v>2730</v>
      </c>
      <c r="D44" s="3328">
        <v>0.5</v>
      </c>
      <c r="E44" s="3325" t="s">
        <v>2731</v>
      </c>
      <c r="F44" s="3326"/>
      <c r="G44" s="3327"/>
    </row>
    <row r="45" spans="1:7" ht="14.25" thickBot="1">
      <c r="A45" s="3329" t="s">
        <v>2732</v>
      </c>
      <c r="B45" s="3330" t="s">
        <v>2720</v>
      </c>
      <c r="C45" s="3331" t="s">
        <v>2720</v>
      </c>
      <c r="D45" s="3331" t="s">
        <v>2733</v>
      </c>
      <c r="E45" s="3332" t="s">
        <v>2734</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90" zoomScaleNormal="100" zoomScaleSheetLayoutView="90" workbookViewId="0">
      <selection activeCell="F27" sqref="F2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1456</v>
      </c>
      <c r="B1" s="3750" t="str">
        <f>IF(B10="北京市","北京市",C10)&amp;F10&amp;A17&amp;"国有建设用地使用权"&amp;B9&amp;"预评估"</f>
        <v>北京市朝阳区东坝非配套项目用地（E组团A地块）出让国有建设用地使用权市场价格预评估</v>
      </c>
      <c r="C1" s="3751"/>
      <c r="D1" s="3751"/>
      <c r="E1" s="3751"/>
      <c r="F1" s="3751"/>
      <c r="G1" s="3751"/>
      <c r="H1" s="3751"/>
      <c r="I1" s="3752"/>
      <c r="J1" s="2815"/>
      <c r="K1" s="2106" t="str">
        <f>IF(B10="北京市","北京市",C10)&amp;F10&amp;A17&amp;"国有建设用地使用权"&amp;B9</f>
        <v>北京市朝阳区东坝非配套项目用地（E组团A地块）出让国有建设用地使用权市场价格</v>
      </c>
      <c r="L1" s="2794"/>
      <c r="M1" s="2794"/>
      <c r="N1" s="2795"/>
      <c r="O1" s="2796"/>
      <c r="P1" s="2795"/>
      <c r="Q1" s="2795"/>
      <c r="R1" s="2795"/>
      <c r="S1" s="2795"/>
      <c r="T1" s="2795"/>
      <c r="U1" s="2795"/>
    </row>
    <row r="2" spans="1:21">
      <c r="A2" s="1463" t="s">
        <v>1457</v>
      </c>
      <c r="B2" s="1625"/>
      <c r="D2" s="2815"/>
      <c r="E2" s="2815"/>
      <c r="F2" s="2815"/>
      <c r="G2" s="2815"/>
      <c r="H2" s="2816"/>
      <c r="I2" s="2817"/>
      <c r="J2" s="2815"/>
      <c r="K2" s="2106" t="str">
        <f>IF(B10="北京市","北京市",C10)&amp;F10&amp;A17&amp;"国有建设用地使用权"</f>
        <v>北京市朝阳区东坝非配套项目用地（E组团A地块）出让国有建设用地使用权</v>
      </c>
      <c r="L2" s="2794"/>
      <c r="M2" s="2794"/>
      <c r="N2" s="2795"/>
      <c r="O2" s="2796"/>
      <c r="P2" s="2795"/>
      <c r="Q2" s="2795"/>
      <c r="R2" s="2795"/>
      <c r="S2" s="2795"/>
      <c r="T2" s="2795"/>
      <c r="U2" s="2795"/>
    </row>
    <row r="3" spans="1:21">
      <c r="A3" s="1464" t="s">
        <v>1458</v>
      </c>
      <c r="B3" s="1465">
        <v>44942</v>
      </c>
      <c r="C3" s="2738" t="s">
        <v>1510</v>
      </c>
      <c r="D3" s="1465">
        <f>B3</f>
        <v>44942</v>
      </c>
      <c r="E3" s="2815"/>
      <c r="F3" s="2815"/>
      <c r="G3" s="2815"/>
      <c r="H3" s="2816"/>
      <c r="I3" s="2817"/>
      <c r="J3" s="2815"/>
      <c r="K3" s="2798"/>
      <c r="L3" s="2794"/>
      <c r="M3" s="2794"/>
      <c r="N3" s="2795"/>
      <c r="O3" s="2796"/>
      <c r="P3" s="2795"/>
      <c r="Q3" s="2795"/>
      <c r="R3" s="2795"/>
      <c r="S3" s="2795"/>
      <c r="T3" s="2795"/>
      <c r="U3" s="2795"/>
    </row>
    <row r="4" spans="1:21" ht="15" thickBot="1">
      <c r="A4" s="1467" t="s">
        <v>1459</v>
      </c>
      <c r="B4" s="1626" t="s">
        <v>3349</v>
      </c>
      <c r="C4" s="1629">
        <f ca="1">SUMIF(土地估价师,B4,估价师及机构信息!E3:E17)</f>
        <v>2011110090</v>
      </c>
      <c r="D4" s="1626" t="s">
        <v>3350</v>
      </c>
      <c r="E4" s="1629">
        <f ca="1">SUMIF(土地估价师,D4,估价师及机构信息!E3:E17)</f>
        <v>2010110070</v>
      </c>
      <c r="F4" s="1626" t="s">
        <v>876</v>
      </c>
      <c r="G4" s="1629">
        <f>SUMIF(土地估价师,F4,估价师及机构信息!E3:E17)</f>
        <v>0</v>
      </c>
      <c r="H4" s="1626" t="s">
        <v>876</v>
      </c>
      <c r="I4" s="1629">
        <f>SUMIF(土地估价师,H4,估价师及机构信息!E3:E17)</f>
        <v>0</v>
      </c>
      <c r="J4" s="2815"/>
      <c r="K4" s="2106" t="str">
        <f>IF(AND(F4="——",H4="——"),B4&amp;"、"&amp;D4,IF(AND(F4&lt;&gt;"——",H4="——"),B4&amp;"、"&amp;D4&amp;"、"&amp;F4,B4&amp;"、"&amp;D4&amp;"、"&amp;F4&amp;"、"&amp;H4))</f>
        <v>赵雯、崔锴</v>
      </c>
      <c r="L4" s="2794"/>
      <c r="M4" s="2794"/>
      <c r="N4" s="2795"/>
      <c r="O4" s="2796"/>
      <c r="P4" s="2795"/>
      <c r="Q4" s="2795"/>
      <c r="R4" s="2795"/>
      <c r="S4" s="2795"/>
      <c r="T4" s="2795"/>
      <c r="U4" s="2795"/>
    </row>
    <row r="5" spans="1:21" ht="15" thickTop="1">
      <c r="A5" s="1468" t="s">
        <v>1460</v>
      </c>
      <c r="B5" s="1574" t="str">
        <f>资料!B3</f>
        <v>北京三博脑科医院有限公司</v>
      </c>
      <c r="C5" s="1469"/>
      <c r="D5" s="1470"/>
      <c r="E5" s="2815"/>
      <c r="F5" s="2815"/>
      <c r="G5" s="2815"/>
      <c r="H5" s="2816"/>
      <c r="I5" s="2817"/>
      <c r="J5" s="2815"/>
      <c r="K5" s="2798"/>
      <c r="L5" s="2794"/>
      <c r="M5" s="2794"/>
      <c r="N5" s="2795"/>
      <c r="O5" s="2796"/>
      <c r="P5" s="2795"/>
      <c r="Q5" s="2795"/>
      <c r="R5" s="2795"/>
      <c r="S5" s="2795"/>
      <c r="T5" s="2795"/>
      <c r="U5" s="2795"/>
    </row>
    <row r="6" spans="1:21" ht="26.25">
      <c r="A6" s="1466" t="s">
        <v>1985</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1986</v>
      </c>
      <c r="B7" s="1574" t="str">
        <f>B5</f>
        <v>北京三博脑科医院有限公司</v>
      </c>
      <c r="C7" s="1549"/>
      <c r="D7" s="1471"/>
      <c r="E7" s="2815"/>
      <c r="F7" s="2815"/>
      <c r="G7" s="2815"/>
      <c r="H7" s="2816"/>
      <c r="I7" s="2817"/>
      <c r="J7" s="2815"/>
      <c r="K7" s="2798"/>
      <c r="L7" s="2794"/>
      <c r="M7" s="2794"/>
      <c r="N7" s="2795"/>
      <c r="O7" s="2796"/>
      <c r="P7" s="2795"/>
      <c r="Q7" s="2795"/>
      <c r="R7" s="2795"/>
      <c r="S7" s="2795"/>
      <c r="T7" s="2795"/>
      <c r="U7" s="2795"/>
    </row>
    <row r="8" spans="1:21">
      <c r="A8" s="2739" t="s">
        <v>1461</v>
      </c>
      <c r="B8" s="1473" t="s">
        <v>3213</v>
      </c>
      <c r="C8" s="1474"/>
      <c r="D8" s="3756" t="s">
        <v>1463</v>
      </c>
      <c r="E8" s="1627" t="s">
        <v>3352</v>
      </c>
      <c r="F8" s="1475"/>
      <c r="G8" s="2816"/>
      <c r="H8" s="2816"/>
      <c r="I8" s="2819"/>
      <c r="J8" s="2815"/>
      <c r="K8" s="2798"/>
      <c r="L8" s="2794"/>
      <c r="M8" s="2794"/>
      <c r="N8" s="2795"/>
      <c r="O8" s="2796"/>
      <c r="P8" s="2795"/>
      <c r="Q8" s="2795"/>
      <c r="R8" s="2795"/>
      <c r="S8" s="2795"/>
      <c r="T8" s="2795"/>
      <c r="U8" s="2795"/>
    </row>
    <row r="9" spans="1:21" ht="15" thickBot="1">
      <c r="A9" s="2740" t="s">
        <v>1462</v>
      </c>
      <c r="B9" s="1476" t="s">
        <v>3351</v>
      </c>
      <c r="C9" s="1477"/>
      <c r="D9" s="3757"/>
      <c r="E9" s="1476"/>
      <c r="F9" s="1535"/>
      <c r="G9" s="2820"/>
      <c r="H9" s="2820"/>
      <c r="I9" s="2821"/>
      <c r="J9" s="2815"/>
      <c r="K9" s="2798"/>
      <c r="L9" s="2794"/>
      <c r="M9" s="2794"/>
      <c r="N9" s="2795"/>
      <c r="O9" s="2796"/>
      <c r="P9" s="2795"/>
      <c r="Q9" s="2795"/>
      <c r="R9" s="2795"/>
      <c r="S9" s="2795"/>
      <c r="T9" s="2795"/>
      <c r="U9" s="2795"/>
    </row>
    <row r="10" spans="1:21" ht="15" thickTop="1">
      <c r="A10" s="2741" t="s">
        <v>1514</v>
      </c>
      <c r="B10" s="1512" t="s">
        <v>1464</v>
      </c>
      <c r="C10" s="1478"/>
      <c r="D10" s="1470"/>
      <c r="E10" s="1479" t="s">
        <v>1465</v>
      </c>
      <c r="F10" s="3700" t="str">
        <f>资料!B5</f>
        <v>朝阳区东坝非配套项目用地（E组团A地块）</v>
      </c>
      <c r="G10" s="1533"/>
      <c r="H10" s="1534"/>
      <c r="I10" s="1470"/>
      <c r="J10" s="2815"/>
      <c r="K10" s="2798"/>
      <c r="L10" s="2794"/>
      <c r="M10" s="2794"/>
      <c r="N10" s="2795"/>
      <c r="O10" s="2796"/>
      <c r="P10" s="2795"/>
      <c r="Q10" s="2795"/>
      <c r="R10" s="2795"/>
      <c r="S10" s="2795"/>
      <c r="T10" s="2795"/>
      <c r="U10" s="2795"/>
    </row>
    <row r="11" spans="1:21" ht="28.5">
      <c r="A11" s="2742" t="s">
        <v>1515</v>
      </c>
      <c r="B11" s="1492" t="s">
        <v>3353</v>
      </c>
      <c r="C11" s="1480" t="str">
        <f>资料!B3</f>
        <v>北京三博脑科医院有限公司</v>
      </c>
      <c r="D11" s="1550"/>
      <c r="E11" s="2814"/>
      <c r="F11" s="2814"/>
      <c r="G11" s="2814"/>
      <c r="H11" s="2814"/>
      <c r="I11" s="2814"/>
      <c r="J11" s="2815"/>
      <c r="K11" s="2798"/>
      <c r="L11" s="2794"/>
      <c r="M11" s="2794"/>
      <c r="N11" s="2795"/>
      <c r="O11" s="2796"/>
      <c r="P11" s="2795"/>
      <c r="Q11" s="2795"/>
      <c r="R11" s="2795"/>
      <c r="S11" s="2795"/>
      <c r="T11" s="2795"/>
      <c r="U11" s="2795"/>
    </row>
    <row r="12" spans="1:21">
      <c r="A12" s="1570" t="s">
        <v>1573</v>
      </c>
      <c r="B12" s="3753"/>
      <c r="C12" s="3754"/>
      <c r="D12" s="3755"/>
      <c r="E12" s="1493" t="s">
        <v>1576</v>
      </c>
      <c r="F12" s="3771" t="s">
        <v>2159</v>
      </c>
      <c r="G12" s="3772"/>
      <c r="H12" s="3772"/>
      <c r="I12" s="3773"/>
      <c r="J12" s="2815"/>
      <c r="K12" s="2798"/>
      <c r="L12" s="2794"/>
      <c r="M12" s="2794"/>
      <c r="N12" s="2795"/>
      <c r="O12" s="2796"/>
      <c r="P12" s="2795"/>
      <c r="Q12" s="2795"/>
      <c r="R12" s="2795"/>
      <c r="S12" s="2795"/>
      <c r="T12" s="2795"/>
      <c r="U12" s="2795"/>
    </row>
    <row r="13" spans="1:21">
      <c r="A13" s="1484" t="s">
        <v>1574</v>
      </c>
      <c r="B13" s="3753"/>
      <c r="C13" s="3754"/>
      <c r="D13" s="3755"/>
      <c r="E13" s="1493" t="s">
        <v>1576</v>
      </c>
      <c r="F13" s="3771" t="s">
        <v>2160</v>
      </c>
      <c r="G13" s="3772"/>
      <c r="H13" s="3772"/>
      <c r="I13" s="3773"/>
      <c r="J13" s="2815"/>
      <c r="K13" s="2798"/>
      <c r="L13" s="2794"/>
      <c r="M13" s="2794"/>
      <c r="N13" s="2795"/>
      <c r="O13" s="2796"/>
      <c r="P13" s="2795"/>
      <c r="Q13" s="2795"/>
      <c r="R13" s="2795"/>
      <c r="S13" s="2795"/>
      <c r="T13" s="2795"/>
      <c r="U13" s="2795"/>
    </row>
    <row r="14" spans="1:21">
      <c r="A14" s="1464" t="s">
        <v>1577</v>
      </c>
      <c r="B14" s="1493"/>
      <c r="C14" s="1628" t="s">
        <v>3354</v>
      </c>
      <c r="D14" s="1526" t="str">
        <f>IF(C14="不一致","是否符合证载地类范围","")</f>
        <v/>
      </c>
      <c r="E14" s="1493"/>
      <c r="F14" s="1575" t="s">
        <v>3355</v>
      </c>
      <c r="G14" s="1521"/>
      <c r="H14" s="1521"/>
      <c r="I14" s="1621"/>
      <c r="J14" s="2815"/>
      <c r="K14" s="2798"/>
      <c r="L14" s="2794"/>
      <c r="M14" s="2794"/>
      <c r="N14" s="2795"/>
      <c r="O14" s="2796"/>
      <c r="P14" s="2795"/>
      <c r="Q14" s="2795"/>
      <c r="R14" s="2795"/>
      <c r="S14" s="2795"/>
      <c r="T14" s="2795"/>
      <c r="U14" s="2795"/>
    </row>
    <row r="15" spans="1:21">
      <c r="A15" s="2249"/>
      <c r="B15" s="1466"/>
      <c r="C15" s="3281" t="s">
        <v>1468</v>
      </c>
      <c r="D15" s="3281" t="s">
        <v>1469</v>
      </c>
      <c r="E15" s="3281" t="s">
        <v>1178</v>
      </c>
      <c r="F15" s="1483" t="s">
        <v>1470</v>
      </c>
      <c r="G15" s="1483" t="s">
        <v>1471</v>
      </c>
      <c r="H15" s="1483" t="s">
        <v>775</v>
      </c>
      <c r="I15" s="1483" t="s">
        <v>2736</v>
      </c>
      <c r="J15" s="2815"/>
      <c r="K15" s="2798"/>
      <c r="L15" s="2794"/>
      <c r="M15" s="2794"/>
      <c r="N15" s="2795"/>
      <c r="O15" s="2796"/>
      <c r="P15" s="2795"/>
      <c r="Q15" s="2795"/>
      <c r="R15" s="2795"/>
      <c r="S15" s="2795"/>
      <c r="T15" s="2795"/>
      <c r="U15" s="2795"/>
    </row>
    <row r="16" spans="1:21" ht="42.75">
      <c r="A16" s="2743" t="s">
        <v>1466</v>
      </c>
      <c r="B16" s="1493" t="s">
        <v>1467</v>
      </c>
      <c r="C16" s="3281" t="s">
        <v>1468</v>
      </c>
      <c r="D16" s="1515" t="s">
        <v>2737</v>
      </c>
      <c r="E16" s="1515" t="s">
        <v>1211</v>
      </c>
      <c r="F16" s="1515" t="s">
        <v>2738</v>
      </c>
      <c r="G16" s="1515" t="s">
        <v>2739</v>
      </c>
      <c r="H16" s="1483" t="s">
        <v>775</v>
      </c>
      <c r="I16" s="1483" t="s">
        <v>2736</v>
      </c>
      <c r="J16" s="2815"/>
      <c r="K16" s="2107" t="str">
        <f>IF(D17="","",D16&amp;TEXT(D17,"yyyy年m月d日;;"))</f>
        <v/>
      </c>
      <c r="L16" s="1493" t="str">
        <f>IF(OR(K16="",M16=""),"","、")</f>
        <v/>
      </c>
      <c r="M16" s="2107" t="str">
        <f>IF(E17="","",E16&amp;TEXT(E17,"yyyy年m月d日;;"))</f>
        <v/>
      </c>
      <c r="N16" s="1493" t="str">
        <f>IF(OR(M16="",O16=""),"","、")</f>
        <v/>
      </c>
      <c r="O16" s="2107" t="str">
        <f>IF(F17="","",F16&amp;TEXT(F17,"yyyy年m月d日;;"))</f>
        <v>车库2058年5月16日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公共服务2058年5月16日</v>
      </c>
    </row>
    <row r="17" spans="1:21">
      <c r="A17" s="3335" t="s">
        <v>2740</v>
      </c>
      <c r="B17" s="2744" t="s">
        <v>1472</v>
      </c>
      <c r="C17" s="3334"/>
      <c r="D17" s="3334"/>
      <c r="E17" s="3334"/>
      <c r="F17" s="3334">
        <f>I17</f>
        <v>57846</v>
      </c>
      <c r="G17" s="3334"/>
      <c r="H17" s="3334"/>
      <c r="I17" s="3334">
        <f>资料!C8</f>
        <v>57846</v>
      </c>
      <c r="J17" s="2815"/>
      <c r="K17" s="2793" t="str">
        <f>CONCATENATE(K16,L16,M16,N16,O16,P16,Q16,R16,S16,T16,,U16)</f>
        <v>车库2058年5月16日公共服务2058年5月16日</v>
      </c>
      <c r="L17" s="2794"/>
      <c r="M17" s="2794"/>
      <c r="N17" s="2795"/>
      <c r="O17" s="2796"/>
      <c r="P17" s="2795"/>
      <c r="Q17" s="2795"/>
      <c r="R17" s="2795"/>
      <c r="S17" s="2795"/>
      <c r="T17" s="2795"/>
      <c r="U17" s="2795"/>
    </row>
    <row r="18" spans="1:21">
      <c r="A18" s="1551"/>
      <c r="B18" s="2744" t="s">
        <v>1473</v>
      </c>
      <c r="C18" s="1481"/>
      <c r="D18" s="1481"/>
      <c r="E18" s="1481"/>
      <c r="F18" s="1481">
        <v>50</v>
      </c>
      <c r="G18" s="1481"/>
      <c r="H18" s="1481"/>
      <c r="I18" s="1481">
        <v>50</v>
      </c>
      <c r="J18" s="2815"/>
      <c r="K18" s="2798"/>
      <c r="L18" s="2794"/>
      <c r="M18" s="2794"/>
      <c r="N18" s="2795"/>
      <c r="O18" s="2796"/>
      <c r="P18" s="2795"/>
      <c r="Q18" s="2795"/>
      <c r="R18" s="2795"/>
      <c r="S18" s="2795"/>
      <c r="T18" s="2795"/>
      <c r="U18" s="2795"/>
    </row>
    <row r="19" spans="1:21">
      <c r="A19" s="1551"/>
      <c r="B19" s="1463" t="s">
        <v>1474</v>
      </c>
      <c r="C19" s="1546" t="str">
        <f>IF(A17="出让",IF(C17="","",ROUNDDOWN(MIN((C17-$D$3)/365,C18),2)),C18)</f>
        <v/>
      </c>
      <c r="D19" s="1546" t="str">
        <f>IF(A17="出让",IF(D17="","",ROUNDDOWN(MIN((D17-$D$3)/365,D18),2)),D18)</f>
        <v/>
      </c>
      <c r="E19" s="1482" t="str">
        <f>IF(A17="出让",IF(E17="","",ROUNDDOWN(MIN((E17-$D$3)/365,E18),2)),E18)</f>
        <v/>
      </c>
      <c r="F19" s="1482">
        <f>IF(A17="出让",IF(F17="","",ROUNDDOWN(MIN((F17-$D$3)/365,F18),2)),F18)</f>
        <v>35.35</v>
      </c>
      <c r="G19" s="1482" t="str">
        <f>IF(A17="出让",IF(G17="","",ROUNDDOWN(MIN((G17-$D$3)/365,G18),2)),G18)</f>
        <v/>
      </c>
      <c r="H19" s="1482" t="str">
        <f>IF(A17="出让",IF(H17="","",ROUNDDOWN(MIN((H17-$D$3)/365,H18),2)),H18)</f>
        <v/>
      </c>
      <c r="I19" s="1482">
        <f>IF(A17="出让",IF(I17="","",ROUNDDOWN(MIN((I17-$D$3)/365,I18),2)),I18)</f>
        <v>35.35</v>
      </c>
      <c r="J19" s="2815"/>
      <c r="K19" s="2798"/>
      <c r="L19" s="2794"/>
      <c r="M19" s="2794"/>
      <c r="N19" s="2795"/>
      <c r="O19" s="2796"/>
      <c r="P19" s="2795"/>
      <c r="Q19" s="2795"/>
      <c r="R19" s="2795"/>
      <c r="S19" s="2795"/>
      <c r="T19" s="2795"/>
      <c r="U19" s="2795"/>
    </row>
    <row r="20" spans="1:21">
      <c r="A20" s="1571"/>
      <c r="B20" s="1572"/>
      <c r="C20" s="1573" t="s">
        <v>1575</v>
      </c>
      <c r="D20" s="3768"/>
      <c r="E20" s="3769"/>
      <c r="F20" s="3769"/>
      <c r="G20" s="3769"/>
      <c r="H20" s="3769"/>
      <c r="I20" s="3770"/>
      <c r="J20" s="2815"/>
      <c r="K20" s="2798"/>
      <c r="L20" s="2794"/>
      <c r="M20" s="2794"/>
      <c r="N20" s="2795"/>
      <c r="O20" s="2796"/>
      <c r="P20" s="2795"/>
      <c r="Q20" s="2795"/>
      <c r="R20" s="2795"/>
      <c r="S20" s="2795"/>
      <c r="T20" s="2795"/>
      <c r="U20" s="2795"/>
    </row>
    <row r="21" spans="1:21">
      <c r="A21" s="1551" t="s">
        <v>1475</v>
      </c>
      <c r="B21" s="1552" t="s">
        <v>1476</v>
      </c>
      <c r="C21" s="1547">
        <f>'数据-汇总表'!E3</f>
        <v>59167.44</v>
      </c>
      <c r="D21" s="1548" t="s">
        <v>1477</v>
      </c>
      <c r="E21" s="3758" t="s">
        <v>1513</v>
      </c>
      <c r="F21" s="3759"/>
      <c r="G21" s="3759"/>
      <c r="H21" s="3759"/>
      <c r="I21" s="3760"/>
      <c r="J21" s="2815"/>
      <c r="K21" s="2798"/>
      <c r="L21" s="2794"/>
      <c r="M21" s="2794"/>
      <c r="N21" s="2795"/>
      <c r="O21" s="2796"/>
      <c r="P21" s="2795"/>
      <c r="Q21" s="2795"/>
      <c r="R21" s="2795"/>
      <c r="S21" s="2795"/>
      <c r="T21" s="2795"/>
      <c r="U21" s="2795"/>
    </row>
    <row r="22" spans="1:21">
      <c r="A22" s="2555" t="s">
        <v>876</v>
      </c>
      <c r="B22" s="1464" t="s">
        <v>1478</v>
      </c>
      <c r="C22" s="1483">
        <f>'数据-汇总表'!D3</f>
        <v>22454.65</v>
      </c>
      <c r="D22" s="1484" t="s">
        <v>1477</v>
      </c>
      <c r="E22" s="3758" t="s">
        <v>2161</v>
      </c>
      <c r="F22" s="3759"/>
      <c r="G22" s="3759"/>
      <c r="H22" s="3759"/>
      <c r="I22" s="3760"/>
      <c r="J22" s="2815"/>
      <c r="K22" s="2798"/>
      <c r="L22" s="2794"/>
      <c r="M22" s="2794"/>
      <c r="N22" s="2795"/>
      <c r="O22" s="2796"/>
      <c r="P22" s="2795"/>
      <c r="Q22" s="2795"/>
      <c r="R22" s="2795"/>
      <c r="S22" s="2795"/>
      <c r="T22" s="2795"/>
      <c r="U22" s="2795"/>
    </row>
    <row r="23" spans="1:21" ht="29.25" thickBot="1">
      <c r="A23" s="1553" t="s">
        <v>1479</v>
      </c>
      <c r="B23" s="1494" t="s">
        <v>1480</v>
      </c>
      <c r="C23" s="1495"/>
      <c r="D23" s="1496" t="s">
        <v>1481</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1482</v>
      </c>
      <c r="B24" s="3761" t="s">
        <v>1483</v>
      </c>
      <c r="C24" s="3762"/>
      <c r="D24" s="3763" t="s">
        <v>1484</v>
      </c>
      <c r="E24" s="3764"/>
      <c r="F24" s="1501" t="s">
        <v>1485</v>
      </c>
      <c r="G24" s="2815"/>
      <c r="H24" s="2815"/>
      <c r="I24" s="2819"/>
      <c r="J24" s="2815"/>
      <c r="K24" s="3749" t="s">
        <v>1486</v>
      </c>
      <c r="L24" s="210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16"/>
      <c r="N24" s="2795"/>
      <c r="O24" s="2796"/>
      <c r="P24" s="2795"/>
      <c r="Q24" s="2795"/>
      <c r="R24" s="2795"/>
      <c r="S24" s="2795"/>
      <c r="T24" s="2795"/>
      <c r="U24" s="2795"/>
    </row>
    <row r="25" spans="1:21" ht="28.5">
      <c r="A25" s="1539"/>
      <c r="B25" s="1536" t="s">
        <v>1679</v>
      </c>
      <c r="C25" s="1502" t="s">
        <v>1680</v>
      </c>
      <c r="D25" s="1503"/>
      <c r="E25" s="1504" t="s">
        <v>876</v>
      </c>
      <c r="F25" s="1505"/>
      <c r="G25" s="2815"/>
      <c r="H25" s="2815"/>
      <c r="I25" s="2819"/>
      <c r="J25" s="2815"/>
      <c r="K25" s="3749"/>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15" thickBot="1">
      <c r="A26" s="1540"/>
      <c r="B26" s="1537"/>
      <c r="C26" s="1502"/>
      <c r="D26" s="2816"/>
      <c r="E26" s="2816"/>
      <c r="F26" s="2822"/>
      <c r="G26" s="2815"/>
      <c r="H26" s="2815"/>
      <c r="I26" s="2819"/>
      <c r="J26" s="2815"/>
      <c r="K26" s="3749"/>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1487</v>
      </c>
      <c r="B27" s="1541" t="s">
        <v>1488</v>
      </c>
      <c r="C27" s="1506"/>
      <c r="D27" s="2254" t="s">
        <v>1488</v>
      </c>
      <c r="E27" s="1507"/>
      <c r="F27" s="2822"/>
      <c r="G27" s="2815"/>
      <c r="H27" s="2815"/>
      <c r="I27" s="2819"/>
      <c r="J27" s="2815"/>
      <c r="K27" s="2798"/>
      <c r="L27" s="2794"/>
      <c r="M27" s="2794"/>
      <c r="N27" s="2795"/>
      <c r="O27" s="2796"/>
      <c r="P27" s="2795"/>
      <c r="Q27" s="2795"/>
      <c r="R27" s="2795"/>
      <c r="S27" s="2795"/>
      <c r="T27" s="2795"/>
      <c r="U27" s="2795"/>
    </row>
    <row r="28" spans="1:21">
      <c r="A28" s="1544"/>
      <c r="B28" s="1541" t="s">
        <v>1489</v>
      </c>
      <c r="C28" s="1508"/>
      <c r="D28" s="2255" t="s">
        <v>1489</v>
      </c>
      <c r="E28" s="1509"/>
      <c r="F28" s="2822"/>
      <c r="G28" s="2815"/>
      <c r="H28" s="2815"/>
      <c r="I28" s="2819"/>
      <c r="J28" s="2815"/>
      <c r="K28" s="2798"/>
      <c r="L28" s="2794"/>
      <c r="M28" s="2794"/>
      <c r="N28" s="2795"/>
      <c r="O28" s="2796"/>
      <c r="P28" s="2795"/>
      <c r="Q28" s="2795"/>
      <c r="R28" s="2795"/>
      <c r="S28" s="2795"/>
      <c r="T28" s="2795"/>
      <c r="U28" s="2795"/>
    </row>
    <row r="29" spans="1:21">
      <c r="A29" s="1544"/>
      <c r="B29" s="1541" t="s">
        <v>1490</v>
      </c>
      <c r="C29" s="1508"/>
      <c r="D29" s="2255" t="s">
        <v>1490</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1491</v>
      </c>
      <c r="C30" s="1510"/>
      <c r="D30" s="2256" t="s">
        <v>1491</v>
      </c>
      <c r="E30" s="1511"/>
      <c r="F30" s="2823"/>
      <c r="G30" s="2820"/>
      <c r="H30" s="2820"/>
      <c r="I30" s="2821"/>
      <c r="J30" s="2815"/>
      <c r="K30" s="2798"/>
      <c r="L30" s="2794"/>
      <c r="M30" s="2794"/>
      <c r="N30" s="2795"/>
      <c r="O30" s="2796"/>
      <c r="P30" s="2795"/>
      <c r="Q30" s="2795"/>
      <c r="R30" s="2795"/>
      <c r="S30" s="2795"/>
      <c r="T30" s="2795"/>
      <c r="U30" s="2795"/>
    </row>
    <row r="31" spans="1:21" ht="15" thickTop="1">
      <c r="A31" s="3735" t="s">
        <v>1516</v>
      </c>
      <c r="B31" s="1552" t="s">
        <v>1517</v>
      </c>
      <c r="C31" s="3774"/>
      <c r="D31" s="3775"/>
      <c r="E31" s="2815"/>
      <c r="F31" s="2815"/>
      <c r="G31" s="2815"/>
      <c r="H31" s="2815"/>
      <c r="I31" s="2819"/>
      <c r="J31" s="2815"/>
      <c r="K31" s="2801"/>
      <c r="L31" s="2795"/>
      <c r="M31" s="2795"/>
      <c r="N31" s="2795"/>
      <c r="O31" s="2795"/>
      <c r="P31" s="2795"/>
      <c r="Q31" s="2795"/>
      <c r="R31" s="2795"/>
      <c r="S31" s="2795"/>
      <c r="T31" s="2795"/>
      <c r="U31" s="2795"/>
    </row>
    <row r="32" spans="1:21">
      <c r="A32" s="3735"/>
      <c r="B32" s="1464" t="s">
        <v>1518</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35"/>
      <c r="B33" s="1464" t="s">
        <v>1519</v>
      </c>
      <c r="C33" s="1514" t="s">
        <v>3356</v>
      </c>
      <c r="D33" s="1622"/>
      <c r="E33" s="2815"/>
      <c r="F33" s="2815"/>
      <c r="G33" s="2815"/>
      <c r="H33" s="2815"/>
      <c r="I33" s="2819"/>
      <c r="J33" s="2815"/>
      <c r="K33" s="2801"/>
      <c r="L33" s="2795"/>
      <c r="M33" s="2795"/>
      <c r="N33" s="2795"/>
      <c r="O33" s="2795"/>
      <c r="P33" s="2795"/>
      <c r="Q33" s="2795"/>
      <c r="R33" s="2795"/>
      <c r="S33" s="2795"/>
      <c r="T33" s="2795"/>
      <c r="U33" s="2795"/>
    </row>
    <row r="34" spans="1:28">
      <c r="A34" s="3736"/>
      <c r="B34" s="1464" t="s">
        <v>1520</v>
      </c>
      <c r="C34" s="3737"/>
      <c r="D34" s="3738"/>
      <c r="E34" s="2815"/>
      <c r="F34" s="2815"/>
      <c r="G34" s="2815"/>
      <c r="H34" s="2815"/>
      <c r="I34" s="2819"/>
      <c r="J34" s="2815"/>
      <c r="K34" s="2801"/>
      <c r="L34" s="2795"/>
      <c r="M34" s="2795"/>
      <c r="N34" s="2795"/>
      <c r="O34" s="2795"/>
      <c r="P34" s="2795"/>
      <c r="Q34" s="2795"/>
      <c r="R34" s="2795"/>
      <c r="S34" s="2795"/>
      <c r="T34" s="2795"/>
      <c r="U34" s="2795"/>
    </row>
    <row r="35" spans="1:28">
      <c r="A35" s="3739" t="s">
        <v>784</v>
      </c>
      <c r="B35" s="1515" t="s">
        <v>3357</v>
      </c>
      <c r="C35" s="1561" t="str">
        <f>IF(B35="场地平整","——","具体情况：")</f>
        <v>——</v>
      </c>
      <c r="D35" s="3741"/>
      <c r="E35" s="3742"/>
      <c r="F35" s="3742"/>
      <c r="G35" s="3742"/>
      <c r="H35" s="3742"/>
      <c r="I35" s="3743"/>
      <c r="J35" s="2815"/>
      <c r="K35" s="2802"/>
      <c r="L35" s="2794"/>
      <c r="M35" s="2794"/>
      <c r="N35" s="2795"/>
      <c r="O35" s="2796"/>
      <c r="P35" s="2795"/>
      <c r="Q35" s="2795"/>
      <c r="R35" s="2795"/>
      <c r="S35" s="2795"/>
      <c r="T35" s="2795"/>
      <c r="U35" s="2795"/>
    </row>
    <row r="36" spans="1:28">
      <c r="A36" s="3735"/>
      <c r="B36" s="3744" t="s">
        <v>1569</v>
      </c>
      <c r="C36" s="3745"/>
      <c r="D36" s="1577"/>
      <c r="E36" s="3746"/>
      <c r="F36" s="3746"/>
      <c r="G36" s="1484" t="str">
        <f>IF(B35="场地未平整","估价结果处理","")</f>
        <v/>
      </c>
      <c r="H36" s="3747"/>
      <c r="I36" s="3747"/>
      <c r="J36" s="2815"/>
      <c r="K36" s="2802"/>
      <c r="L36" s="2794"/>
      <c r="M36" s="2794"/>
      <c r="N36" s="2795"/>
      <c r="O36" s="2796"/>
      <c r="P36" s="2795"/>
      <c r="Q36" s="2795"/>
      <c r="R36" s="2795"/>
      <c r="S36" s="2795"/>
      <c r="T36" s="2795"/>
      <c r="U36" s="2795"/>
    </row>
    <row r="37" spans="1:28" ht="28.5">
      <c r="A37" s="3735"/>
      <c r="B37" s="3765" t="s">
        <v>785</v>
      </c>
      <c r="C37" s="1517" t="s">
        <v>786</v>
      </c>
      <c r="D37" s="1518"/>
      <c r="E37" s="1519"/>
      <c r="F37" s="2815"/>
      <c r="G37" s="2815"/>
      <c r="H37" s="2815"/>
      <c r="I37" s="2819"/>
      <c r="J37" s="2815"/>
      <c r="K37" s="2802"/>
      <c r="L37" s="2795"/>
      <c r="M37" s="2795"/>
      <c r="N37" s="2795"/>
      <c r="O37" s="2795"/>
      <c r="P37" s="2795"/>
      <c r="Q37" s="2795"/>
      <c r="R37" s="2795"/>
      <c r="S37" s="2795"/>
      <c r="T37" s="2795"/>
      <c r="U37" s="2795"/>
    </row>
    <row r="38" spans="1:28">
      <c r="A38" s="3735"/>
      <c r="B38" s="3766"/>
      <c r="C38" s="1472" t="s">
        <v>787</v>
      </c>
      <c r="D38" s="1576">
        <f>ROUNDDOWN(MIN(('数据-取费表'!$B$2-D37)/365,D34),1)</f>
        <v>123.1</v>
      </c>
      <c r="E38" s="1520" t="s">
        <v>788</v>
      </c>
      <c r="F38" s="2815"/>
      <c r="G38" s="2815"/>
      <c r="H38" s="2815"/>
      <c r="I38" s="2819"/>
      <c r="J38" s="2815"/>
      <c r="K38" s="2802"/>
      <c r="L38" s="2795"/>
      <c r="M38" s="2795"/>
      <c r="N38" s="2795"/>
      <c r="O38" s="2795"/>
      <c r="P38" s="2795"/>
      <c r="Q38" s="2795"/>
      <c r="R38" s="2795"/>
      <c r="S38" s="2795"/>
      <c r="T38" s="2795"/>
      <c r="U38" s="2795"/>
    </row>
    <row r="39" spans="1:28">
      <c r="A39" s="3736"/>
      <c r="B39" s="3767"/>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1492</v>
      </c>
      <c r="B40" s="1485" t="s">
        <v>2764</v>
      </c>
      <c r="C40" s="1485" t="s">
        <v>2765</v>
      </c>
      <c r="D40" s="1485" t="s">
        <v>2766</v>
      </c>
      <c r="E40" s="1485"/>
      <c r="F40" s="1485"/>
      <c r="G40" s="1485"/>
      <c r="H40" s="1485"/>
      <c r="I40" s="2819"/>
      <c r="J40" s="2815"/>
      <c r="K40" s="2763">
        <f>COUNTIF(B40:H40,"——")</f>
        <v>0</v>
      </c>
      <c r="L40" s="1493" t="s">
        <v>1493</v>
      </c>
      <c r="M40" s="1490" t="s">
        <v>1494</v>
      </c>
      <c r="N40" s="1490" t="s">
        <v>1495</v>
      </c>
      <c r="O40" s="1490" t="s">
        <v>1496</v>
      </c>
      <c r="P40" s="1490" t="s">
        <v>1497</v>
      </c>
      <c r="Q40" s="1490" t="s">
        <v>1498</v>
      </c>
      <c r="R40" s="1490" t="s">
        <v>1499</v>
      </c>
      <c r="S40" s="3748" t="s">
        <v>1500</v>
      </c>
      <c r="T40" s="1524" t="str">
        <f>NUMBERSTRING(7-K40,1)&amp;"通"</f>
        <v>七通</v>
      </c>
      <c r="U40" s="2795"/>
    </row>
    <row r="41" spans="1:28">
      <c r="A41" s="1466"/>
      <c r="B41" s="3740" t="s">
        <v>1249</v>
      </c>
      <c r="C41" s="3740"/>
      <c r="D41" s="3740"/>
      <c r="E41" s="3740"/>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v>
      </c>
      <c r="P41" s="1527" t="str">
        <f>B40&amp;"、"&amp;C40&amp;"、"&amp;D40&amp;"、"&amp;E40&amp;"、"&amp;F40</f>
        <v>通路、通电、通讯、、</v>
      </c>
      <c r="Q41" s="1527" t="str">
        <f>B40&amp;"、"&amp;C40&amp;"、"&amp;D40&amp;"、"&amp;E40&amp;"、"&amp;F40&amp;"、"&amp;G40</f>
        <v>通路、通电、通讯、、、</v>
      </c>
      <c r="R41" s="1527" t="str">
        <f>B40&amp;"、"&amp;C40&amp;"、"&amp;D40&amp;"、"&amp;E40&amp;"、"&amp;F40&amp;"、"&amp;G40&amp;"、"&amp;H40</f>
        <v>通路、通电、通讯、、、、</v>
      </c>
      <c r="S41" s="3748"/>
      <c r="T41" s="1526" t="str">
        <f>IF(T40="一通",L41,IF(T40="二通",M41,IF(T40="三通",N41,IF(T40="四通",O41,IF(T40="五通",P41,IF(T40="六通",Q41,R41))))))</f>
        <v>通路、通电、通讯、、、、</v>
      </c>
      <c r="U41" s="2795"/>
    </row>
    <row r="42" spans="1:28">
      <c r="A42" s="1528"/>
      <c r="B42" s="1554" t="s">
        <v>1421</v>
      </c>
      <c r="C42" s="1554" t="s">
        <v>1422</v>
      </c>
      <c r="D42" s="1554" t="s">
        <v>1423</v>
      </c>
      <c r="E42" s="3281" t="s">
        <v>2741</v>
      </c>
      <c r="F42" s="3281" t="s">
        <v>2742</v>
      </c>
      <c r="G42" s="2815"/>
      <c r="H42" s="2815"/>
      <c r="I42" s="2819"/>
      <c r="J42" s="2815"/>
      <c r="K42" s="2798"/>
      <c r="L42" s="2794"/>
      <c r="M42" s="2794"/>
      <c r="N42" s="2795"/>
      <c r="O42" s="2796"/>
      <c r="P42" s="2795"/>
      <c r="Q42" s="2795"/>
      <c r="R42" s="2795"/>
      <c r="S42" s="2795"/>
      <c r="T42" s="2795"/>
      <c r="U42" s="2795"/>
    </row>
    <row r="43" spans="1:28">
      <c r="A43" s="2766" t="s">
        <v>1234</v>
      </c>
      <c r="B43" s="1530"/>
      <c r="C43" s="1530"/>
      <c r="D43" s="1530"/>
      <c r="E43" s="1530"/>
      <c r="F43" s="1530" t="s">
        <v>1151</v>
      </c>
      <c r="G43" s="2815"/>
      <c r="H43" s="2815"/>
      <c r="I43" s="2819"/>
      <c r="J43" s="2815"/>
      <c r="K43" s="2798"/>
      <c r="L43" s="2794"/>
      <c r="M43" s="2794"/>
      <c r="N43" s="2795"/>
      <c r="O43" s="2796"/>
      <c r="P43" s="2795"/>
      <c r="Q43" s="2795"/>
      <c r="R43" s="2795"/>
      <c r="S43" s="2795"/>
      <c r="T43" s="2795"/>
      <c r="U43" s="2795"/>
    </row>
    <row r="44" spans="1:28">
      <c r="A44" s="2766" t="s">
        <v>1235</v>
      </c>
      <c r="B44" s="1530"/>
      <c r="C44" s="1530"/>
      <c r="D44" s="1530"/>
      <c r="E44" s="1577"/>
      <c r="F44" s="1577" t="s">
        <v>2843</v>
      </c>
      <c r="G44" s="2815"/>
      <c r="H44" s="2815"/>
      <c r="I44" s="2819"/>
      <c r="J44" s="2815"/>
      <c r="K44" s="2798"/>
      <c r="L44" s="2794"/>
      <c r="M44" s="2794"/>
      <c r="N44" s="2795"/>
      <c r="O44" s="2796"/>
      <c r="P44" s="2795"/>
      <c r="Q44" s="2795"/>
      <c r="R44" s="2795"/>
      <c r="S44" s="2795"/>
      <c r="T44" s="2795"/>
      <c r="U44" s="2795"/>
    </row>
    <row r="45" spans="1:28" s="2528" customFormat="1" ht="21" thickBot="1">
      <c r="A45" s="2529" t="s">
        <v>2162</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1521</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1522</v>
      </c>
      <c r="B48" s="1483" t="s">
        <v>1523</v>
      </c>
      <c r="C48" s="1483" t="s">
        <v>1524</v>
      </c>
      <c r="D48" s="1483" t="s">
        <v>1525</v>
      </c>
      <c r="E48" s="1483" t="s">
        <v>1526</v>
      </c>
      <c r="F48" s="1483" t="s">
        <v>1527</v>
      </c>
      <c r="G48" s="1483" t="s">
        <v>1528</v>
      </c>
      <c r="H48" s="1483" t="s">
        <v>1529</v>
      </c>
      <c r="I48" s="1483" t="s">
        <v>1530</v>
      </c>
      <c r="J48" s="1560" t="s">
        <v>1531</v>
      </c>
      <c r="K48" s="2808" t="s">
        <v>1532</v>
      </c>
      <c r="L48" s="2808" t="s">
        <v>1533</v>
      </c>
      <c r="M48" s="2808" t="s">
        <v>1534</v>
      </c>
      <c r="N48" s="2809" t="s">
        <v>1535</v>
      </c>
      <c r="O48" s="2809" t="s">
        <v>1536</v>
      </c>
      <c r="P48" s="2809" t="s">
        <v>1537</v>
      </c>
      <c r="Q48" s="2800" t="s">
        <v>1538</v>
      </c>
      <c r="R48" s="2800" t="s">
        <v>1539</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30" sqref="K3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132</v>
      </c>
      <c r="AZ2" s="2056" t="s">
        <v>1687</v>
      </c>
      <c r="BA2" s="2057" t="s">
        <v>1686</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资料!$B$7</f>
        <v>22454.65</v>
      </c>
      <c r="B3" s="20">
        <f>IF(C3="否",G5-AT5,G5)</f>
        <v>59167.44</v>
      </c>
      <c r="C3" s="21" t="s">
        <v>3356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133</v>
      </c>
      <c r="B5" s="951"/>
      <c r="C5" s="951"/>
      <c r="D5" s="958"/>
      <c r="E5" s="25" t="s">
        <v>0</v>
      </c>
      <c r="F5" s="25">
        <f>SUM(F13:F572)</f>
        <v>0</v>
      </c>
      <c r="G5" s="25">
        <f>SUM(G13:G572)</f>
        <v>63167.44</v>
      </c>
      <c r="H5" s="25">
        <f t="shared" ref="H5:AT5" si="0">SUM(H13:H641)</f>
        <v>48769.46</v>
      </c>
      <c r="I5" s="25">
        <f t="shared" si="0"/>
        <v>35564.46</v>
      </c>
      <c r="J5" s="25">
        <f t="shared" si="0"/>
        <v>0</v>
      </c>
      <c r="K5" s="25">
        <f t="shared" si="0"/>
        <v>7500</v>
      </c>
      <c r="L5" s="25">
        <f t="shared" si="0"/>
        <v>0</v>
      </c>
      <c r="M5" s="25">
        <f t="shared" si="0"/>
        <v>5705</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10397.98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362.98</v>
      </c>
      <c r="AM5" s="25">
        <f t="shared" si="0"/>
        <v>0</v>
      </c>
      <c r="AN5" s="25">
        <f t="shared" si="0"/>
        <v>10035</v>
      </c>
      <c r="AO5" s="25">
        <f t="shared" si="0"/>
        <v>0</v>
      </c>
      <c r="AP5" s="25">
        <f t="shared" si="0"/>
        <v>0</v>
      </c>
      <c r="AQ5" s="25">
        <f t="shared" si="0"/>
        <v>0</v>
      </c>
      <c r="AR5" s="25">
        <f t="shared" si="0"/>
        <v>0</v>
      </c>
      <c r="AS5" s="25">
        <f t="shared" si="0"/>
        <v>0</v>
      </c>
      <c r="AT5" s="25">
        <f t="shared" si="0"/>
        <v>4000</v>
      </c>
      <c r="AU5" s="950"/>
      <c r="AV5" s="24" t="s">
        <v>133</v>
      </c>
      <c r="AW5" s="951"/>
      <c r="AX5" s="951"/>
      <c r="AY5" s="26" t="s">
        <v>2</v>
      </c>
      <c r="AZ5" s="27">
        <f t="shared" ref="AZ5:BT5" si="1">SUM(AZ13:AZ641)</f>
        <v>59167.44</v>
      </c>
      <c r="BA5" s="27">
        <f t="shared" si="1"/>
        <v>48769.46</v>
      </c>
      <c r="BB5" s="27">
        <f t="shared" si="1"/>
        <v>35564.46</v>
      </c>
      <c r="BC5" s="27">
        <f t="shared" si="1"/>
        <v>7500</v>
      </c>
      <c r="BD5" s="27">
        <f t="shared" si="1"/>
        <v>5705</v>
      </c>
      <c r="BE5" s="27">
        <f t="shared" si="1"/>
        <v>0</v>
      </c>
      <c r="BF5" s="27">
        <f t="shared" si="1"/>
        <v>0</v>
      </c>
      <c r="BG5" s="27">
        <f t="shared" si="1"/>
        <v>0</v>
      </c>
      <c r="BH5" s="27">
        <f t="shared" si="1"/>
        <v>0</v>
      </c>
      <c r="BI5" s="27">
        <f t="shared" si="1"/>
        <v>0</v>
      </c>
      <c r="BJ5" s="27">
        <f t="shared" si="1"/>
        <v>0</v>
      </c>
      <c r="BK5" s="27">
        <f t="shared" si="1"/>
        <v>0</v>
      </c>
      <c r="BL5" s="27">
        <f t="shared" si="1"/>
        <v>10397.98</v>
      </c>
      <c r="BM5" s="27">
        <f t="shared" si="1"/>
        <v>0</v>
      </c>
      <c r="BN5" s="27">
        <f t="shared" si="1"/>
        <v>0</v>
      </c>
      <c r="BO5" s="27">
        <f t="shared" si="1"/>
        <v>0</v>
      </c>
      <c r="BP5" s="27">
        <f t="shared" si="1"/>
        <v>0</v>
      </c>
      <c r="BQ5" s="27">
        <f t="shared" si="1"/>
        <v>362.98</v>
      </c>
      <c r="BR5" s="27">
        <f t="shared" si="1"/>
        <v>10035</v>
      </c>
      <c r="BS5" s="27">
        <f t="shared" si="1"/>
        <v>0</v>
      </c>
      <c r="BT5" s="28">
        <f t="shared" si="1"/>
        <v>0</v>
      </c>
    </row>
    <row r="6" spans="1:72" s="35" customFormat="1" ht="12.75">
      <c r="A6" s="24" t="s">
        <v>134</v>
      </c>
      <c r="B6" s="29"/>
      <c r="C6" s="29"/>
      <c r="D6" s="30"/>
      <c r="E6" s="25">
        <f>H6+AC6+AT6</f>
        <v>22454.66</v>
      </c>
      <c r="F6" s="25" t="s">
        <v>0</v>
      </c>
      <c r="G6" s="25" t="s">
        <v>1</v>
      </c>
      <c r="H6" s="31">
        <f>SUMIF(I$12:AB$12,"总值",I6:AB6)</f>
        <v>18508.52</v>
      </c>
      <c r="I6" s="25">
        <f t="shared" ref="I6:AB6" si="2">ROUND($A$3*I5/$B$3,2)</f>
        <v>13497.08</v>
      </c>
      <c r="J6" s="25">
        <f t="shared" si="2"/>
        <v>0</v>
      </c>
      <c r="K6" s="25">
        <f t="shared" si="2"/>
        <v>2846.33</v>
      </c>
      <c r="L6" s="25">
        <f t="shared" si="2"/>
        <v>0</v>
      </c>
      <c r="M6" s="25">
        <f t="shared" si="2"/>
        <v>2165.11</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3946.14</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137.75</v>
      </c>
      <c r="AM6" s="25">
        <f t="shared" si="3"/>
        <v>0</v>
      </c>
      <c r="AN6" s="25">
        <f t="shared" si="3"/>
        <v>3808.39</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22454.65</v>
      </c>
      <c r="AZ6" s="25" t="s">
        <v>2</v>
      </c>
      <c r="BA6" s="25">
        <f>ROUND($AY$6*BA5/$AZ$5,2)</f>
        <v>18508.509999999998</v>
      </c>
      <c r="BB6" s="25">
        <f>ROUND($AY$6*BB5/$AZ$5,2)</f>
        <v>13497.08</v>
      </c>
      <c r="BC6" s="25">
        <f t="shared" ref="BC6:BH6" si="4">ROUND($AY$6*BC5/$AZ$5,2)</f>
        <v>2846.33</v>
      </c>
      <c r="BD6" s="25">
        <f t="shared" si="4"/>
        <v>2165.11</v>
      </c>
      <c r="BE6" s="25">
        <f t="shared" si="4"/>
        <v>0</v>
      </c>
      <c r="BF6" s="25">
        <f t="shared" si="4"/>
        <v>0</v>
      </c>
      <c r="BG6" s="25">
        <f t="shared" si="4"/>
        <v>0</v>
      </c>
      <c r="BH6" s="25">
        <f t="shared" si="4"/>
        <v>0</v>
      </c>
      <c r="BI6" s="25">
        <f t="shared" ref="BI6:BT6" si="5">ROUND($AY$6*BI5/$AZ$5,2)</f>
        <v>0</v>
      </c>
      <c r="BJ6" s="25">
        <f t="shared" si="5"/>
        <v>0</v>
      </c>
      <c r="BK6" s="25">
        <f t="shared" si="5"/>
        <v>0</v>
      </c>
      <c r="BL6" s="25">
        <f t="shared" si="5"/>
        <v>3946.14</v>
      </c>
      <c r="BM6" s="25">
        <f t="shared" si="5"/>
        <v>0</v>
      </c>
      <c r="BN6" s="25">
        <f t="shared" si="5"/>
        <v>0</v>
      </c>
      <c r="BO6" s="25">
        <f t="shared" si="5"/>
        <v>0</v>
      </c>
      <c r="BP6" s="25">
        <f t="shared" si="5"/>
        <v>0</v>
      </c>
      <c r="BQ6" s="25">
        <f t="shared" si="5"/>
        <v>137.75</v>
      </c>
      <c r="BR6" s="25">
        <f t="shared" si="5"/>
        <v>3808.39</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142</v>
      </c>
      <c r="AV7" s="39" t="s">
        <v>143</v>
      </c>
      <c r="AW7" s="40" t="s">
        <v>144</v>
      </c>
      <c r="AX7" s="39" t="s">
        <v>145</v>
      </c>
      <c r="AY7" s="951"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3"/>
      <c r="K8" s="963"/>
      <c r="L8" s="963"/>
      <c r="M8" s="963"/>
      <c r="N8" s="963"/>
      <c r="O8" s="963"/>
      <c r="P8" s="963"/>
      <c r="Q8" s="963"/>
      <c r="R8" s="963"/>
      <c r="S8" s="963"/>
      <c r="T8" s="963"/>
      <c r="U8" s="963"/>
      <c r="V8" s="47"/>
      <c r="W8" s="963"/>
      <c r="X8" s="963"/>
      <c r="Y8" s="963"/>
      <c r="Z8" s="963"/>
      <c r="AA8" s="47"/>
      <c r="AB8" s="48"/>
      <c r="AC8" s="49" t="s">
        <v>149</v>
      </c>
      <c r="AD8" s="50"/>
      <c r="AE8" s="41"/>
      <c r="AF8" s="963"/>
      <c r="AG8" s="963"/>
      <c r="AH8" s="963"/>
      <c r="AI8" s="963"/>
      <c r="AJ8" s="963"/>
      <c r="AK8" s="963"/>
      <c r="AL8" s="963"/>
      <c r="AM8" s="963"/>
      <c r="AN8" s="963"/>
      <c r="AO8" s="963"/>
      <c r="AP8" s="963"/>
      <c r="AQ8" s="963"/>
      <c r="AR8" s="963"/>
      <c r="AS8" s="2014"/>
      <c r="AT8" s="2045" t="s">
        <v>792</v>
      </c>
      <c r="AU8" s="43" t="s">
        <v>150</v>
      </c>
      <c r="AV8" s="53"/>
      <c r="AW8" s="965"/>
      <c r="AX8" s="53"/>
      <c r="AY8" s="40" t="s">
        <v>151</v>
      </c>
      <c r="AZ8" s="962" t="s">
        <v>152</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153</v>
      </c>
      <c r="I9" s="2490" t="s">
        <v>3359</v>
      </c>
      <c r="J9" s="49"/>
      <c r="K9" s="2490" t="s">
        <v>3362</v>
      </c>
      <c r="L9" s="49"/>
      <c r="M9" s="2490" t="s">
        <v>3362</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5" t="s">
        <v>156</v>
      </c>
      <c r="AQ9" s="1087"/>
      <c r="AR9" s="1085" t="s">
        <v>157</v>
      </c>
      <c r="AS9" s="2046"/>
      <c r="AT9" s="43"/>
      <c r="AU9" s="43" t="s">
        <v>159</v>
      </c>
      <c r="AV9" s="53"/>
      <c r="AW9" s="965"/>
      <c r="AX9" s="53"/>
      <c r="AY9" s="60"/>
      <c r="AZ9" s="60" t="s">
        <v>160</v>
      </c>
      <c r="BA9" s="61" t="s">
        <v>161</v>
      </c>
      <c r="BB9" s="62"/>
      <c r="BC9" s="957"/>
      <c r="BD9" s="957"/>
      <c r="BE9" s="957"/>
      <c r="BF9" s="957"/>
      <c r="BG9" s="957"/>
      <c r="BH9" s="957"/>
      <c r="BI9" s="957"/>
      <c r="BJ9" s="957"/>
      <c r="BK9" s="63"/>
      <c r="BL9" s="24" t="s">
        <v>162</v>
      </c>
      <c r="BM9" s="963"/>
      <c r="BN9" s="46"/>
      <c r="BO9" s="963"/>
      <c r="BP9" s="963"/>
      <c r="BQ9" s="963"/>
      <c r="BR9" s="963"/>
      <c r="BS9" s="963"/>
      <c r="BT9" s="54"/>
    </row>
    <row r="10" spans="1:72" s="55" customFormat="1" ht="12.75">
      <c r="A10" s="43"/>
      <c r="B10" s="43"/>
      <c r="C10" s="43"/>
      <c r="D10" s="43"/>
      <c r="E10" s="43"/>
      <c r="F10" s="43"/>
      <c r="G10" s="53"/>
      <c r="H10" s="60"/>
      <c r="I10" s="2490" t="s">
        <v>2735</v>
      </c>
      <c r="J10" s="49"/>
      <c r="K10" s="2492" t="s">
        <v>2735</v>
      </c>
      <c r="L10" s="49"/>
      <c r="M10" s="2492" t="s">
        <v>2738</v>
      </c>
      <c r="N10" s="49"/>
      <c r="O10" s="64"/>
      <c r="P10" s="49"/>
      <c r="Q10" s="64"/>
      <c r="R10" s="49"/>
      <c r="S10" s="64"/>
      <c r="T10" s="49"/>
      <c r="U10" s="64"/>
      <c r="V10" s="49"/>
      <c r="W10" s="64"/>
      <c r="X10" s="49"/>
      <c r="Y10" s="64"/>
      <c r="Z10" s="49"/>
      <c r="AA10" s="64"/>
      <c r="AB10" s="49"/>
      <c r="AC10" s="53"/>
      <c r="AD10" s="2031" t="s">
        <v>1671</v>
      </c>
      <c r="AE10" s="2053"/>
      <c r="AF10" s="2031" t="s">
        <v>1671</v>
      </c>
      <c r="AG10" s="2053"/>
      <c r="AH10" s="2031" t="s">
        <v>1672</v>
      </c>
      <c r="AI10" s="2053"/>
      <c r="AJ10" s="24" t="s">
        <v>1685</v>
      </c>
      <c r="AK10" s="2050"/>
      <c r="AL10" s="2031" t="s">
        <v>1673</v>
      </c>
      <c r="AM10" s="2032"/>
      <c r="AN10" s="24" t="s">
        <v>163</v>
      </c>
      <c r="AO10" s="59"/>
      <c r="AP10" s="1085" t="s">
        <v>164</v>
      </c>
      <c r="AQ10" s="1087"/>
      <c r="AR10" s="1085" t="s">
        <v>164</v>
      </c>
      <c r="AS10" s="1087"/>
      <c r="AT10" s="43"/>
      <c r="AU10" s="43"/>
      <c r="AV10" s="53"/>
      <c r="AW10" s="965"/>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3360</v>
      </c>
      <c r="J11" s="69"/>
      <c r="K11" s="2491" t="s">
        <v>3360</v>
      </c>
      <c r="L11" s="69"/>
      <c r="M11" s="68" t="s">
        <v>2738</v>
      </c>
      <c r="N11" s="69"/>
      <c r="O11" s="68"/>
      <c r="P11" s="69"/>
      <c r="Q11" s="68"/>
      <c r="R11" s="69"/>
      <c r="S11" s="68"/>
      <c r="T11" s="69"/>
      <c r="U11" s="68"/>
      <c r="V11" s="69"/>
      <c r="W11" s="68"/>
      <c r="X11" s="69"/>
      <c r="Y11" s="68"/>
      <c r="Z11" s="69"/>
      <c r="AA11" s="68"/>
      <c r="AB11" s="69"/>
      <c r="AC11" s="53"/>
      <c r="AD11" s="2051" t="s">
        <v>1684</v>
      </c>
      <c r="AE11" s="964"/>
      <c r="AF11" s="2051" t="s">
        <v>1684</v>
      </c>
      <c r="AG11" s="964"/>
      <c r="AH11" s="2051" t="s">
        <v>1683</v>
      </c>
      <c r="AI11" s="2052"/>
      <c r="AJ11" s="2051" t="s">
        <v>1683</v>
      </c>
      <c r="AK11" s="2050"/>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50" t="s">
        <v>166</v>
      </c>
      <c r="W12" s="15" t="s">
        <v>165</v>
      </c>
      <c r="X12" s="15" t="s">
        <v>166</v>
      </c>
      <c r="Y12" s="15" t="s">
        <v>165</v>
      </c>
      <c r="Z12" s="15" t="s">
        <v>166</v>
      </c>
      <c r="AA12" s="15" t="s">
        <v>165</v>
      </c>
      <c r="AB12" s="15" t="s">
        <v>166</v>
      </c>
      <c r="AC12" s="73"/>
      <c r="AD12" s="958" t="s">
        <v>165</v>
      </c>
      <c r="AE12" s="15" t="s">
        <v>166</v>
      </c>
      <c r="AF12" s="15" t="s">
        <v>165</v>
      </c>
      <c r="AG12" s="15" t="s">
        <v>166</v>
      </c>
      <c r="AH12" s="15" t="s">
        <v>165</v>
      </c>
      <c r="AI12" s="15" t="s">
        <v>166</v>
      </c>
      <c r="AJ12" s="15" t="s">
        <v>165</v>
      </c>
      <c r="AK12" s="15" t="s">
        <v>166</v>
      </c>
      <c r="AL12" s="15" t="s">
        <v>165</v>
      </c>
      <c r="AM12" s="15" t="s">
        <v>166</v>
      </c>
      <c r="AN12" s="15" t="s">
        <v>165</v>
      </c>
      <c r="AO12" s="15" t="s">
        <v>166</v>
      </c>
      <c r="AP12" s="1084" t="s">
        <v>165</v>
      </c>
      <c r="AQ12" s="1084" t="s">
        <v>166</v>
      </c>
      <c r="AR12" s="1090" t="s">
        <v>165</v>
      </c>
      <c r="AS12" s="1089" t="s">
        <v>166</v>
      </c>
      <c r="AT12" s="74"/>
      <c r="AU12" s="70"/>
      <c r="AV12" s="75"/>
      <c r="AW12" s="40"/>
      <c r="AX12" s="75"/>
      <c r="AY12" s="76"/>
      <c r="AZ12" s="60"/>
      <c r="BA12" s="65"/>
      <c r="BB12" s="51" t="str">
        <f>I11</f>
        <v>医疗</v>
      </c>
      <c r="BC12" s="77" t="str">
        <f>K11</f>
        <v>医疗</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27.75" customHeight="1">
      <c r="A13" s="2486"/>
      <c r="B13" s="2486"/>
      <c r="C13" s="2486" t="str">
        <f>资料!$A$25</f>
        <v>1#医疗综合楼</v>
      </c>
      <c r="D13" s="2487" t="s">
        <v>3358</v>
      </c>
      <c r="E13" s="25">
        <f t="shared" ref="E13:E20" si="6">IF($C$3="是",ROUND($A$3*G13/$B$3,2),ROUND($A$3*(G13-AT13)/$B$3,2))</f>
        <v>22454.65</v>
      </c>
      <c r="F13" s="78"/>
      <c r="G13" s="79">
        <f t="shared" ref="G13:G20" si="7">H13+AC13+AT13</f>
        <v>63167.44</v>
      </c>
      <c r="H13" s="31">
        <f t="shared" ref="H13:H20" si="8">SUMIF(I$12:AB$12,"总值",I13:AB13)</f>
        <v>48769.46</v>
      </c>
      <c r="I13" s="2489">
        <f>资料!$C$25</f>
        <v>35564.46</v>
      </c>
      <c r="J13" s="2489"/>
      <c r="K13" s="2489">
        <v>7500</v>
      </c>
      <c r="L13" s="2489"/>
      <c r="M13" s="2489">
        <f>35*资料!B28</f>
        <v>5705</v>
      </c>
      <c r="N13" s="80"/>
      <c r="O13" s="80"/>
      <c r="P13" s="80"/>
      <c r="Q13" s="80"/>
      <c r="R13" s="80"/>
      <c r="S13" s="80"/>
      <c r="T13" s="80"/>
      <c r="U13" s="80"/>
      <c r="V13" s="80"/>
      <c r="W13" s="80"/>
      <c r="X13" s="80"/>
      <c r="Y13" s="80"/>
      <c r="Z13" s="80"/>
      <c r="AA13" s="80"/>
      <c r="AB13" s="80"/>
      <c r="AC13" s="25">
        <f t="shared" ref="AC13:AC20" si="9">SUMIF(AD$12:AS$12,"总值",AD13:AS13)</f>
        <v>10397.98</v>
      </c>
      <c r="AD13" s="2493"/>
      <c r="AE13" s="2493"/>
      <c r="AF13" s="2493"/>
      <c r="AG13" s="2493"/>
      <c r="AH13" s="2493"/>
      <c r="AI13" s="2493"/>
      <c r="AJ13" s="2493"/>
      <c r="AK13" s="2493"/>
      <c r="AL13" s="2493">
        <f>资料!E25</f>
        <v>362.98</v>
      </c>
      <c r="AM13" s="2493"/>
      <c r="AN13" s="2493">
        <f>资料!D25-'数据-基础表'!AT13-'数据-基础表'!M13-'数据-基础表'!K13</f>
        <v>10035</v>
      </c>
      <c r="AO13" s="2493"/>
      <c r="AP13" s="2493"/>
      <c r="AQ13" s="2493"/>
      <c r="AR13" s="2493"/>
      <c r="AS13" s="2493"/>
      <c r="AT13" s="2494">
        <v>4000</v>
      </c>
      <c r="AU13" s="2495"/>
      <c r="AV13" s="15">
        <f t="shared" ref="AV13:AX20" si="10">A13</f>
        <v>0</v>
      </c>
      <c r="AW13" s="15">
        <f t="shared" si="10"/>
        <v>0</v>
      </c>
      <c r="AX13" s="15" t="str">
        <f t="shared" si="10"/>
        <v>1#医疗综合楼</v>
      </c>
      <c r="AY13" s="958">
        <f t="shared" ref="AY13:AY20" si="11">ROUND($AY$6*AZ13/$AZ$5,2)</f>
        <v>22454.65</v>
      </c>
      <c r="AZ13" s="25">
        <f t="shared" ref="AZ13:AZ20" si="12">BA13+BL13</f>
        <v>59167.44</v>
      </c>
      <c r="BA13" s="25">
        <f t="shared" ref="BA13:BA20" si="13">SUM(BB13:BK13)</f>
        <v>48769.46</v>
      </c>
      <c r="BB13" s="25">
        <f t="shared" ref="BB13:BB20" si="14">IF($D13="是",I13-J13,0)</f>
        <v>35564.46</v>
      </c>
      <c r="BC13" s="25">
        <f t="shared" ref="BC13:BC20" si="15">IF($D13="是",K13-L13,0)</f>
        <v>7500</v>
      </c>
      <c r="BD13" s="25">
        <f t="shared" ref="BD13:BD20" si="16">IF($D13="是",M13-N13,0)</f>
        <v>5705</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10397.98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362.98</v>
      </c>
      <c r="BR13" s="25">
        <f t="shared" ref="BR13:BR20" si="30">IF($D13="是",AN13-AO13,0)</f>
        <v>10035</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1" sqref="G2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167</v>
      </c>
      <c r="B1" s="1737"/>
      <c r="C1" s="1737"/>
      <c r="D1" s="1737"/>
      <c r="E1" s="1737"/>
      <c r="F1" s="1737"/>
      <c r="G1" s="1737"/>
      <c r="H1" s="1737"/>
      <c r="I1" s="1737"/>
      <c r="J1" s="1737"/>
      <c r="K1" s="1737"/>
      <c r="L1" s="1737"/>
      <c r="M1" s="1737"/>
      <c r="N1" s="1737"/>
      <c r="O1" s="1737"/>
      <c r="P1" s="1737"/>
    </row>
    <row r="2" spans="1:16" ht="15">
      <c r="A2" s="3785" t="s">
        <v>168</v>
      </c>
      <c r="B2" s="3785"/>
      <c r="C2" s="3785"/>
      <c r="D2" s="1728" t="s">
        <v>169</v>
      </c>
      <c r="E2" s="102" t="s">
        <v>170</v>
      </c>
      <c r="F2" s="2824"/>
      <c r="G2" s="1096"/>
      <c r="H2" s="1097"/>
      <c r="I2" s="1098" t="s">
        <v>794</v>
      </c>
      <c r="J2" s="2824"/>
      <c r="K2" s="2824"/>
      <c r="L2" s="2824"/>
      <c r="M2" s="2824"/>
      <c r="N2" s="2824"/>
      <c r="O2" s="2824"/>
      <c r="P2" s="2824"/>
    </row>
    <row r="3" spans="1:16" ht="15.75" thickBot="1">
      <c r="A3" s="3786" t="s">
        <v>171</v>
      </c>
      <c r="B3" s="3786"/>
      <c r="C3" s="3786"/>
      <c r="D3" s="103">
        <f>'数据-基础表'!AY6</f>
        <v>22454.65</v>
      </c>
      <c r="E3" s="103">
        <f>'数据-基础表'!AZ5</f>
        <v>59167.44</v>
      </c>
      <c r="F3" s="2824"/>
      <c r="G3" s="271" t="s">
        <v>795</v>
      </c>
      <c r="H3" s="266" t="s">
        <v>796</v>
      </c>
      <c r="I3" s="1729">
        <f>ROUND('数据-基础表'!B3/'数据-基础表'!A3,2)</f>
        <v>2.63</v>
      </c>
      <c r="J3" s="2824"/>
      <c r="K3" s="2824"/>
      <c r="L3" s="2824"/>
      <c r="M3" s="2824"/>
      <c r="N3" s="2824"/>
      <c r="O3" s="2824"/>
      <c r="P3" s="2824"/>
    </row>
    <row r="4" spans="1:16" ht="15">
      <c r="A4" s="3787"/>
      <c r="B4" s="3788"/>
      <c r="C4" s="3789"/>
      <c r="D4" s="104" t="s">
        <v>169</v>
      </c>
      <c r="E4" s="105" t="s">
        <v>170</v>
      </c>
      <c r="F4" s="2824"/>
      <c r="G4" s="1099"/>
      <c r="H4" s="266" t="s">
        <v>797</v>
      </c>
      <c r="I4" s="1729">
        <f>ROUND(SUMIF('数据-基础表'!I9:AS9,"地上",'数据-基础表'!I5:AS5)/'数据-基础表'!A3,2)</f>
        <v>1.6</v>
      </c>
      <c r="J4" s="2824"/>
      <c r="K4" s="2824"/>
      <c r="L4" s="2824"/>
      <c r="M4" s="2824"/>
      <c r="N4" s="2824"/>
      <c r="O4" s="2824"/>
      <c r="P4" s="2824"/>
    </row>
    <row r="5" spans="1:16">
      <c r="A5" s="106" t="s">
        <v>172</v>
      </c>
      <c r="B5" s="3790" t="s">
        <v>195</v>
      </c>
      <c r="C5" s="3790"/>
      <c r="D5" s="107">
        <f>ROUND($D$3*E5/$E$3,2)</f>
        <v>0</v>
      </c>
      <c r="E5" s="108">
        <f>SUMIF('数据-基础表'!$11:$11,"住宅",'数据-基础表'!$5:$5)</f>
        <v>0</v>
      </c>
      <c r="F5" s="2824"/>
      <c r="G5" s="271" t="s">
        <v>798</v>
      </c>
      <c r="H5" s="266" t="s">
        <v>796</v>
      </c>
      <c r="I5" s="1729">
        <f>ROUND(E31/D31,2)</f>
        <v>2.63</v>
      </c>
      <c r="J5" s="2824"/>
      <c r="K5" s="2824"/>
      <c r="L5" s="2824"/>
      <c r="M5" s="2824"/>
      <c r="N5" s="2824"/>
      <c r="O5" s="2824"/>
      <c r="P5" s="2824"/>
    </row>
    <row r="6" spans="1:16" ht="15" thickBot="1">
      <c r="A6" s="109"/>
      <c r="B6" s="3790" t="s">
        <v>173</v>
      </c>
      <c r="C6" s="3790"/>
      <c r="D6" s="107">
        <f>ROUND($D$3*E6/$E$3,2)</f>
        <v>22454.65</v>
      </c>
      <c r="E6" s="108">
        <f>E3-E5</f>
        <v>59167.44</v>
      </c>
      <c r="F6" s="2824"/>
      <c r="G6" s="1099"/>
      <c r="H6" s="266" t="s">
        <v>797</v>
      </c>
      <c r="I6" s="1729">
        <f>ROUND(F31/D31,2)</f>
        <v>1.6</v>
      </c>
      <c r="J6" s="2824"/>
      <c r="K6" s="2824"/>
      <c r="L6" s="2824"/>
      <c r="M6" s="2824"/>
      <c r="N6" s="2824"/>
      <c r="O6" s="2824"/>
      <c r="P6" s="2824"/>
    </row>
    <row r="7" spans="1:16" ht="15">
      <c r="A7" s="3782"/>
      <c r="B7" s="3783"/>
      <c r="C7" s="3784"/>
      <c r="D7" s="104" t="s">
        <v>169</v>
      </c>
      <c r="E7" s="110" t="s">
        <v>196</v>
      </c>
      <c r="F7" s="2824"/>
      <c r="G7" s="1055" t="s">
        <v>1179</v>
      </c>
      <c r="H7" s="1056"/>
      <c r="I7" s="1630"/>
      <c r="J7" s="2824"/>
      <c r="K7" s="2824"/>
      <c r="L7" s="2824"/>
      <c r="M7" s="2824"/>
      <c r="N7" s="2824"/>
      <c r="O7" s="2824"/>
      <c r="P7" s="2824"/>
    </row>
    <row r="8" spans="1:16">
      <c r="A8" s="106" t="s">
        <v>174</v>
      </c>
      <c r="B8" s="111" t="s">
        <v>175</v>
      </c>
      <c r="C8" s="107" t="s">
        <v>176</v>
      </c>
      <c r="D8" s="107">
        <f t="shared" ref="D8:D15" si="0">ROUND($D$3*E8/$E$3,2)</f>
        <v>13497.08</v>
      </c>
      <c r="E8" s="112">
        <f>SUMIF('数据-基础表'!BB10:BK10,"地上",'数据-基础表'!BB5:BK5)</f>
        <v>35564.46</v>
      </c>
      <c r="F8" s="2824"/>
      <c r="G8" s="2825"/>
      <c r="H8" s="2825"/>
      <c r="I8" s="2824"/>
      <c r="J8" s="2824"/>
      <c r="K8" s="2824"/>
      <c r="L8" s="2824"/>
      <c r="M8" s="2824"/>
      <c r="N8" s="2824"/>
      <c r="O8" s="2824"/>
      <c r="P8" s="2824"/>
    </row>
    <row r="9" spans="1:16">
      <c r="A9" s="113"/>
      <c r="B9" s="114"/>
      <c r="C9" s="107" t="s">
        <v>177</v>
      </c>
      <c r="D9" s="107">
        <f t="shared" si="0"/>
        <v>0</v>
      </c>
      <c r="E9" s="115">
        <v>0</v>
      </c>
      <c r="F9" s="2824"/>
      <c r="G9" s="2825"/>
      <c r="H9" s="2825"/>
      <c r="I9" s="2824"/>
      <c r="J9" s="2824"/>
      <c r="K9" s="2824"/>
      <c r="L9" s="2824"/>
      <c r="M9" s="2824"/>
      <c r="N9" s="2824"/>
      <c r="O9" s="2824"/>
      <c r="P9" s="2824"/>
    </row>
    <row r="10" spans="1:16">
      <c r="A10" s="113"/>
      <c r="B10" s="114"/>
      <c r="C10" s="107" t="s">
        <v>178</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1681</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179</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1688</v>
      </c>
      <c r="D13" s="107">
        <f t="shared" si="0"/>
        <v>2165.11</v>
      </c>
      <c r="E13" s="112">
        <f>SUMPRODUCT(('数据-基础表'!BB10:BK10="地下")*('数据-基础表'!BB11:BK11="车库")*('数据-基础表'!BB5:BK5))</f>
        <v>5705</v>
      </c>
      <c r="F13" s="2824"/>
      <c r="G13" s="2825"/>
      <c r="H13" s="2825"/>
      <c r="I13" s="2824"/>
      <c r="J13" s="2824"/>
      <c r="K13" s="2824"/>
      <c r="L13" s="2824"/>
      <c r="M13" s="2824"/>
      <c r="N13" s="2824"/>
      <c r="O13" s="2824"/>
      <c r="P13" s="2824"/>
    </row>
    <row r="14" spans="1:16">
      <c r="A14" s="113"/>
      <c r="B14" s="114"/>
      <c r="C14" s="107" t="s">
        <v>197</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198</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180</v>
      </c>
      <c r="D16" s="111">
        <f>SUM(D8:D15)</f>
        <v>15662.19</v>
      </c>
      <c r="E16" s="116">
        <f>SUM(E8:E15)</f>
        <v>41269.46</v>
      </c>
      <c r="F16" s="2824"/>
      <c r="G16" s="2825"/>
      <c r="H16" s="930" t="s">
        <v>184</v>
      </c>
      <c r="I16" s="931"/>
      <c r="J16" s="1737"/>
      <c r="K16" s="3776" t="s">
        <v>1846</v>
      </c>
      <c r="L16" s="3777"/>
      <c r="M16" s="3777"/>
      <c r="N16" s="3777"/>
      <c r="O16" s="3777"/>
      <c r="P16" s="3778"/>
    </row>
    <row r="17" spans="1:19" ht="15">
      <c r="A17" s="117" t="s">
        <v>181</v>
      </c>
      <c r="B17" s="118" t="s">
        <v>182</v>
      </c>
      <c r="C17" s="2015" t="s">
        <v>1667</v>
      </c>
      <c r="D17" s="104" t="s">
        <v>169</v>
      </c>
      <c r="E17" s="120" t="s">
        <v>170</v>
      </c>
      <c r="F17" s="121"/>
      <c r="G17" s="1225"/>
      <c r="H17" s="932" t="s">
        <v>183</v>
      </c>
      <c r="I17" s="933" t="s">
        <v>1666</v>
      </c>
      <c r="J17" s="1737"/>
      <c r="K17" s="3779" t="s">
        <v>1847</v>
      </c>
      <c r="L17" s="3780"/>
      <c r="M17" s="3781"/>
      <c r="N17" s="3779" t="s">
        <v>1848</v>
      </c>
      <c r="O17" s="3780"/>
      <c r="P17" s="3781"/>
      <c r="R17" s="2016" t="s">
        <v>1665</v>
      </c>
      <c r="S17" s="137"/>
    </row>
    <row r="18" spans="1:19" ht="15">
      <c r="A18" s="113"/>
      <c r="B18" s="124"/>
      <c r="C18" s="125"/>
      <c r="D18" s="2246"/>
      <c r="E18" s="126" t="s">
        <v>185</v>
      </c>
      <c r="F18" s="127" t="s">
        <v>186</v>
      </c>
      <c r="G18" s="1226" t="s">
        <v>187</v>
      </c>
      <c r="H18" s="934" t="s">
        <v>188</v>
      </c>
      <c r="I18" s="935" t="s">
        <v>189</v>
      </c>
      <c r="J18" s="1737"/>
      <c r="K18" s="2211" t="s">
        <v>1849</v>
      </c>
      <c r="L18" s="2212" t="s">
        <v>1850</v>
      </c>
      <c r="M18" s="2213" t="s">
        <v>1851</v>
      </c>
      <c r="N18" s="2211" t="s">
        <v>1849</v>
      </c>
      <c r="O18" s="2212" t="s">
        <v>1850</v>
      </c>
      <c r="P18" s="2213" t="s">
        <v>1851</v>
      </c>
      <c r="R18" s="2017" t="s">
        <v>1663</v>
      </c>
      <c r="S18" s="2017" t="s">
        <v>1664</v>
      </c>
    </row>
    <row r="19" spans="1:19">
      <c r="A19" s="129"/>
      <c r="B19" s="111" t="s">
        <v>190</v>
      </c>
      <c r="C19" s="2496" t="s">
        <v>3364</v>
      </c>
      <c r="D19" s="107">
        <f t="shared" ref="D19:D26" si="1">ROUND($D$3*E19/$E$3,2)</f>
        <v>16343.4</v>
      </c>
      <c r="E19" s="130">
        <f t="shared" ref="E19:E26" si="2">SUM(F19:G19)</f>
        <v>43064.46</v>
      </c>
      <c r="F19" s="2826">
        <f>'数据-基础表'!I5</f>
        <v>35564.46</v>
      </c>
      <c r="G19" s="2827">
        <f>'数据-基础表'!K5</f>
        <v>7500</v>
      </c>
      <c r="H19" s="936">
        <f>ROUND($D$3*I19/$E$3,2)</f>
        <v>3484.53</v>
      </c>
      <c r="I19" s="112">
        <f>IF($I$17="自定义",P19,M19)</f>
        <v>9181.64</v>
      </c>
      <c r="J19" s="1737"/>
      <c r="K19" s="2214">
        <f t="shared" ref="K19:K26" si="3">ROUND(E$28*E19/E$27,2)</f>
        <v>9181.64</v>
      </c>
      <c r="L19" s="266">
        <f t="shared" ref="L19:L26" si="4">ROUND(IF(COUNTIF(C19,"*住宅*")&gt;0,E$29*E19/E$32,0),2)</f>
        <v>0</v>
      </c>
      <c r="M19" s="2215">
        <f>K19+L19</f>
        <v>9181.64</v>
      </c>
      <c r="N19" s="2216"/>
      <c r="O19" s="2217"/>
      <c r="P19" s="2218">
        <f>N19+O19</f>
        <v>0</v>
      </c>
      <c r="R19" s="266">
        <f t="shared" ref="R19:S26" si="5">D19+H19</f>
        <v>19827.93</v>
      </c>
      <c r="S19" s="2018">
        <f t="shared" si="5"/>
        <v>52246.1</v>
      </c>
    </row>
    <row r="20" spans="1:19">
      <c r="A20" s="133"/>
      <c r="B20" s="111" t="s">
        <v>191</v>
      </c>
      <c r="C20" s="2496" t="s">
        <v>3365</v>
      </c>
      <c r="D20" s="107">
        <f t="shared" si="1"/>
        <v>2165.11</v>
      </c>
      <c r="E20" s="130">
        <f t="shared" si="2"/>
        <v>5705</v>
      </c>
      <c r="F20" s="2826"/>
      <c r="G20" s="2827">
        <f>'数据-基础表'!M5</f>
        <v>5705</v>
      </c>
      <c r="H20" s="936">
        <f t="shared" ref="H20:H26" si="6">ROUND($D$3*I20/$E$3,2)</f>
        <v>461.61</v>
      </c>
      <c r="I20" s="112">
        <f t="shared" ref="I20:I26" si="7">IF($I$17="自定义",P20,M20)</f>
        <v>1216.3399999999999</v>
      </c>
      <c r="J20" s="1737"/>
      <c r="K20" s="2214">
        <f t="shared" si="3"/>
        <v>1216.3399999999999</v>
      </c>
      <c r="L20" s="266">
        <f t="shared" si="4"/>
        <v>0</v>
      </c>
      <c r="M20" s="2215">
        <f t="shared" ref="M20:M26" si="8">K20+L20</f>
        <v>1216.3399999999999</v>
      </c>
      <c r="N20" s="2216"/>
      <c r="O20" s="2217"/>
      <c r="P20" s="2218">
        <f t="shared" ref="P20:P26" si="9">N20+O20</f>
        <v>0</v>
      </c>
      <c r="R20" s="266">
        <f t="shared" si="5"/>
        <v>2626.7200000000003</v>
      </c>
      <c r="S20" s="2018">
        <f t="shared" si="5"/>
        <v>6921.34</v>
      </c>
    </row>
    <row r="21" spans="1:19">
      <c r="A21" s="133"/>
      <c r="B21" s="111" t="s">
        <v>191</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191</v>
      </c>
      <c r="C22" s="3337"/>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191</v>
      </c>
      <c r="C23" s="3337"/>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191</v>
      </c>
      <c r="C24" s="3337"/>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191</v>
      </c>
      <c r="C25" s="3337"/>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191</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180</v>
      </c>
      <c r="D27" s="130">
        <f>SUM(D19:D26)</f>
        <v>18508.509999999998</v>
      </c>
      <c r="E27" s="136">
        <f>IF(SUM(E19:E26)='数据-基础表'!BA5,SUM(E19:E26),IF(F27="地上面积有误","面积有误","地下面积有误"))</f>
        <v>48769.46</v>
      </c>
      <c r="F27" s="130">
        <f>IF(SUM(F19:F26)=E8,SUM(F19:F26),"地上面积有误")</f>
        <v>35564.46</v>
      </c>
      <c r="G27" s="108">
        <f>SUM(G19:G26)</f>
        <v>13205</v>
      </c>
      <c r="H27" s="937">
        <f>SUM(H19:H26)</f>
        <v>3946.1400000000003</v>
      </c>
      <c r="I27" s="938">
        <f>SUM(I19:I26)</f>
        <v>10397.98</v>
      </c>
      <c r="J27" s="1737"/>
      <c r="K27" s="2223">
        <f t="shared" ref="K27:P27" si="10">SUM(K19:K26)</f>
        <v>10397.98</v>
      </c>
      <c r="L27" s="2224">
        <f t="shared" si="10"/>
        <v>0</v>
      </c>
      <c r="M27" s="2225">
        <f t="shared" si="10"/>
        <v>10397.98</v>
      </c>
      <c r="N27" s="2223">
        <f t="shared" si="10"/>
        <v>0</v>
      </c>
      <c r="O27" s="2224">
        <f t="shared" si="10"/>
        <v>0</v>
      </c>
      <c r="P27" s="2226">
        <f t="shared" si="10"/>
        <v>0</v>
      </c>
      <c r="R27" s="2022">
        <f>IF(SUM(R19:R26)=$D$3,SUM(R19:R26),SUM(R19:R26)&amp;"误差"&amp;ROUND(SUM(R19:R26)-$D$3,2))</f>
        <v>22454.65</v>
      </c>
      <c r="S27" s="266">
        <f>IF(SUM(S19:S26)=$E$3,SUM(S19:S26),SUM(S19:S26)&amp;"误差"&amp;ROUND(SUM(S19:S26)-E3,2))</f>
        <v>59167.44</v>
      </c>
    </row>
    <row r="28" spans="1:19">
      <c r="A28" s="133"/>
      <c r="B28" s="111" t="s">
        <v>192</v>
      </c>
      <c r="C28" s="131" t="s">
        <v>193</v>
      </c>
      <c r="D28" s="107">
        <f>ROUND($D$3*E28/$E$3,2)</f>
        <v>3946.14</v>
      </c>
      <c r="E28" s="130">
        <f>SUM(F28:G28)</f>
        <v>10397.98</v>
      </c>
      <c r="F28" s="137">
        <f>'数据-基础表'!BQ5+'数据-基础表'!BS5</f>
        <v>362.98</v>
      </c>
      <c r="G28" s="138">
        <f>'数据-基础表'!BR5+'数据-基础表'!BT5</f>
        <v>10035</v>
      </c>
      <c r="H28" s="2824"/>
      <c r="I28" s="2824"/>
      <c r="J28" s="2824"/>
      <c r="K28" s="2824"/>
      <c r="L28" s="2824"/>
      <c r="M28" s="2824"/>
      <c r="N28" s="2824"/>
      <c r="O28" s="2824"/>
      <c r="P28" s="2824"/>
    </row>
    <row r="29" spans="1:19">
      <c r="A29" s="133"/>
      <c r="B29" s="111" t="s">
        <v>192</v>
      </c>
      <c r="C29" s="2030" t="s">
        <v>1674</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180</v>
      </c>
      <c r="D30" s="130">
        <f>SUM(D28:D29)</f>
        <v>3946.14</v>
      </c>
      <c r="E30" s="130">
        <f>SUM(E28:E29)</f>
        <v>10397.98</v>
      </c>
      <c r="F30" s="130">
        <f>SUM(F28:F29)</f>
        <v>362.98</v>
      </c>
      <c r="G30" s="108">
        <f>SUM(G28:G29)</f>
        <v>10035</v>
      </c>
      <c r="H30" s="2824"/>
      <c r="I30" s="2824"/>
      <c r="J30" s="2824"/>
      <c r="K30" s="2824"/>
      <c r="L30" s="2824"/>
      <c r="M30" s="2824"/>
      <c r="N30" s="2824"/>
      <c r="O30" s="2824"/>
      <c r="P30" s="2824"/>
    </row>
    <row r="31" spans="1:19" ht="32.25" customHeight="1" thickBot="1">
      <c r="A31" s="1227"/>
      <c r="B31" s="1228" t="s">
        <v>194</v>
      </c>
      <c r="C31" s="2047" t="s">
        <v>1676</v>
      </c>
      <c r="D31" s="1229">
        <f>D27+D30</f>
        <v>22454.649999999998</v>
      </c>
      <c r="E31" s="1229">
        <f>E27+E30</f>
        <v>59167.44</v>
      </c>
      <c r="F31" s="1230">
        <f>F27+F30</f>
        <v>35927.440000000002</v>
      </c>
      <c r="G31" s="1231">
        <f>G27+G30</f>
        <v>23240</v>
      </c>
      <c r="H31" s="2824"/>
      <c r="I31" s="2824"/>
      <c r="J31" s="2824"/>
      <c r="K31" s="2824"/>
      <c r="L31" s="2824"/>
      <c r="M31" s="2824"/>
      <c r="N31" s="2824"/>
      <c r="O31" s="2824"/>
      <c r="P31" s="2824"/>
    </row>
    <row r="32" spans="1:19">
      <c r="A32" s="1737"/>
      <c r="B32" s="2059" t="s">
        <v>1675</v>
      </c>
      <c r="C32" s="2250"/>
      <c r="D32" s="1099"/>
      <c r="E32" s="1099">
        <f>SUMIF(C19:C26,"*住宅*",E19:E26)</f>
        <v>0</v>
      </c>
      <c r="F32" s="1099"/>
      <c r="G32" s="1099"/>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199</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200</v>
      </c>
      <c r="B2" s="2055">
        <f>项目基本情况!D3</f>
        <v>44942</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1678</v>
      </c>
      <c r="B5" s="149" t="s">
        <v>201</v>
      </c>
      <c r="C5" s="150" t="s">
        <v>202</v>
      </c>
      <c r="D5" s="151" t="s">
        <v>203</v>
      </c>
      <c r="E5" s="152" t="s">
        <v>204</v>
      </c>
      <c r="F5" s="153" t="s">
        <v>205</v>
      </c>
      <c r="G5" s="152" t="s">
        <v>206</v>
      </c>
      <c r="H5" s="152" t="s">
        <v>799</v>
      </c>
      <c r="I5" s="152" t="s">
        <v>800</v>
      </c>
      <c r="J5" s="154" t="s">
        <v>207</v>
      </c>
      <c r="K5" s="155" t="s">
        <v>208</v>
      </c>
      <c r="L5" s="156" t="s">
        <v>209</v>
      </c>
      <c r="M5" s="157" t="s">
        <v>210</v>
      </c>
      <c r="N5" s="1117" t="s">
        <v>3245</v>
      </c>
      <c r="O5" s="156" t="s">
        <v>211</v>
      </c>
      <c r="P5" s="158" t="s">
        <v>212</v>
      </c>
      <c r="Q5" s="159" t="s">
        <v>213</v>
      </c>
      <c r="R5" s="160" t="s">
        <v>214</v>
      </c>
      <c r="S5" s="2227" t="s">
        <v>1852</v>
      </c>
      <c r="T5" s="161" t="s">
        <v>215</v>
      </c>
      <c r="U5" s="162" t="s">
        <v>216</v>
      </c>
      <c r="V5" s="152" t="s">
        <v>217</v>
      </c>
      <c r="W5" s="152" t="s">
        <v>218</v>
      </c>
      <c r="X5" s="1603"/>
      <c r="Y5" s="163" t="s">
        <v>219</v>
      </c>
      <c r="Z5" s="164" t="s">
        <v>220</v>
      </c>
      <c r="AA5" s="152" t="s">
        <v>217</v>
      </c>
      <c r="AB5" s="152" t="s">
        <v>218</v>
      </c>
      <c r="AC5" s="1604"/>
      <c r="AD5" s="165" t="s">
        <v>219</v>
      </c>
      <c r="AE5" s="1" t="s">
        <v>807</v>
      </c>
      <c r="AF5" s="152" t="s">
        <v>221</v>
      </c>
      <c r="AG5" s="163" t="s">
        <v>222</v>
      </c>
      <c r="AH5" s="1604" t="s">
        <v>1677</v>
      </c>
      <c r="AI5" s="164" t="s">
        <v>1646</v>
      </c>
      <c r="AJ5" s="164" t="s">
        <v>223</v>
      </c>
      <c r="AK5" s="152" t="s">
        <v>224</v>
      </c>
      <c r="AL5" s="152" t="s">
        <v>225</v>
      </c>
      <c r="AM5" s="165" t="s">
        <v>226</v>
      </c>
      <c r="AN5" s="2081" t="s">
        <v>1724</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医院</v>
      </c>
      <c r="B6" s="2054" t="str">
        <f>IF(A6=0,"","经营性")</f>
        <v>经营性</v>
      </c>
      <c r="C6" s="166" t="s">
        <v>2735</v>
      </c>
      <c r="D6" s="2025">
        <f>SUMIF(项目基本情况!C$15:I$15,C6,项目基本情况!C$18:I$18)</f>
        <v>50</v>
      </c>
      <c r="E6" s="2026">
        <f>IF(B6="","",SUMIF(项目基本情况!C$15:I$15,C6,项目基本情况!C$17:I$17))</f>
        <v>57846</v>
      </c>
      <c r="F6" s="167">
        <f>SUMIF(项目基本情况!C$15:I$15,C6,项目基本情况!C$19:I$19)</f>
        <v>35.35</v>
      </c>
      <c r="G6" s="168">
        <f t="shared" ref="G6:G13" si="0">IF(ISERROR(ROUND(POWER(1+H6,D6-F6)*(POWER(1+H6,F6)-1)/(POWER(1+H6,D6)-1),3)),0,ROUND(POWER(1+H6,D6-F6)*(POWER(1+H6,F6)-1)/(POWER(1+H6,D6)-1),3))</f>
        <v>0.9</v>
      </c>
      <c r="H6" s="2497">
        <v>0.05</v>
      </c>
      <c r="I6" s="2497">
        <v>7.0000000000000007E-2</v>
      </c>
      <c r="J6" s="169">
        <v>7.0000000000000007E-2</v>
      </c>
      <c r="K6" s="172">
        <f>SUMIF('数据-汇总表'!C$19:C$33,'数据-取费表'!A6,'数据-汇总表'!E$19:E$33)</f>
        <v>43064.46</v>
      </c>
      <c r="L6" s="2498">
        <v>8000</v>
      </c>
      <c r="M6" s="170">
        <f t="shared" ref="M6:M14" si="1">ROUND(K6*L6/10000,0)</f>
        <v>34452</v>
      </c>
      <c r="N6" s="2499">
        <v>0</v>
      </c>
      <c r="O6" s="170">
        <f>IF($N$5="成新度","——",ROUND(M6*N6,0))</f>
        <v>0</v>
      </c>
      <c r="P6" s="171">
        <f>IF($N$5="成新度","——",M6-O6)</f>
        <v>34452</v>
      </c>
      <c r="Q6" s="2500">
        <v>0.12</v>
      </c>
      <c r="R6" s="172">
        <f>SUMIF('数据-汇总表'!C$19:C$33,A6,'数据-汇总表'!R$19:R$33)</f>
        <v>19827.93</v>
      </c>
      <c r="S6" s="128">
        <f>IF('数据-汇总表'!$I$17="按面积比例",SUMIF('数据-汇总表'!C$19:C$33,A6,'数据-汇总表'!K$19:K$33),SUMIF('数据-汇总表'!C$19:C$33,A6,'数据-汇总表'!N$19:N$33))</f>
        <v>9181.64</v>
      </c>
      <c r="T6" s="1951">
        <f>IF($T$4="按面积比例",IF(ISERROR(ROUND($M$14*S6/S$16,0)),"0",ROUND($M$14*S6/S$16,0)),"需自行计算录入")</f>
        <v>7345</v>
      </c>
      <c r="U6" s="173"/>
      <c r="V6" s="174"/>
      <c r="W6" s="174"/>
      <c r="X6" s="2038"/>
      <c r="Y6" s="175"/>
      <c r="Z6" s="176"/>
      <c r="AA6" s="169"/>
      <c r="AB6" s="169"/>
      <c r="AC6" s="2041"/>
      <c r="AD6" s="177"/>
      <c r="AE6" s="934">
        <f ca="1">IF(AN6="",0,SUMIF(INDIRECT("'"&amp;AN6&amp;"'"&amp;"!E:E"),$AE$5,INDIRECT("'"&amp;AN6&amp;"'"&amp;"!F:F")))</f>
        <v>0</v>
      </c>
      <c r="AF6" s="134"/>
      <c r="AG6" s="1111">
        <f>IF(AF6="",0,AE6-AF6)</f>
        <v>0</v>
      </c>
      <c r="AH6" s="134"/>
      <c r="AI6" s="180"/>
      <c r="AJ6" s="181"/>
      <c r="AK6" s="182"/>
      <c r="AL6" s="183"/>
      <c r="AM6" s="2509"/>
      <c r="AN6" s="2082"/>
      <c r="AO6" s="2834"/>
      <c r="AP6" s="1102">
        <f>ROUND(1-1/(1+H6)^F6,3)</f>
        <v>0.82199999999999995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车库</v>
      </c>
      <c r="B7" s="2054" t="str">
        <f t="shared" ref="B7:B13" si="2">IF(A7=0,"","经营性")</f>
        <v>经营性</v>
      </c>
      <c r="C7" s="166" t="s">
        <v>2738</v>
      </c>
      <c r="D7" s="2025">
        <f>SUMIF(项目基本情况!C$15:I$15,C7,项目基本情况!C$18:I$18)</f>
        <v>50</v>
      </c>
      <c r="E7" s="2026">
        <f>IF(B7="","",SUMIF(项目基本情况!C$15:I$15,C7,项目基本情况!C$17:I$17))</f>
        <v>57846</v>
      </c>
      <c r="F7" s="167">
        <f>SUMIF(项目基本情况!C$15:I$15,C7,项目基本情况!C$19:I$19)</f>
        <v>35.35</v>
      </c>
      <c r="G7" s="168">
        <f t="shared" si="0"/>
        <v>0.88700000000000001</v>
      </c>
      <c r="H7" s="2497">
        <v>4.4999999999999998E-2</v>
      </c>
      <c r="I7" s="2497">
        <v>0.05</v>
      </c>
      <c r="J7" s="169">
        <f>J6</f>
        <v>7.0000000000000007E-2</v>
      </c>
      <c r="K7" s="172">
        <f>SUMIF('数据-汇总表'!C$19:C$33,'数据-取费表'!A7,'数据-汇总表'!E$19:E$33)</f>
        <v>5705</v>
      </c>
      <c r="L7" s="2498">
        <f>L6</f>
        <v>8000</v>
      </c>
      <c r="M7" s="170">
        <f t="shared" si="1"/>
        <v>4564</v>
      </c>
      <c r="N7" s="2499">
        <f>N6</f>
        <v>0</v>
      </c>
      <c r="O7" s="170">
        <f t="shared" ref="O7:O14" si="3">IF($N$5="成新度","——",ROUND(M7*N7,0))</f>
        <v>0</v>
      </c>
      <c r="P7" s="171">
        <f t="shared" ref="P7:P14" si="4">IF($N$5="成新度","——",M7-O7)</f>
        <v>4564</v>
      </c>
      <c r="Q7" s="2500">
        <f>Q6</f>
        <v>0.12</v>
      </c>
      <c r="R7" s="172">
        <f>SUMIF('数据-汇总表'!C$19:C$33,A7,'数据-汇总表'!R$19:R$33)</f>
        <v>2626.7200000000003</v>
      </c>
      <c r="S7" s="128">
        <f>IF('数据-汇总表'!$I$17="按面积比例",SUMIF('数据-汇总表'!C$19:C$33,A7,'数据-汇总表'!K$19:K$33),SUMIF('数据-汇总表'!C$19:C$33,A7,'数据-汇总表'!N$19:N$33))</f>
        <v>1216.3399999999999</v>
      </c>
      <c r="T7" s="1951">
        <f t="shared" ref="T7:T13" si="5">IF($T$4="按面积比例",IF(ISERROR(ROUND($M$14*S7/S$16,0)),"0",ROUND($M$14*S7/S$16,0)),"需自行计算录入")</f>
        <v>973</v>
      </c>
      <c r="U7" s="173">
        <v>1500</v>
      </c>
      <c r="V7" s="174">
        <v>0.02</v>
      </c>
      <c r="W7" s="174">
        <v>0.1</v>
      </c>
      <c r="X7" s="2038"/>
      <c r="Y7" s="175">
        <v>1</v>
      </c>
      <c r="Z7" s="176"/>
      <c r="AA7" s="169"/>
      <c r="AB7" s="169"/>
      <c r="AC7" s="2041"/>
      <c r="AD7" s="177"/>
      <c r="AE7" s="934">
        <f t="shared" ref="AE7:AE13" ca="1" si="6">IF(AN7="",0,SUMIF(INDIRECT("'"&amp;AN7&amp;"'"&amp;"!E:E"),$AE$5,INDIRECT("'"&amp;AN7&amp;"'"&amp;"!F:F")))</f>
        <v>32.85</v>
      </c>
      <c r="AF7" s="134"/>
      <c r="AG7" s="1111">
        <f t="shared" ref="AG7:AG13" si="7">IF(AF7="",0,AE7-AF7)</f>
        <v>0</v>
      </c>
      <c r="AH7" s="134">
        <f>资料!B27</f>
        <v>277</v>
      </c>
      <c r="AI7" s="180">
        <v>12</v>
      </c>
      <c r="AJ7" s="181"/>
      <c r="AK7" s="182">
        <v>1.4999999999999999E-2</v>
      </c>
      <c r="AL7" s="183">
        <v>1.5E-3</v>
      </c>
      <c r="AM7" s="2509">
        <v>0.01</v>
      </c>
      <c r="AN7" s="2082" t="s">
        <v>3366</v>
      </c>
      <c r="AO7" s="2834"/>
      <c r="AP7" s="1102">
        <f t="shared" ref="AP7:AP13" si="8">ROUND(1-1/(1+H7)^F7,3)</f>
        <v>0.78900000000000003</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13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1668</v>
      </c>
      <c r="B14" s="2023" t="s">
        <v>1212</v>
      </c>
      <c r="C14" s="2024" t="s">
        <v>1668</v>
      </c>
      <c r="D14" s="2025"/>
      <c r="E14" s="2026"/>
      <c r="F14" s="167"/>
      <c r="G14" s="168"/>
      <c r="H14" s="2027"/>
      <c r="I14" s="2027"/>
      <c r="J14" s="2027"/>
      <c r="K14" s="172">
        <f>SUMIF('数据-汇总表'!C$19:C$33,'数据-取费表'!A14,'数据-汇总表'!E$19:E$33)</f>
        <v>10397.98</v>
      </c>
      <c r="L14" s="186">
        <f>L6</f>
        <v>8000</v>
      </c>
      <c r="M14" s="170">
        <f t="shared" si="1"/>
        <v>8318</v>
      </c>
      <c r="N14" s="187">
        <f>N6</f>
        <v>0</v>
      </c>
      <c r="O14" s="170">
        <f t="shared" si="3"/>
        <v>0</v>
      </c>
      <c r="P14" s="171">
        <f t="shared" si="4"/>
        <v>8318</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1670</v>
      </c>
      <c r="B15" s="2023" t="s">
        <v>1212</v>
      </c>
      <c r="C15" s="2024" t="s">
        <v>1669</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227</v>
      </c>
      <c r="B16" s="190"/>
      <c r="C16" s="191"/>
      <c r="D16" s="192"/>
      <c r="E16" s="190"/>
      <c r="F16" s="190"/>
      <c r="G16" s="193">
        <f>ROUND(SUMPRODUCT(G6:G13,K6:K13)/SUMPRODUCT((G6:G13&gt;0)*(K6:K13)),3)</f>
        <v>0.89800000000000002</v>
      </c>
      <c r="H16" s="194">
        <f>ROUND(SUMPRODUCT(H6:H13,K6:K13)/SUMPRODUCT((H6:H13&gt;0)*(K6:K13)),3)</f>
        <v>4.9000000000000002E-2</v>
      </c>
      <c r="I16" s="195"/>
      <c r="J16" s="195"/>
      <c r="K16" s="196">
        <f>SUM(K6:K15)</f>
        <v>59167.44</v>
      </c>
      <c r="L16" s="197">
        <f>ROUND(M16*10000/SUM(K6:K14),0)</f>
        <v>8000</v>
      </c>
      <c r="M16" s="197">
        <f>SUM(M6:M14)</f>
        <v>47334</v>
      </c>
      <c r="N16" s="198">
        <f>ROUND(SUMPRODUCT(M6:M14,N6:N14)/M16,3)</f>
        <v>0</v>
      </c>
      <c r="O16" s="197">
        <f>SUM(O6:O14)</f>
        <v>0</v>
      </c>
      <c r="P16" s="197">
        <f>SUM(P6:P14)</f>
        <v>47334</v>
      </c>
      <c r="Q16" s="199">
        <f>ROUND(SUMPRODUCT(Q6:Q13,K6:K13)/SUMPRODUCT((Q6:Q13&gt;0)*(K6:K13)),2)</f>
        <v>0.12</v>
      </c>
      <c r="R16" s="2028">
        <f>SUM(R6:R13)</f>
        <v>22454.65</v>
      </c>
      <c r="S16" s="200">
        <f>SUM(S6:S13)</f>
        <v>10397.98</v>
      </c>
      <c r="T16" s="201">
        <f>IF(SUMIF(T6:T13,"&lt;9E307")=M14,SUMIF(T6:T13,"&lt;9E307"),"有误，请检查")</f>
        <v>8318</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0.81799999999999995</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t="s">
        <v>3391</v>
      </c>
      <c r="V17" s="3703" t="s">
        <v>3392</v>
      </c>
      <c r="W17" s="3703" t="s">
        <v>3393</v>
      </c>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228</v>
      </c>
      <c r="B18" s="2834"/>
      <c r="C18" s="2834"/>
      <c r="D18" s="2835"/>
      <c r="E18" s="2834"/>
      <c r="F18" s="2834"/>
      <c r="G18" s="2834"/>
      <c r="H18" s="2834"/>
      <c r="I18" s="2834"/>
      <c r="J18" s="2834"/>
      <c r="K18" s="2833"/>
      <c r="L18" s="2833">
        <f>资料!B36</f>
        <v>51900</v>
      </c>
      <c r="M18" s="2831"/>
      <c r="N18" s="2831"/>
      <c r="O18" s="2831"/>
      <c r="P18" s="2831"/>
      <c r="Q18" s="2831"/>
      <c r="R18" s="2831"/>
      <c r="S18" s="2831"/>
      <c r="T18" s="3703" t="s">
        <v>3390</v>
      </c>
      <c r="U18" s="2831">
        <v>6</v>
      </c>
      <c r="V18" s="2831">
        <v>8</v>
      </c>
      <c r="W18" s="2831">
        <v>30</v>
      </c>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229</v>
      </c>
      <c r="B19" s="209">
        <v>0</v>
      </c>
      <c r="C19" s="2846" t="s">
        <v>2272</v>
      </c>
      <c r="D19" s="2835"/>
      <c r="E19" s="2834"/>
      <c r="F19" s="2834"/>
      <c r="G19" s="2834"/>
      <c r="H19" s="2834"/>
      <c r="I19" s="2834"/>
      <c r="J19" s="2834"/>
      <c r="K19" s="2833"/>
      <c r="L19" s="2833">
        <f>L18*10000/K16</f>
        <v>8771.7163358766229</v>
      </c>
      <c r="M19" s="2831"/>
      <c r="N19" s="2831"/>
      <c r="O19" s="2831"/>
      <c r="P19" s="2831"/>
      <c r="Q19" s="2831"/>
      <c r="R19" s="2831"/>
      <c r="S19" s="2831"/>
      <c r="T19" s="3703" t="s">
        <v>3388</v>
      </c>
      <c r="U19" s="2831">
        <f>ROUND(U18*V18*W18,0)</f>
        <v>1440</v>
      </c>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230</v>
      </c>
      <c r="B20" s="211">
        <v>2.5</v>
      </c>
      <c r="C20" s="2846" t="s">
        <v>1689</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231</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232</v>
      </c>
      <c r="B22" s="213">
        <f>B19+B20</f>
        <v>2.5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233</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234</v>
      </c>
      <c r="B24" s="215">
        <f>B20-B21</f>
        <v>2.5</v>
      </c>
      <c r="C24" s="2834"/>
      <c r="D24" s="2835"/>
      <c r="E24" s="2834"/>
      <c r="F24" s="2834"/>
      <c r="G24" s="2834"/>
      <c r="H24" s="2834"/>
      <c r="I24" s="2834"/>
      <c r="J24" s="2834"/>
      <c r="K24" s="2833"/>
      <c r="L24" s="2833" t="s">
        <v>3395</v>
      </c>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235</v>
      </c>
      <c r="B26" s="216" t="s">
        <v>236</v>
      </c>
      <c r="C26" s="2836" t="s">
        <v>237</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1691</v>
      </c>
      <c r="B27" s="218">
        <v>160</v>
      </c>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1692</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1690</v>
      </c>
      <c r="B29" s="223"/>
      <c r="C29" s="2848" t="s">
        <v>1693</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238</v>
      </c>
      <c r="B30" s="940">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239</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240</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243</v>
      </c>
      <c r="B33" s="1236">
        <v>0.08</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244</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241</v>
      </c>
      <c r="B35" s="220">
        <f>B30</f>
        <v>200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242</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245</v>
      </c>
      <c r="B37" s="227">
        <v>0.03</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246</v>
      </c>
      <c r="B38" s="224">
        <v>0.03</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1798</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3370</v>
      </c>
      <c r="B40" s="2128">
        <f ca="1">IF(A40="利息：取LPR",存贷款利率!E2,存贷款利率!E2+C40)</f>
        <v>4.1499999999999995E-2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247</v>
      </c>
      <c r="B41" s="229">
        <f>B42+B43</f>
        <v>0</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248</v>
      </c>
      <c r="B42" s="231">
        <v>0</v>
      </c>
      <c r="C42" s="2851">
        <f>IF(B2&lt;DATE(2016,5,1),0,B42)</f>
        <v>0</v>
      </c>
      <c r="D42" s="3701" t="s">
        <v>3371</v>
      </c>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249</v>
      </c>
      <c r="B43" s="232">
        <f>B42*(B44+B45+B46)+B47</f>
        <v>0</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250</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251</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252</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253</v>
      </c>
      <c r="B47" s="235">
        <v>0</v>
      </c>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254</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255</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256</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257</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258</v>
      </c>
      <c r="B52" s="241">
        <f>SUMIF(A54:A63,B53,B54:B63)</f>
        <v>3</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259</v>
      </c>
      <c r="B53" s="242" t="s">
        <v>1151</v>
      </c>
      <c r="C53" s="2842" t="s">
        <v>2163</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2164</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2165</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2166</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2167</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2168</v>
      </c>
      <c r="B58" s="179">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2169</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2170</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2171</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2172</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2173</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91" t="s">
        <v>1197</v>
      </c>
      <c r="B1" s="3792"/>
      <c r="C1" s="3792"/>
      <c r="D1" s="3792"/>
      <c r="E1" s="3792"/>
      <c r="F1" s="3792"/>
      <c r="G1" s="3792"/>
      <c r="H1" s="2854"/>
      <c r="I1" s="2855"/>
      <c r="J1" s="2856"/>
      <c r="K1" s="2854"/>
      <c r="L1" s="2855"/>
      <c r="M1" s="2856"/>
      <c r="N1" s="2854"/>
      <c r="O1" s="2855"/>
      <c r="P1" s="2856"/>
      <c r="Q1" s="2857"/>
      <c r="R1" s="2858"/>
    </row>
    <row r="2" spans="1:18" ht="14.25" thickBot="1">
      <c r="A2" s="2860"/>
      <c r="B2" s="2861"/>
      <c r="C2" s="2862" t="s">
        <v>1198</v>
      </c>
      <c r="D2" s="2863"/>
      <c r="E2" s="2860"/>
      <c r="F2" s="2864"/>
      <c r="G2" s="2862" t="s">
        <v>1199</v>
      </c>
      <c r="H2" s="2865"/>
      <c r="I2" s="2865"/>
      <c r="J2" s="2865"/>
      <c r="K2" s="2865"/>
      <c r="L2" s="2865"/>
      <c r="M2" s="2865"/>
      <c r="N2" s="2865"/>
      <c r="O2" s="2865"/>
      <c r="P2" s="2865"/>
      <c r="Q2" s="2865"/>
      <c r="R2" s="2865"/>
    </row>
    <row r="3" spans="1:18" ht="40.5">
      <c r="A3" s="2866" t="s">
        <v>1200</v>
      </c>
      <c r="B3" s="2867" t="s">
        <v>1187</v>
      </c>
      <c r="C3" s="2868" t="s">
        <v>2180</v>
      </c>
      <c r="D3" s="2869"/>
      <c r="E3" s="2870" t="s">
        <v>1200</v>
      </c>
      <c r="F3" s="2871" t="s">
        <v>1188</v>
      </c>
      <c r="G3" s="2872" t="s">
        <v>2179</v>
      </c>
      <c r="H3" s="2865"/>
      <c r="I3" s="2865"/>
      <c r="J3" s="2865"/>
      <c r="K3" s="2865"/>
      <c r="L3" s="2865"/>
      <c r="M3" s="2865"/>
      <c r="N3" s="2865"/>
      <c r="O3" s="2865"/>
      <c r="P3" s="2865"/>
      <c r="Q3" s="2865"/>
      <c r="R3" s="2865"/>
    </row>
    <row r="4" spans="1:18" ht="40.5">
      <c r="A4" s="2870"/>
      <c r="B4" s="2873" t="s">
        <v>1201</v>
      </c>
      <c r="C4" s="2874" t="s">
        <v>2181</v>
      </c>
      <c r="D4" s="2869"/>
      <c r="E4" s="2875"/>
      <c r="F4" s="2876" t="s">
        <v>1202</v>
      </c>
      <c r="G4" s="2877" t="s">
        <v>2176</v>
      </c>
      <c r="H4" s="2865"/>
      <c r="I4" s="2865"/>
      <c r="J4" s="2865"/>
      <c r="K4" s="2865"/>
      <c r="L4" s="2865"/>
      <c r="M4" s="2865"/>
      <c r="N4" s="2865"/>
      <c r="O4" s="2865"/>
      <c r="P4" s="2865"/>
      <c r="Q4" s="2865"/>
      <c r="R4" s="2865"/>
    </row>
    <row r="5" spans="1:18" ht="41.25">
      <c r="A5" s="2870"/>
      <c r="B5" s="2873" t="s">
        <v>1203</v>
      </c>
      <c r="C5" s="2874" t="s">
        <v>2182</v>
      </c>
      <c r="D5" s="2869"/>
      <c r="E5" s="2875"/>
      <c r="F5" s="2873" t="s">
        <v>1826</v>
      </c>
      <c r="G5" s="2877" t="s">
        <v>2177</v>
      </c>
      <c r="H5" s="2865"/>
      <c r="I5" s="2865"/>
      <c r="J5" s="2865"/>
      <c r="K5" s="2865"/>
      <c r="L5" s="2865"/>
      <c r="M5" s="2865"/>
      <c r="N5" s="2865"/>
      <c r="O5" s="2865"/>
      <c r="P5" s="2865"/>
      <c r="Q5" s="2865"/>
      <c r="R5" s="2865"/>
    </row>
    <row r="6" spans="1:18" ht="40.5">
      <c r="A6" s="2870"/>
      <c r="B6" s="2873" t="s">
        <v>1189</v>
      </c>
      <c r="C6" s="2877" t="s">
        <v>2176</v>
      </c>
      <c r="D6" s="2869"/>
      <c r="E6" s="2875"/>
      <c r="F6" s="2873" t="s">
        <v>1827</v>
      </c>
      <c r="G6" s="2877" t="s">
        <v>2174</v>
      </c>
      <c r="H6" s="2865"/>
      <c r="I6" s="2865"/>
      <c r="J6" s="2865"/>
      <c r="K6" s="2865"/>
      <c r="L6" s="2865"/>
      <c r="M6" s="2865"/>
      <c r="N6" s="2865"/>
      <c r="O6" s="2865"/>
      <c r="P6" s="2865"/>
      <c r="Q6" s="2865"/>
      <c r="R6" s="2865"/>
    </row>
    <row r="7" spans="1:18" ht="27.75" thickBot="1">
      <c r="A7" s="2870"/>
      <c r="B7" s="2873" t="s">
        <v>1826</v>
      </c>
      <c r="C7" s="2877" t="s">
        <v>2177</v>
      </c>
      <c r="D7" s="2878"/>
      <c r="E7" s="2879"/>
      <c r="F7" s="2880" t="s">
        <v>1204</v>
      </c>
      <c r="G7" s="2881" t="s">
        <v>2178</v>
      </c>
      <c r="H7" s="2865"/>
      <c r="I7" s="2865"/>
      <c r="J7" s="2865"/>
      <c r="K7" s="2865"/>
      <c r="L7" s="2865"/>
      <c r="M7" s="2865"/>
      <c r="N7" s="2865"/>
      <c r="O7" s="2865"/>
      <c r="P7" s="2865"/>
      <c r="Q7" s="2865"/>
      <c r="R7" s="2865"/>
    </row>
    <row r="8" spans="1:18">
      <c r="A8" s="2870"/>
      <c r="B8" s="2873" t="s">
        <v>1827</v>
      </c>
      <c r="C8" s="2877" t="s">
        <v>2174</v>
      </c>
      <c r="D8" s="2878"/>
      <c r="E8" s="2878"/>
      <c r="F8" s="2882"/>
      <c r="G8" s="2882"/>
      <c r="H8" s="2865"/>
      <c r="I8" s="2865"/>
      <c r="J8" s="2865"/>
      <c r="K8" s="2865"/>
      <c r="L8" s="2865"/>
      <c r="M8" s="2865"/>
      <c r="N8" s="2865"/>
      <c r="O8" s="2865"/>
      <c r="P8" s="2865"/>
      <c r="Q8" s="2865"/>
      <c r="R8" s="2865"/>
    </row>
    <row r="9" spans="1:18" ht="27">
      <c r="A9" s="2870"/>
      <c r="B9" s="2873" t="s">
        <v>1190</v>
      </c>
      <c r="C9" s="2874" t="s">
        <v>2175</v>
      </c>
      <c r="D9" s="2869"/>
      <c r="E9" s="2878"/>
      <c r="F9" s="2882"/>
      <c r="G9" s="2882"/>
      <c r="H9" s="2865"/>
      <c r="I9" s="2865"/>
      <c r="J9" s="2865"/>
      <c r="K9" s="2865"/>
      <c r="L9" s="2865"/>
      <c r="M9" s="2865"/>
      <c r="N9" s="2865"/>
      <c r="O9" s="2865"/>
      <c r="P9" s="2865"/>
      <c r="Q9" s="2865"/>
      <c r="R9" s="2865"/>
    </row>
    <row r="10" spans="1:18" s="2889" customFormat="1" ht="15" thickBot="1">
      <c r="A10" s="2883"/>
      <c r="B10" s="2884" t="s">
        <v>1205</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1206</v>
      </c>
      <c r="B13" s="2892"/>
      <c r="C13" s="2892"/>
      <c r="D13" s="2863"/>
      <c r="E13" s="2892"/>
      <c r="F13" s="2892"/>
      <c r="G13" s="2892"/>
    </row>
    <row r="14" spans="1:18" ht="14.25" thickBot="1">
      <c r="A14" s="2904"/>
      <c r="B14" s="2904"/>
      <c r="C14" s="2905" t="s">
        <v>1198</v>
      </c>
      <c r="D14" s="2869"/>
      <c r="E14" s="2906"/>
      <c r="F14" s="2906"/>
      <c r="G14" s="2862" t="s">
        <v>1199</v>
      </c>
    </row>
    <row r="15" spans="1:18" ht="40.5">
      <c r="A15" s="2907" t="s">
        <v>1191</v>
      </c>
      <c r="B15" s="2908" t="s">
        <v>1187</v>
      </c>
      <c r="C15" s="2909" t="str">
        <f>C3</f>
        <v>估价对象周边居住用地比例、居住小区规模和社区发展完善程度，综合评价居住社区成熟度一般</v>
      </c>
      <c r="D15" s="2869"/>
      <c r="E15" s="2910" t="s">
        <v>1192</v>
      </c>
      <c r="F15" s="2908" t="s">
        <v>1207</v>
      </c>
      <c r="G15" s="2911" t="str">
        <f>G3</f>
        <v>估价对象位于XX开发区，园区建设成熟度XX，产业集聚程度XX</v>
      </c>
    </row>
    <row r="16" spans="1:18" ht="40.5">
      <c r="A16" s="2912"/>
      <c r="B16" s="2913" t="s">
        <v>1201</v>
      </c>
      <c r="C16" s="2914" t="str">
        <f>C4</f>
        <v>估价对象位于XX商圈，周边商业氛围成熟，人流量大，商业繁华度好</v>
      </c>
      <c r="D16" s="2869"/>
      <c r="E16" s="2915"/>
      <c r="F16" s="2916" t="s">
        <v>1202</v>
      </c>
      <c r="G16" s="2917" t="str">
        <f>G4</f>
        <v>估价对象周边道路状况、公共交通通达情况、停车便捷程度，综合评价交通便捷度较好</v>
      </c>
    </row>
    <row r="17" spans="1:7" ht="40.5">
      <c r="A17" s="2912"/>
      <c r="B17" s="2913" t="s">
        <v>1203</v>
      </c>
      <c r="C17" s="2914" t="str">
        <f>C5</f>
        <v>估价对象位于XX商圈，周边办公楼项目较多，入驻率高，办公集聚程度较好</v>
      </c>
      <c r="D17" s="2878"/>
      <c r="E17" s="2915"/>
      <c r="F17" s="2916" t="s">
        <v>1208</v>
      </c>
      <c r="G17" s="2918"/>
    </row>
    <row r="18" spans="1:7" ht="40.5">
      <c r="A18" s="2912"/>
      <c r="B18" s="2916" t="s">
        <v>1189</v>
      </c>
      <c r="C18" s="2917" t="str">
        <f>C6</f>
        <v>估价对象周边道路状况、公共交通通达情况、停车便捷程度，综合评价交通便捷度较好</v>
      </c>
      <c r="D18" s="2878"/>
      <c r="E18" s="2915"/>
      <c r="F18" s="2916" t="s">
        <v>1204</v>
      </c>
      <c r="G18" s="2917" t="str">
        <f>G7</f>
        <v>该园区内是否有污染型企业，绿化情况，卫生条件，整体环境状况判断</v>
      </c>
    </row>
    <row r="19" spans="1:7" ht="27">
      <c r="A19" s="2912"/>
      <c r="B19" s="2916" t="s">
        <v>1193</v>
      </c>
      <c r="C19" s="2918"/>
      <c r="D19" s="2869"/>
      <c r="E19" s="2915"/>
      <c r="F19" s="2873" t="s">
        <v>1826</v>
      </c>
      <c r="G19" s="2917" t="str">
        <f>G5</f>
        <v>估价对象所在区域公共配套设施齐备情况</v>
      </c>
    </row>
    <row r="20" spans="1:7" ht="27">
      <c r="A20" s="2912"/>
      <c r="B20" s="2916" t="s">
        <v>1194</v>
      </c>
      <c r="C20" s="2914" t="str">
        <f>C9</f>
        <v>区域自然环境：；人文环境；综合评价环境状况一般</v>
      </c>
      <c r="D20" s="2878"/>
      <c r="E20" s="2915"/>
      <c r="F20" s="2873" t="s">
        <v>1827</v>
      </c>
      <c r="G20" s="2917" t="str">
        <f>G6</f>
        <v>估价对象所在区域基础设施水平</v>
      </c>
    </row>
    <row r="21" spans="1:7" ht="27">
      <c r="A21" s="2912"/>
      <c r="B21" s="2873" t="s">
        <v>1826</v>
      </c>
      <c r="C21" s="2917" t="str">
        <f>C7</f>
        <v>估价对象所在区域公共配套设施齐备情况</v>
      </c>
      <c r="D21" s="2869"/>
      <c r="E21" s="2915"/>
      <c r="F21" s="2916" t="s">
        <v>1195</v>
      </c>
      <c r="G21" s="2919"/>
    </row>
    <row r="22" spans="1:7" ht="14.25">
      <c r="A22" s="2912"/>
      <c r="B22" s="2873" t="s">
        <v>1827</v>
      </c>
      <c r="C22" s="2917" t="str">
        <f>C8</f>
        <v>估价对象所在区域基础设施水平</v>
      </c>
      <c r="D22" s="2869"/>
      <c r="E22" s="2915"/>
      <c r="F22" s="2916" t="s">
        <v>1205</v>
      </c>
      <c r="G22" s="2918"/>
    </row>
    <row r="23" spans="1:7" ht="15" thickBot="1">
      <c r="A23" s="2912"/>
      <c r="B23" s="2916" t="s">
        <v>1195</v>
      </c>
      <c r="C23" s="2919"/>
      <c r="E23" s="2920"/>
      <c r="F23" s="2921" t="s">
        <v>1209</v>
      </c>
      <c r="G23" s="2922"/>
    </row>
    <row r="24" spans="1:7" ht="14.25" thickBot="1">
      <c r="A24" s="2923"/>
      <c r="B24" s="2921" t="s">
        <v>1196</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38" sqref="H38"/>
    </sheetView>
  </sheetViews>
  <sheetFormatPr defaultColWidth="14.625" defaultRowHeight="13.5"/>
  <cols>
    <col min="1" max="1" width="24.375" style="2928" customWidth="1"/>
    <col min="2" max="16384" width="14.625" style="2928"/>
  </cols>
  <sheetData>
    <row r="1" spans="1:10" ht="16.5">
      <c r="A1" s="2927" t="s">
        <v>2115</v>
      </c>
      <c r="B1" s="2927">
        <f>SUM(B14:B23)</f>
        <v>59167.44</v>
      </c>
      <c r="C1" s="2936"/>
      <c r="D1" s="2936"/>
      <c r="E1" s="2936"/>
      <c r="F1" s="2936"/>
      <c r="G1" s="2937"/>
      <c r="H1" s="2937"/>
      <c r="I1" s="2937"/>
      <c r="J1" s="2937"/>
    </row>
    <row r="2" spans="1:10" ht="16.5">
      <c r="A2" s="2927" t="s">
        <v>2116</v>
      </c>
      <c r="B2" s="2927">
        <f>SUM(C14:C23)</f>
        <v>22454.65</v>
      </c>
      <c r="C2" s="2936"/>
      <c r="D2" s="2936"/>
      <c r="E2" s="2936"/>
      <c r="F2" s="2936"/>
      <c r="G2" s="2937"/>
      <c r="H2" s="2937"/>
      <c r="I2" s="2937"/>
      <c r="J2" s="2937"/>
    </row>
    <row r="3" spans="1:10" ht="16.5">
      <c r="A3" s="2927" t="s">
        <v>2117</v>
      </c>
      <c r="B3" s="2929">
        <f>项目基本情况!D3</f>
        <v>44942</v>
      </c>
      <c r="C3" s="2936"/>
      <c r="D3" s="2936"/>
      <c r="E3" s="2936"/>
      <c r="F3" s="2936"/>
      <c r="G3" s="2937"/>
      <c r="H3" s="2937"/>
      <c r="I3" s="2937"/>
      <c r="J3" s="2937"/>
    </row>
    <row r="4" spans="1:10" ht="33">
      <c r="A4" s="2927" t="s">
        <v>2118</v>
      </c>
      <c r="B4" s="2927" t="s">
        <v>2119</v>
      </c>
      <c r="C4" s="2927" t="s">
        <v>2120</v>
      </c>
      <c r="D4" s="2927" t="s">
        <v>2121</v>
      </c>
      <c r="E4" s="2936"/>
      <c r="F4" s="2936"/>
      <c r="G4" s="2937"/>
      <c r="H4" s="2937"/>
      <c r="I4" s="2937"/>
      <c r="J4" s="2937"/>
    </row>
    <row r="5" spans="1:10" ht="16.5">
      <c r="A5" s="2927" t="s">
        <v>2122</v>
      </c>
      <c r="B5" s="2927">
        <f ca="1">SUM(D14:D23)</f>
        <v>39171</v>
      </c>
      <c r="C5" s="2927">
        <f ca="1">ROUND(B5*10000/$B$1,0)</f>
        <v>6620</v>
      </c>
      <c r="D5" s="2927">
        <f ca="1">ROUND(B5*10000/$B$2,0)</f>
        <v>17444</v>
      </c>
      <c r="E5" s="2936"/>
      <c r="F5" s="2936"/>
      <c r="G5" s="2937"/>
      <c r="H5" s="2937"/>
      <c r="I5" s="2937"/>
      <c r="J5" s="2937"/>
    </row>
    <row r="6" spans="1:10" ht="16.5">
      <c r="A6" s="2927" t="s">
        <v>2123</v>
      </c>
      <c r="B6" s="2927">
        <f ca="1">SUM(G14:G23)</f>
        <v>39171</v>
      </c>
      <c r="C6" s="2927">
        <f ca="1">ROUND(B6*10000/$B$1,0)</f>
        <v>6620</v>
      </c>
      <c r="D6" s="2927">
        <f ca="1">ROUND(B6*10000/$B$2,0)</f>
        <v>17444</v>
      </c>
      <c r="E6" s="2936"/>
      <c r="F6" s="2936"/>
      <c r="G6" s="2937"/>
      <c r="H6" s="2937"/>
      <c r="I6" s="2937"/>
      <c r="J6" s="2937"/>
    </row>
    <row r="7" spans="1:10" ht="16.5">
      <c r="A7" s="2927" t="s">
        <v>2124</v>
      </c>
      <c r="B7" s="2927">
        <f>SUM(H14:H23)</f>
        <v>0</v>
      </c>
      <c r="C7" s="2927">
        <f>ROUND(B7*10000/$B$1,0)</f>
        <v>0</v>
      </c>
      <c r="D7" s="2927">
        <f>ROUND(B7*10000/$B$2,0)</f>
        <v>0</v>
      </c>
      <c r="E7" s="2936"/>
      <c r="F7" s="2936"/>
      <c r="G7" s="2937"/>
      <c r="H7" s="2937"/>
      <c r="I7" s="2937"/>
      <c r="J7" s="2937"/>
    </row>
    <row r="8" spans="1:10" ht="16.5">
      <c r="A8" s="2927" t="s">
        <v>2125</v>
      </c>
      <c r="B8" s="2927">
        <f>SUM(I14:I23)</f>
        <v>0</v>
      </c>
      <c r="C8" s="2927">
        <f>ROUND(B8*10000/$B$1,0)</f>
        <v>0</v>
      </c>
      <c r="D8" s="2927">
        <f>ROUND(B8*10000/$B$2,0)</f>
        <v>0</v>
      </c>
      <c r="E8" s="2936"/>
      <c r="F8" s="2936"/>
      <c r="G8" s="2937"/>
      <c r="H8" s="2937"/>
      <c r="I8" s="2937"/>
      <c r="J8" s="2937"/>
    </row>
    <row r="9" spans="1:10" ht="16.5">
      <c r="A9" s="2927" t="s">
        <v>2126</v>
      </c>
      <c r="B9" s="2935"/>
      <c r="C9" s="2936"/>
      <c r="D9" s="2936"/>
      <c r="E9" s="2936"/>
      <c r="F9" s="2936"/>
      <c r="G9" s="2937"/>
      <c r="H9" s="2937"/>
      <c r="I9" s="2937"/>
      <c r="J9" s="2937"/>
    </row>
    <row r="10" spans="1:10" ht="16.5">
      <c r="A10" s="2927" t="s">
        <v>2127</v>
      </c>
      <c r="B10" s="2935"/>
      <c r="C10" s="2936"/>
      <c r="D10" s="2936"/>
      <c r="E10" s="2936"/>
      <c r="F10" s="2936"/>
      <c r="G10" s="2937"/>
      <c r="H10" s="2937"/>
      <c r="I10" s="2937"/>
      <c r="J10" s="2937"/>
    </row>
    <row r="11" spans="1:10" ht="16.5">
      <c r="A11" s="2927" t="s">
        <v>2144</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2143</v>
      </c>
      <c r="B13" s="2931" t="s">
        <v>2115</v>
      </c>
      <c r="C13" s="2931" t="s">
        <v>2116</v>
      </c>
      <c r="D13" s="2931" t="s">
        <v>2128</v>
      </c>
      <c r="E13" s="2927" t="s">
        <v>2142</v>
      </c>
      <c r="F13" s="2927" t="s">
        <v>2121</v>
      </c>
      <c r="G13" s="2931" t="s">
        <v>2129</v>
      </c>
      <c r="H13" s="2931" t="s">
        <v>2130</v>
      </c>
      <c r="I13" s="2931" t="s">
        <v>2131</v>
      </c>
      <c r="J13" s="2937"/>
    </row>
    <row r="14" spans="1:10" ht="16.5">
      <c r="A14" s="2932" t="s">
        <v>2141</v>
      </c>
      <c r="B14" s="2933">
        <f>结果表!L38</f>
        <v>59167.44</v>
      </c>
      <c r="C14" s="2933">
        <f>结果表!K38</f>
        <v>22454.65</v>
      </c>
      <c r="D14" s="2933">
        <f ca="1">结果表!O38</f>
        <v>39171</v>
      </c>
      <c r="E14" s="2933">
        <f ca="1">ROUND(D14*10000/B14,0)</f>
        <v>6620</v>
      </c>
      <c r="F14" s="2933">
        <f ca="1">ROUND(D14*10000/C14,0)</f>
        <v>17444</v>
      </c>
      <c r="G14" s="2933">
        <f ca="1">结果表!O39</f>
        <v>39171</v>
      </c>
      <c r="H14" s="2933"/>
      <c r="I14" s="2933"/>
      <c r="J14" s="2937"/>
    </row>
    <row r="15" spans="1:10" ht="16.5">
      <c r="A15" s="2932" t="s">
        <v>2132</v>
      </c>
      <c r="B15" s="2934"/>
      <c r="C15" s="2934"/>
      <c r="D15" s="2934"/>
      <c r="E15" s="2933" t="e">
        <f t="shared" ref="E15:E23" si="0">ROUND(D15*10000/B15,0)</f>
        <v>#DIV/0!</v>
      </c>
      <c r="F15" s="2933" t="e">
        <f t="shared" ref="F15:F23" si="1">ROUND(D15*10000/C15,0)</f>
        <v>#DIV/0!</v>
      </c>
      <c r="G15" s="2513"/>
      <c r="H15" s="2513"/>
      <c r="I15" s="2934"/>
      <c r="J15" s="2937"/>
    </row>
    <row r="16" spans="1:10" ht="16.5">
      <c r="A16" s="2932" t="s">
        <v>2133</v>
      </c>
      <c r="B16" s="2934"/>
      <c r="C16" s="2934"/>
      <c r="D16" s="2934"/>
      <c r="E16" s="2933" t="e">
        <f t="shared" si="0"/>
        <v>#DIV/0!</v>
      </c>
      <c r="F16" s="2933" t="e">
        <f t="shared" si="1"/>
        <v>#DIV/0!</v>
      </c>
      <c r="G16" s="2513"/>
      <c r="H16" s="2513"/>
      <c r="I16" s="2934"/>
      <c r="J16" s="2937"/>
    </row>
    <row r="17" spans="1:10" ht="16.5">
      <c r="A17" s="2932" t="s">
        <v>2134</v>
      </c>
      <c r="B17" s="2934"/>
      <c r="C17" s="2934"/>
      <c r="D17" s="2934"/>
      <c r="E17" s="2933" t="e">
        <f t="shared" si="0"/>
        <v>#DIV/0!</v>
      </c>
      <c r="F17" s="2933" t="e">
        <f t="shared" si="1"/>
        <v>#DIV/0!</v>
      </c>
      <c r="G17" s="2513"/>
      <c r="H17" s="2513"/>
      <c r="I17" s="2934"/>
      <c r="J17" s="2937"/>
    </row>
    <row r="18" spans="1:10" ht="16.5">
      <c r="A18" s="2932" t="s">
        <v>2135</v>
      </c>
      <c r="B18" s="2934"/>
      <c r="C18" s="2934"/>
      <c r="D18" s="2934"/>
      <c r="E18" s="2933" t="e">
        <f t="shared" si="0"/>
        <v>#DIV/0!</v>
      </c>
      <c r="F18" s="2933" t="e">
        <f t="shared" si="1"/>
        <v>#DIV/0!</v>
      </c>
      <c r="G18" s="2934"/>
      <c r="H18" s="2934"/>
      <c r="I18" s="2934"/>
      <c r="J18" s="2937"/>
    </row>
    <row r="19" spans="1:10" ht="16.5">
      <c r="A19" s="2932" t="s">
        <v>2136</v>
      </c>
      <c r="B19" s="2934"/>
      <c r="C19" s="2934"/>
      <c r="D19" s="2934"/>
      <c r="E19" s="2933" t="e">
        <f t="shared" si="0"/>
        <v>#DIV/0!</v>
      </c>
      <c r="F19" s="2933" t="e">
        <f t="shared" si="1"/>
        <v>#DIV/0!</v>
      </c>
      <c r="G19" s="2934"/>
      <c r="H19" s="2934"/>
      <c r="I19" s="2934"/>
      <c r="J19" s="2937"/>
    </row>
    <row r="20" spans="1:10" ht="16.5">
      <c r="A20" s="2932" t="s">
        <v>2137</v>
      </c>
      <c r="B20" s="2934"/>
      <c r="C20" s="2934"/>
      <c r="D20" s="2934"/>
      <c r="E20" s="2933" t="e">
        <f t="shared" si="0"/>
        <v>#DIV/0!</v>
      </c>
      <c r="F20" s="2933" t="e">
        <f t="shared" si="1"/>
        <v>#DIV/0!</v>
      </c>
      <c r="G20" s="2934"/>
      <c r="H20" s="2934"/>
      <c r="I20" s="2934"/>
      <c r="J20" s="2937"/>
    </row>
    <row r="21" spans="1:10" ht="16.5">
      <c r="A21" s="2932" t="s">
        <v>2138</v>
      </c>
      <c r="B21" s="2934"/>
      <c r="C21" s="2934"/>
      <c r="D21" s="2934"/>
      <c r="E21" s="2933" t="e">
        <f t="shared" si="0"/>
        <v>#DIV/0!</v>
      </c>
      <c r="F21" s="2933" t="e">
        <f t="shared" si="1"/>
        <v>#DIV/0!</v>
      </c>
      <c r="G21" s="2934"/>
      <c r="H21" s="2934"/>
      <c r="I21" s="2934"/>
      <c r="J21" s="2937"/>
    </row>
    <row r="22" spans="1:10" ht="16.5">
      <c r="A22" s="2932" t="s">
        <v>2139</v>
      </c>
      <c r="B22" s="2934"/>
      <c r="C22" s="2934"/>
      <c r="D22" s="2934"/>
      <c r="E22" s="2933" t="e">
        <f t="shared" si="0"/>
        <v>#DIV/0!</v>
      </c>
      <c r="F22" s="2933" t="e">
        <f t="shared" si="1"/>
        <v>#DIV/0!</v>
      </c>
      <c r="G22" s="2934"/>
      <c r="H22" s="2934"/>
      <c r="I22" s="2934"/>
      <c r="J22" s="2937"/>
    </row>
    <row r="23" spans="1:10" ht="16.5">
      <c r="A23" s="2932" t="s">
        <v>2140</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P2" sqref="P2"/>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1570</v>
      </c>
      <c r="B1" s="1563"/>
      <c r="C1" s="1591" t="s">
        <v>1571</v>
      </c>
      <c r="D1" s="1592" t="s">
        <v>3380</v>
      </c>
      <c r="E1" s="1591" t="s">
        <v>1572</v>
      </c>
      <c r="F1" s="1593" t="s">
        <v>3381</v>
      </c>
      <c r="G1" s="302"/>
      <c r="H1" s="302"/>
      <c r="I1" s="302"/>
      <c r="J1" s="1751"/>
      <c r="K1" s="1751"/>
      <c r="L1" s="1751"/>
      <c r="M1" s="1751"/>
      <c r="N1" s="1751"/>
      <c r="O1" s="1751"/>
      <c r="P1" s="1751"/>
      <c r="Q1" s="1751"/>
      <c r="R1" s="1751"/>
      <c r="S1" s="1751"/>
      <c r="T1" s="1751"/>
      <c r="U1" s="1751"/>
      <c r="V1" s="1751"/>
    </row>
    <row r="2" spans="1:22" ht="21.75" customHeight="1" thickBot="1">
      <c r="A2" s="3837" t="str">
        <f>项目基本情况!K2</f>
        <v>北京市朝阳区东坝非配套项目用地（E组团A地块）出让国有建设用地使用权</v>
      </c>
      <c r="B2" s="3838"/>
      <c r="C2" s="3839"/>
      <c r="D2" s="3839"/>
      <c r="E2" s="3839"/>
      <c r="F2" s="3839"/>
      <c r="G2" s="3838"/>
      <c r="H2" s="3838"/>
      <c r="I2" s="3840"/>
      <c r="J2" s="1752"/>
      <c r="K2" s="1751"/>
      <c r="L2" s="1751"/>
      <c r="M2" s="1751"/>
      <c r="N2" s="1751"/>
      <c r="O2" s="1751"/>
      <c r="P2" s="1751"/>
      <c r="Q2" s="1751"/>
      <c r="R2" s="1751"/>
      <c r="S2" s="1751"/>
      <c r="T2" s="1751"/>
      <c r="U2" s="1751"/>
      <c r="V2" s="1751"/>
    </row>
    <row r="3" spans="1:22" ht="14.25">
      <c r="A3" s="3830" t="s">
        <v>263</v>
      </c>
      <c r="B3" s="3831"/>
      <c r="C3" s="3831"/>
      <c r="D3" s="3831"/>
      <c r="E3" s="3831"/>
      <c r="F3" s="3831"/>
      <c r="G3" s="3831"/>
      <c r="H3" s="3831"/>
      <c r="I3" s="3831"/>
      <c r="J3" s="1752"/>
      <c r="K3" s="1751"/>
      <c r="L3" s="1751"/>
      <c r="M3" s="1751"/>
      <c r="N3" s="1751"/>
      <c r="O3" s="1751"/>
      <c r="P3" s="1751"/>
      <c r="Q3" s="1751"/>
      <c r="R3" s="1751"/>
      <c r="S3" s="1751"/>
      <c r="T3" s="1751"/>
      <c r="U3" s="1751"/>
      <c r="V3" s="1751"/>
    </row>
    <row r="4" spans="1:22" ht="14.25">
      <c r="A4" s="249" t="s">
        <v>264</v>
      </c>
      <c r="B4" s="250" t="s">
        <v>265</v>
      </c>
      <c r="C4" s="251" t="s">
        <v>3382</v>
      </c>
      <c r="D4" s="251" t="s">
        <v>3383</v>
      </c>
      <c r="E4" s="3796" t="s">
        <v>266</v>
      </c>
      <c r="F4" s="3797"/>
      <c r="G4" s="3797"/>
      <c r="H4" s="3797"/>
      <c r="I4" s="3832"/>
      <c r="J4" s="1752"/>
      <c r="K4" s="1751"/>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795" t="s">
        <v>267</v>
      </c>
      <c r="B5" s="3824">
        <v>25</v>
      </c>
      <c r="C5" s="3822"/>
      <c r="D5" s="3826"/>
      <c r="E5" s="252" t="s">
        <v>268</v>
      </c>
      <c r="F5" s="253"/>
      <c r="G5" s="253"/>
      <c r="H5" s="253"/>
      <c r="I5" s="254"/>
      <c r="J5" s="1752"/>
      <c r="K5" s="1751"/>
      <c r="L5" s="1751"/>
      <c r="M5" s="1751"/>
      <c r="N5" s="1751"/>
      <c r="O5" s="1751"/>
      <c r="P5" s="1751"/>
      <c r="Q5" s="1751"/>
      <c r="R5" s="1751"/>
      <c r="S5" s="1751"/>
      <c r="T5" s="1751"/>
      <c r="U5" s="1751"/>
      <c r="V5" s="1751"/>
    </row>
    <row r="6" spans="1:22" ht="14.25">
      <c r="A6" s="3795"/>
      <c r="B6" s="3824"/>
      <c r="C6" s="3825"/>
      <c r="D6" s="3826"/>
      <c r="E6" s="252" t="s">
        <v>269</v>
      </c>
      <c r="F6" s="253"/>
      <c r="G6" s="253"/>
      <c r="H6" s="253"/>
      <c r="I6" s="254"/>
      <c r="J6" s="1752"/>
      <c r="K6" s="1751"/>
      <c r="L6" s="1751"/>
      <c r="M6" s="1751"/>
      <c r="N6" s="1751"/>
      <c r="O6" s="1751"/>
      <c r="P6" s="1751"/>
      <c r="Q6" s="1751"/>
      <c r="R6" s="1751"/>
      <c r="S6" s="1751"/>
      <c r="T6" s="1751"/>
      <c r="U6" s="1751"/>
      <c r="V6" s="1751"/>
    </row>
    <row r="7" spans="1:22" ht="14.25">
      <c r="A7" s="3795"/>
      <c r="B7" s="3824"/>
      <c r="C7" s="3823"/>
      <c r="D7" s="3826"/>
      <c r="E7" s="252" t="s">
        <v>270</v>
      </c>
      <c r="F7" s="253"/>
      <c r="G7" s="253"/>
      <c r="H7" s="253"/>
      <c r="I7" s="254"/>
      <c r="J7" s="1752"/>
      <c r="K7" s="1751"/>
      <c r="L7" s="1751"/>
      <c r="M7" s="1751"/>
      <c r="N7" s="1751"/>
      <c r="O7" s="1751"/>
      <c r="P7" s="1751"/>
      <c r="Q7" s="1751"/>
      <c r="R7" s="1751"/>
      <c r="S7" s="1751"/>
      <c r="T7" s="1751"/>
      <c r="U7" s="1751"/>
      <c r="V7" s="1751"/>
    </row>
    <row r="8" spans="1:22" ht="14.25">
      <c r="A8" s="3795" t="s">
        <v>271</v>
      </c>
      <c r="B8" s="3824">
        <v>15</v>
      </c>
      <c r="C8" s="3822"/>
      <c r="D8" s="3826"/>
      <c r="E8" s="252" t="s">
        <v>272</v>
      </c>
      <c r="F8" s="253"/>
      <c r="G8" s="253"/>
      <c r="H8" s="253"/>
      <c r="I8" s="254"/>
      <c r="J8" s="1752"/>
      <c r="K8" s="1751"/>
      <c r="L8" s="1751"/>
      <c r="M8" s="1751"/>
      <c r="N8" s="1751"/>
      <c r="O8" s="1751"/>
      <c r="P8" s="1751"/>
      <c r="Q8" s="1751"/>
      <c r="R8" s="1751"/>
      <c r="S8" s="1751"/>
      <c r="T8" s="1751"/>
      <c r="U8" s="1751"/>
      <c r="V8" s="1751"/>
    </row>
    <row r="9" spans="1:22" ht="14.25">
      <c r="A9" s="3795"/>
      <c r="B9" s="3824"/>
      <c r="C9" s="3823"/>
      <c r="D9" s="3826"/>
      <c r="E9" s="252" t="s">
        <v>273</v>
      </c>
      <c r="F9" s="253"/>
      <c r="G9" s="253"/>
      <c r="H9" s="253"/>
      <c r="I9" s="254"/>
      <c r="J9" s="1752"/>
      <c r="K9" s="1751"/>
      <c r="L9" s="1751"/>
      <c r="M9" s="1751"/>
      <c r="N9" s="1751"/>
      <c r="O9" s="1751"/>
      <c r="P9" s="1751"/>
      <c r="Q9" s="1751"/>
      <c r="R9" s="1751"/>
      <c r="S9" s="1751"/>
      <c r="T9" s="1751"/>
      <c r="U9" s="1751"/>
      <c r="V9" s="1751"/>
    </row>
    <row r="10" spans="1:22" ht="14.25">
      <c r="A10" s="3795" t="s">
        <v>274</v>
      </c>
      <c r="B10" s="3824">
        <v>15</v>
      </c>
      <c r="C10" s="3822"/>
      <c r="D10" s="3826"/>
      <c r="E10" s="252" t="s">
        <v>275</v>
      </c>
      <c r="F10" s="253"/>
      <c r="G10" s="253"/>
      <c r="H10" s="253"/>
      <c r="I10" s="254"/>
      <c r="J10" s="1752"/>
      <c r="K10" s="1751"/>
      <c r="L10" s="1751"/>
      <c r="M10" s="1751"/>
      <c r="N10" s="1751"/>
      <c r="O10" s="1751"/>
      <c r="P10" s="1751"/>
      <c r="Q10" s="1751"/>
      <c r="R10" s="1751"/>
      <c r="S10" s="1751"/>
      <c r="T10" s="1751"/>
      <c r="U10" s="1751"/>
      <c r="V10" s="1751"/>
    </row>
    <row r="11" spans="1:22" ht="14.25">
      <c r="A11" s="3795"/>
      <c r="B11" s="3824"/>
      <c r="C11" s="3823"/>
      <c r="D11" s="3826"/>
      <c r="E11" s="252" t="s">
        <v>276</v>
      </c>
      <c r="F11" s="253"/>
      <c r="G11" s="253"/>
      <c r="H11" s="253"/>
      <c r="I11" s="254"/>
      <c r="J11" s="1752"/>
      <c r="K11" s="1751"/>
      <c r="L11" s="1751"/>
      <c r="M11" s="1751"/>
      <c r="N11" s="1751"/>
      <c r="O11" s="1751"/>
      <c r="P11" s="1751"/>
      <c r="Q11" s="1751"/>
      <c r="R11" s="1751"/>
      <c r="S11" s="1751"/>
      <c r="T11" s="1751"/>
      <c r="U11" s="1751"/>
      <c r="V11" s="1751"/>
    </row>
    <row r="12" spans="1:22" ht="14.25">
      <c r="A12" s="3795" t="s">
        <v>277</v>
      </c>
      <c r="B12" s="3824">
        <v>15</v>
      </c>
      <c r="C12" s="3822"/>
      <c r="D12" s="3826"/>
      <c r="E12" s="252" t="s">
        <v>278</v>
      </c>
      <c r="F12" s="253"/>
      <c r="G12" s="253"/>
      <c r="H12" s="253"/>
      <c r="I12" s="254"/>
      <c r="J12" s="1752"/>
      <c r="K12" s="1751"/>
      <c r="L12" s="1751"/>
      <c r="M12" s="1751"/>
      <c r="N12" s="1751"/>
      <c r="O12" s="1751"/>
      <c r="P12" s="1751"/>
      <c r="Q12" s="1751"/>
      <c r="R12" s="1751"/>
      <c r="S12" s="1751"/>
      <c r="T12" s="1751"/>
      <c r="U12" s="1751"/>
      <c r="V12" s="1751"/>
    </row>
    <row r="13" spans="1:22" ht="14.25">
      <c r="A13" s="3795"/>
      <c r="B13" s="3824"/>
      <c r="C13" s="3823"/>
      <c r="D13" s="3826"/>
      <c r="E13" s="252" t="s">
        <v>279</v>
      </c>
      <c r="F13" s="253"/>
      <c r="G13" s="253"/>
      <c r="H13" s="253"/>
      <c r="I13" s="254"/>
      <c r="J13" s="1752"/>
      <c r="K13" s="1751"/>
      <c r="L13" s="1751"/>
      <c r="M13" s="1751"/>
      <c r="N13" s="1751"/>
      <c r="O13" s="1751"/>
      <c r="P13" s="1751"/>
      <c r="Q13" s="1751"/>
      <c r="R13" s="1751"/>
      <c r="S13" s="1751"/>
      <c r="T13" s="1751"/>
      <c r="U13" s="1751"/>
      <c r="V13" s="1751"/>
    </row>
    <row r="14" spans="1:22" ht="14.25">
      <c r="A14" s="3795" t="s">
        <v>280</v>
      </c>
      <c r="B14" s="3824">
        <v>30</v>
      </c>
      <c r="C14" s="3822">
        <v>6</v>
      </c>
      <c r="D14" s="3826">
        <v>4</v>
      </c>
      <c r="E14" s="252" t="s">
        <v>281</v>
      </c>
      <c r="F14" s="253"/>
      <c r="G14" s="253"/>
      <c r="H14" s="253"/>
      <c r="I14" s="254"/>
      <c r="J14" s="1752"/>
      <c r="K14" s="1751"/>
      <c r="L14" s="1751"/>
      <c r="M14" s="1751"/>
      <c r="N14" s="1751"/>
      <c r="O14" s="1751"/>
      <c r="P14" s="1751"/>
      <c r="Q14" s="1751"/>
      <c r="R14" s="1751"/>
      <c r="S14" s="1751"/>
      <c r="T14" s="1751"/>
      <c r="U14" s="1751"/>
      <c r="V14" s="1751"/>
    </row>
    <row r="15" spans="1:22" ht="14.25">
      <c r="A15" s="3795"/>
      <c r="B15" s="3824"/>
      <c r="C15" s="3825"/>
      <c r="D15" s="3826"/>
      <c r="E15" s="252" t="s">
        <v>282</v>
      </c>
      <c r="F15" s="253"/>
      <c r="G15" s="253"/>
      <c r="H15" s="253"/>
      <c r="I15" s="254"/>
      <c r="J15" s="1752"/>
      <c r="K15" s="1751"/>
      <c r="L15" s="1751"/>
      <c r="M15" s="1751"/>
      <c r="N15" s="1751"/>
      <c r="O15" s="1751"/>
      <c r="P15" s="1751"/>
      <c r="Q15" s="1751"/>
      <c r="R15" s="1751"/>
      <c r="S15" s="1751"/>
      <c r="T15" s="1751"/>
      <c r="U15" s="1751"/>
      <c r="V15" s="1751"/>
    </row>
    <row r="16" spans="1:22" ht="14.25">
      <c r="A16" s="3795"/>
      <c r="B16" s="3824"/>
      <c r="C16" s="3823"/>
      <c r="D16" s="3826"/>
      <c r="E16" s="252" t="s">
        <v>283</v>
      </c>
      <c r="F16" s="253"/>
      <c r="G16" s="253"/>
      <c r="H16" s="253"/>
      <c r="I16" s="254"/>
      <c r="J16" s="1752"/>
      <c r="K16" s="1751"/>
      <c r="L16" s="1751"/>
      <c r="M16" s="1751"/>
      <c r="N16" s="1751"/>
      <c r="O16" s="1751"/>
      <c r="P16" s="1751"/>
      <c r="Q16" s="1751"/>
      <c r="R16" s="1751"/>
      <c r="S16" s="1751"/>
      <c r="T16" s="1751"/>
      <c r="U16" s="1751"/>
      <c r="V16" s="1751"/>
    </row>
    <row r="17" spans="1:26" ht="15">
      <c r="A17" s="255" t="s">
        <v>284</v>
      </c>
      <c r="B17" s="137"/>
      <c r="C17" s="256">
        <f>SUM(C5:C16)</f>
        <v>6</v>
      </c>
      <c r="D17" s="256">
        <f>SUM(D5:D16)</f>
        <v>4</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285</v>
      </c>
      <c r="B18" s="101"/>
      <c r="C18" s="258">
        <f>ROUND(C17/SUM(C17:D17),2)</f>
        <v>0.6</v>
      </c>
      <c r="D18" s="258">
        <f>1-C18</f>
        <v>0.4</v>
      </c>
      <c r="E18" s="3827" t="s">
        <v>2250</v>
      </c>
      <c r="F18" s="3828"/>
      <c r="G18" s="3828"/>
      <c r="H18" s="3828"/>
      <c r="I18" s="3828"/>
      <c r="J18" s="1751"/>
      <c r="K18" s="1751"/>
      <c r="L18" s="1751"/>
      <c r="M18" s="1751"/>
      <c r="N18" s="1751"/>
      <c r="O18" s="1751"/>
      <c r="P18" s="1751"/>
      <c r="Q18" s="1751"/>
      <c r="R18" s="1751"/>
      <c r="S18" s="1751"/>
      <c r="T18" s="1751"/>
      <c r="U18" s="1751"/>
      <c r="V18" s="1751"/>
    </row>
    <row r="19" spans="1:26" ht="15">
      <c r="A19" s="259" t="s">
        <v>286</v>
      </c>
      <c r="B19" s="260" t="s">
        <v>287</v>
      </c>
      <c r="C19" s="261">
        <f ca="1">SUMIF(INDIRECT("'"&amp;C4&amp;"'"&amp;"!A:A"),结果表!B19,INDIRECT("'"&amp;C4&amp;"'"&amp;"!B:B"))</f>
        <v>25007</v>
      </c>
      <c r="D19" s="262">
        <f ca="1">SUMIF(INDIRECT("'"&amp;D4&amp;"'"&amp;"!A:A"),结果表!B19,INDIRECT("'"&amp;D4&amp;"'"&amp;"!B:B"))</f>
        <v>60416</v>
      </c>
      <c r="E19" s="259" t="s">
        <v>288</v>
      </c>
      <c r="F19" s="260" t="s">
        <v>287</v>
      </c>
      <c r="G19" s="263">
        <f ca="1">ROUND(C19*$C$18+D19*$D$18,0)</f>
        <v>39171</v>
      </c>
      <c r="H19" s="264" t="s">
        <v>289</v>
      </c>
      <c r="I19" s="302"/>
      <c r="J19" s="1751"/>
      <c r="K19" s="1751" t="s">
        <v>3394</v>
      </c>
      <c r="L19" s="1751"/>
      <c r="M19" s="1751"/>
      <c r="N19" s="1751"/>
      <c r="O19" s="1751"/>
      <c r="P19" s="1751"/>
      <c r="Q19" s="1751"/>
      <c r="R19" s="1751"/>
      <c r="S19" s="1751"/>
      <c r="T19" s="1751"/>
      <c r="U19" s="1751"/>
      <c r="V19" s="1751"/>
    </row>
    <row r="20" spans="1:26" ht="15">
      <c r="A20" s="265"/>
      <c r="B20" s="266" t="s">
        <v>290</v>
      </c>
      <c r="C20" s="267">
        <f ca="1">SUMIF(INDIRECT("'"&amp;C4&amp;"'"&amp;"!A:A"),结果表!B20,INDIRECT("'"&amp;C4&amp;"'"&amp;"!B:B"))</f>
        <v>5128</v>
      </c>
      <c r="D20" s="268">
        <f ca="1">SUMIF(INDIRECT("'"&amp;D4&amp;"'"&amp;"!A:A"),结果表!B20,INDIRECT("'"&amp;D4&amp;"'"&amp;"!B:B"))</f>
        <v>10211</v>
      </c>
      <c r="E20" s="265"/>
      <c r="F20" s="266" t="s">
        <v>290</v>
      </c>
      <c r="G20" s="269">
        <f ca="1">ROUND(C20*$C$18+D20*$D$18,0)</f>
        <v>7161</v>
      </c>
      <c r="H20" s="270" t="s">
        <v>291</v>
      </c>
      <c r="I20" s="302"/>
      <c r="J20" s="1751"/>
      <c r="K20" s="1751">
        <f ca="1">G19/'数据-汇总表'!F27</f>
        <v>1.1014085409985137</v>
      </c>
      <c r="L20" s="1751"/>
      <c r="M20" s="1751"/>
      <c r="N20" s="1751"/>
      <c r="O20" s="1751"/>
      <c r="P20" s="1751"/>
      <c r="Q20" s="1751"/>
      <c r="R20" s="1751"/>
      <c r="S20" s="1751"/>
      <c r="T20" s="1751"/>
      <c r="U20" s="1751"/>
      <c r="V20" s="1751"/>
    </row>
    <row r="21" spans="1:26" ht="15" customHeight="1">
      <c r="A21" s="265"/>
      <c r="B21" s="271" t="s">
        <v>292</v>
      </c>
      <c r="C21" s="272" t="e">
        <f ca="1">SUMIF(INDIRECT("'"&amp;C4&amp;"'"&amp;"!A:A"),结果表!B21,INDIRECT("'"&amp;C4&amp;"'"&amp;"!B:B"))</f>
        <v>#DIV/0!</v>
      </c>
      <c r="D21" s="144">
        <f ca="1">SUMIF(INDIRECT("'"&amp;D4&amp;"'"&amp;"!A:A"),结果表!B21,INDIRECT("'"&amp;D4&amp;"'"&amp;"!B:B"))</f>
        <v>26906</v>
      </c>
      <c r="E21" s="265"/>
      <c r="F21" s="271" t="s">
        <v>292</v>
      </c>
      <c r="G21" s="273" t="e">
        <f ca="1">ROUND(C21*$C$18+D21*$D$18,0)</f>
        <v>#DIV/0!</v>
      </c>
      <c r="H21" s="1120" t="s">
        <v>291</v>
      </c>
      <c r="I21" s="302"/>
      <c r="J21" s="1751"/>
      <c r="K21" s="1751"/>
      <c r="L21" s="1751"/>
      <c r="M21" s="1751"/>
      <c r="N21" s="1751"/>
      <c r="O21" s="1751"/>
      <c r="P21" s="1751"/>
      <c r="Q21" s="1751"/>
      <c r="R21" s="1751"/>
      <c r="S21" s="1751"/>
      <c r="T21" s="1751"/>
      <c r="U21" s="1751"/>
      <c r="V21" s="1751"/>
    </row>
    <row r="22" spans="1:26" ht="15.75" thickBot="1">
      <c r="A22" s="122" t="s">
        <v>293</v>
      </c>
      <c r="B22" s="1121"/>
      <c r="C22" s="1122"/>
      <c r="D22" s="274">
        <f ca="1">IF(C19&lt;D19,D19/C19-1,C19/D19-1)</f>
        <v>1.415963530211541</v>
      </c>
      <c r="E22" s="275"/>
      <c r="F22" s="276"/>
      <c r="G22" s="277">
        <f ca="1">ROUND(G19/('数据-汇总表'!D3/666.67),0)</f>
        <v>1163</v>
      </c>
      <c r="H22" s="278" t="s">
        <v>294</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01" t="s">
        <v>295</v>
      </c>
      <c r="B24" s="260" t="s">
        <v>287</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02"/>
      <c r="B25" s="1190" t="s">
        <v>296</v>
      </c>
      <c r="C25" s="281">
        <f>IF(B30=0,0,C30)</f>
        <v>0</v>
      </c>
      <c r="D25" s="282"/>
      <c r="E25" s="302"/>
      <c r="F25" s="302"/>
      <c r="G25" s="302"/>
      <c r="H25" s="302"/>
      <c r="I25" s="302"/>
      <c r="J25" s="1751"/>
      <c r="K25" s="1124" t="str">
        <f ca="1">项目基本情况!A17&amp;"国有建设用地使用权价格："&amp;O38&amp;"万元"</f>
        <v>出让国有建设用地使用权价格：39171万元</v>
      </c>
      <c r="L25" s="1125"/>
      <c r="M25" s="1125"/>
      <c r="N25" s="1125"/>
      <c r="O25" s="1126"/>
      <c r="P25" s="1751"/>
      <c r="Q25" s="1751"/>
      <c r="R25" s="1751"/>
      <c r="S25" s="1751"/>
      <c r="T25" s="1751"/>
      <c r="U25" s="1751"/>
      <c r="V25" s="1751"/>
    </row>
    <row r="26" spans="1:26" s="1123" customFormat="1" ht="18">
      <c r="A26" s="284" t="s">
        <v>297</v>
      </c>
      <c r="B26" s="285" t="s">
        <v>298</v>
      </c>
      <c r="C26" s="285" t="s">
        <v>299</v>
      </c>
      <c r="D26" s="286" t="s">
        <v>300</v>
      </c>
      <c r="E26" s="302"/>
      <c r="F26" s="302"/>
      <c r="G26" s="302"/>
      <c r="H26" s="302"/>
      <c r="I26" s="302"/>
      <c r="J26" s="1751"/>
      <c r="K26" s="1127" t="str">
        <f ca="1">"大写金额：人民币"&amp;NUMBERSTRING(INT(O38*10000),2)&amp;"元整"</f>
        <v>大写金额：人民币叁亿玖仟壹佰柒拾壹万元整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单位面积地价：17444元/平方米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楼面地价：6620元/平方米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抵押价格：39171万元</v>
      </c>
      <c r="L29" s="1121"/>
      <c r="M29" s="1121"/>
      <c r="N29" s="1121"/>
      <c r="O29" s="1120"/>
      <c r="P29" s="1751"/>
      <c r="V29" s="1751"/>
    </row>
    <row r="30" spans="1:26" ht="18.75" thickBot="1">
      <c r="A30" s="2554" t="s">
        <v>301</v>
      </c>
      <c r="B30" s="300"/>
      <c r="C30" s="300"/>
      <c r="D30" s="301"/>
      <c r="E30" s="2745" t="s">
        <v>2251</v>
      </c>
      <c r="F30" s="302"/>
      <c r="G30" s="302"/>
      <c r="H30" s="302"/>
      <c r="I30" s="302"/>
      <c r="J30" s="1751"/>
      <c r="K30" s="1127" t="str">
        <f ca="1">IF(K29="——","——","大写金额：人民币"&amp;NUMBERSTRING(INT(O39*10000),2)&amp;"元整")</f>
        <v>大写金额：人民币叁亿玖仟壹佰柒拾壹万元整</v>
      </c>
      <c r="L30" s="1121"/>
      <c r="M30" s="1121"/>
      <c r="N30" s="1121"/>
      <c r="O30" s="1120"/>
      <c r="P30" s="1751"/>
      <c r="V30" s="1751"/>
    </row>
    <row r="31" spans="1:26" ht="24" customHeight="1" thickBot="1">
      <c r="A31" s="3829" t="s">
        <v>2252</v>
      </c>
      <c r="B31" s="3829"/>
      <c r="C31" s="3829"/>
      <c r="D31" s="3829"/>
      <c r="E31" s="3829"/>
      <c r="F31" s="3829"/>
      <c r="G31" s="3829"/>
      <c r="H31" s="3829"/>
      <c r="I31" s="3829"/>
      <c r="J31" s="1751"/>
      <c r="K31" s="2117" t="str">
        <f>IF(项目基本情况!E8="抵押价格","——","抵押担保权已注销时的抵押价格："&amp;O40&amp;"万元")</f>
        <v>——</v>
      </c>
      <c r="L31" s="2113"/>
      <c r="M31" s="2113"/>
      <c r="N31" s="2113"/>
      <c r="O31" s="2114"/>
      <c r="P31" s="1751"/>
      <c r="V31" s="1751"/>
    </row>
    <row r="32" spans="1:26" ht="19.5" thickTop="1" thickBot="1">
      <c r="A32" s="265" t="s">
        <v>302</v>
      </c>
      <c r="B32" s="2746" t="s">
        <v>1220</v>
      </c>
      <c r="C32" s="257">
        <f ca="1">G19-C24</f>
        <v>39171</v>
      </c>
      <c r="D32" s="2747" t="s">
        <v>1221</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305</v>
      </c>
      <c r="B33" s="1239" t="s">
        <v>1222</v>
      </c>
      <c r="C33" s="255">
        <f ca="1">ROUND(C32*10000/'数据-汇总表'!E3,0)</f>
        <v>6620</v>
      </c>
      <c r="D33" s="1240" t="s">
        <v>1223</v>
      </c>
      <c r="E33" s="3801" t="s">
        <v>303</v>
      </c>
      <c r="F33" s="287" t="s">
        <v>304</v>
      </c>
      <c r="G33" s="288"/>
      <c r="H33" s="942"/>
      <c r="I33" s="1128"/>
      <c r="J33" s="1751"/>
      <c r="K33" s="1127" t="str">
        <f>IF(项目基本情况!E9="——","——","抵押净值："&amp;C46&amp;"万元")</f>
        <v>抵押净值：——万元</v>
      </c>
      <c r="L33" s="1121"/>
      <c r="M33" s="1121"/>
      <c r="N33" s="1121"/>
      <c r="O33" s="1120"/>
      <c r="P33" s="1751"/>
      <c r="V33" s="1751"/>
    </row>
    <row r="34" spans="1:26" s="1123" customFormat="1" ht="18.75" thickBot="1">
      <c r="A34" s="291"/>
      <c r="B34" s="1241" t="s">
        <v>1224</v>
      </c>
      <c r="C34" s="255">
        <f ca="1">ROUND(C32*10000/'数据-汇总表'!D3,0)</f>
        <v>17444</v>
      </c>
      <c r="D34" s="1242" t="s">
        <v>1223</v>
      </c>
      <c r="E34" s="3845"/>
      <c r="F34" s="123" t="s">
        <v>306</v>
      </c>
      <c r="G34" s="290"/>
      <c r="H34" s="101"/>
      <c r="I34" s="302"/>
      <c r="J34" s="1751"/>
      <c r="K34" s="1130" t="e">
        <f>IF(K33="——","——","大写金额：人民币"&amp;NUMBERSTRING(INT(O41*10000),2)&amp;"元整")</f>
        <v>#VALUE!</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1163</v>
      </c>
      <c r="D35" s="1245" t="s">
        <v>1225</v>
      </c>
      <c r="E35" s="3846"/>
      <c r="F35" s="292" t="s">
        <v>307</v>
      </c>
      <c r="G35" s="944"/>
      <c r="H35" s="943" t="s">
        <v>308</v>
      </c>
      <c r="I35" s="302"/>
      <c r="J35" s="1751"/>
      <c r="K35" s="3819" t="s">
        <v>315</v>
      </c>
      <c r="L35" s="3819" t="s">
        <v>316</v>
      </c>
      <c r="M35" s="1133" t="s">
        <v>317</v>
      </c>
      <c r="N35" s="3819" t="s">
        <v>318</v>
      </c>
      <c r="O35" s="3819" t="s">
        <v>319</v>
      </c>
      <c r="P35" s="1751"/>
      <c r="V35" s="1751"/>
    </row>
    <row r="36" spans="1:26" ht="16.5" customHeight="1">
      <c r="A36" s="294" t="s">
        <v>309</v>
      </c>
      <c r="B36" s="295" t="s">
        <v>298</v>
      </c>
      <c r="C36" s="296" t="s">
        <v>310</v>
      </c>
      <c r="D36" s="296" t="s">
        <v>311</v>
      </c>
      <c r="E36" s="297" t="s">
        <v>312</v>
      </c>
      <c r="F36" s="302"/>
      <c r="G36" s="302"/>
      <c r="H36" s="302"/>
      <c r="I36" s="302"/>
      <c r="J36" s="1753"/>
      <c r="K36" s="3820"/>
      <c r="L36" s="3820"/>
      <c r="M36" s="1135" t="s">
        <v>320</v>
      </c>
      <c r="N36" s="3820"/>
      <c r="O36" s="3820"/>
      <c r="P36" s="1751"/>
      <c r="V36" s="1751"/>
    </row>
    <row r="37" spans="1:26" ht="16.5" customHeight="1" thickBot="1">
      <c r="A37" s="1129" t="s">
        <v>313</v>
      </c>
      <c r="B37" s="298"/>
      <c r="C37" s="285"/>
      <c r="D37" s="285"/>
      <c r="E37" s="286"/>
      <c r="F37" s="302"/>
      <c r="G37" s="302"/>
      <c r="H37" s="302"/>
      <c r="I37" s="302"/>
      <c r="J37" s="1753"/>
      <c r="K37" s="3821"/>
      <c r="L37" s="3821"/>
      <c r="M37" s="1136"/>
      <c r="N37" s="3821"/>
      <c r="O37" s="3821"/>
      <c r="P37" s="1751"/>
      <c r="V37" s="1751"/>
    </row>
    <row r="38" spans="1:26" ht="16.5" customHeight="1" thickBot="1">
      <c r="A38" s="1129" t="s">
        <v>314</v>
      </c>
      <c r="B38" s="298"/>
      <c r="C38" s="285"/>
      <c r="D38" s="285"/>
      <c r="E38" s="286"/>
      <c r="F38" s="302"/>
      <c r="G38" s="302"/>
      <c r="H38" s="302"/>
      <c r="I38" s="302"/>
      <c r="J38" s="1753"/>
      <c r="K38" s="1137">
        <f>'数据-汇总表'!D3</f>
        <v>22454.65</v>
      </c>
      <c r="L38" s="1138">
        <f>'数据-汇总表'!E3</f>
        <v>59167.44</v>
      </c>
      <c r="M38" s="1138">
        <f ca="1">C34</f>
        <v>17444</v>
      </c>
      <c r="N38" s="1138">
        <f ca="1">C33</f>
        <v>6620</v>
      </c>
      <c r="O38" s="1139">
        <f ca="1">C32</f>
        <v>39171</v>
      </c>
      <c r="P38" s="1751"/>
      <c r="V38" s="1751"/>
    </row>
    <row r="39" spans="1:26" ht="16.5" customHeight="1" thickBot="1">
      <c r="A39" s="1134"/>
      <c r="B39" s="299"/>
      <c r="C39" s="300"/>
      <c r="D39" s="300"/>
      <c r="E39" s="301"/>
      <c r="F39" s="302"/>
      <c r="G39" s="302"/>
      <c r="H39" s="302"/>
      <c r="I39" s="302"/>
      <c r="J39" s="1753"/>
      <c r="K39" s="3859" t="str">
        <f>MID(A44,3,LEN(A44)-2)</f>
        <v>抵押价格</v>
      </c>
      <c r="L39" s="3860"/>
      <c r="M39" s="3860"/>
      <c r="N39" s="3861"/>
      <c r="O39" s="1247">
        <f ca="1">C44</f>
        <v>39171</v>
      </c>
      <c r="P39" s="1751"/>
      <c r="V39" s="1751"/>
    </row>
    <row r="40" spans="1:26" ht="19.5" thickBot="1">
      <c r="A40" s="100" t="s">
        <v>809</v>
      </c>
      <c r="B40" s="302"/>
      <c r="C40" s="302"/>
      <c r="D40" s="302"/>
      <c r="E40" s="302"/>
      <c r="F40" s="302"/>
      <c r="G40" s="302"/>
      <c r="H40" s="302"/>
      <c r="I40" s="302"/>
      <c r="J40" s="1753"/>
      <c r="K40" s="3859" t="str">
        <f>MID(A45,3,LEN(A45)-2)</f>
        <v/>
      </c>
      <c r="L40" s="3860"/>
      <c r="M40" s="3860"/>
      <c r="N40" s="3861"/>
      <c r="O40" s="1247" t="str">
        <f>C45</f>
        <v>——</v>
      </c>
      <c r="P40" s="1751"/>
      <c r="V40" s="1751"/>
    </row>
    <row r="41" spans="1:26" ht="16.5" thickBot="1">
      <c r="A41" s="303" t="s">
        <v>321</v>
      </c>
      <c r="B41" s="304"/>
      <c r="C41" s="305" t="s">
        <v>322</v>
      </c>
      <c r="D41" s="306" t="s">
        <v>323</v>
      </c>
      <c r="E41" s="306" t="s">
        <v>324</v>
      </c>
      <c r="F41" s="307" t="s">
        <v>325</v>
      </c>
      <c r="G41" s="302"/>
      <c r="H41" s="302"/>
      <c r="I41" s="302"/>
      <c r="J41" s="1753"/>
      <c r="K41" s="3859" t="str">
        <f>MID(A46,3,LEN(A46)-2)</f>
        <v/>
      </c>
      <c r="L41" s="3860"/>
      <c r="M41" s="3860"/>
      <c r="N41" s="3861"/>
      <c r="O41" s="1247" t="str">
        <f>C46</f>
        <v>——</v>
      </c>
      <c r="P41" s="1751"/>
      <c r="V41" s="1751"/>
    </row>
    <row r="42" spans="1:26" ht="29.25">
      <c r="A42" s="3803" t="s">
        <v>1582</v>
      </c>
      <c r="B42" s="3804"/>
      <c r="C42" s="255">
        <f ca="1">C32</f>
        <v>39171</v>
      </c>
      <c r="D42" s="308">
        <f ca="1">C33</f>
        <v>6620</v>
      </c>
      <c r="E42" s="308">
        <f ca="1">C34</f>
        <v>17444</v>
      </c>
      <c r="F42" s="309">
        <f ca="1">C35</f>
        <v>1163</v>
      </c>
      <c r="G42" s="302"/>
      <c r="H42" s="302"/>
      <c r="I42" s="310"/>
      <c r="J42" s="1753"/>
      <c r="K42" s="1140" t="s">
        <v>326</v>
      </c>
      <c r="L42" s="1770" t="s">
        <v>327</v>
      </c>
      <c r="M42" s="1141" t="s">
        <v>328</v>
      </c>
      <c r="N42" s="1771" t="s">
        <v>329</v>
      </c>
      <c r="O42" s="1772" t="s">
        <v>330</v>
      </c>
      <c r="P42" s="1751"/>
      <c r="V42" s="1751"/>
    </row>
    <row r="43" spans="1:26" ht="18">
      <c r="A43" s="3814" t="s">
        <v>2009</v>
      </c>
      <c r="B43" s="3815"/>
      <c r="C43" s="255">
        <f>IF(H33="正常操作",G33+G34+G35,G34+G35)</f>
        <v>0</v>
      </c>
      <c r="D43" s="308" t="s">
        <v>17</v>
      </c>
      <c r="E43" s="308" t="s">
        <v>18</v>
      </c>
      <c r="F43" s="309" t="s">
        <v>18</v>
      </c>
      <c r="G43" s="2345" t="s">
        <v>876</v>
      </c>
      <c r="H43" s="302"/>
      <c r="I43" s="310"/>
      <c r="J43" s="1753"/>
      <c r="K43" s="1142" t="str">
        <f>C4</f>
        <v>基准地价</v>
      </c>
      <c r="L43" s="1143">
        <f ca="1">IF(L42="估价结果/万元",C19,C20)</f>
        <v>25007</v>
      </c>
      <c r="M43" s="1144">
        <f>C18</f>
        <v>0.6</v>
      </c>
      <c r="N43" s="1145">
        <f ca="1">IF(N42="测算结果/万元",G19,G20)</f>
        <v>39171</v>
      </c>
      <c r="O43" s="1146">
        <f ca="1">IF(O42="最终结果/万元",C32,C33)</f>
        <v>39171</v>
      </c>
      <c r="P43" s="1751"/>
      <c r="V43" s="1751"/>
    </row>
    <row r="44" spans="1:26" ht="30.75" thickBot="1">
      <c r="A44" s="3803" t="str">
        <f>IF(OR(项目基本情况!E8="抵押价格",项目基本情况!E8="已注销及未注销"),"3.抵押价格","——")</f>
        <v>3.抵押价格</v>
      </c>
      <c r="B44" s="3804"/>
      <c r="C44" s="255">
        <f ca="1">IF(A44="——","——",C42-C43)</f>
        <v>39171</v>
      </c>
      <c r="D44" s="308">
        <f ca="1">ROUND(C44*10000/'数据-汇总表'!E3,0)</f>
        <v>6620</v>
      </c>
      <c r="E44" s="308">
        <f ca="1">ROUND(C44*10000/'数据-汇总表'!D3,0)</f>
        <v>17444</v>
      </c>
      <c r="F44" s="309">
        <f ca="1">ROUND(C44/('数据-汇总表'!D3/666.67),0)</f>
        <v>1163</v>
      </c>
      <c r="G44" s="302"/>
      <c r="H44" s="302"/>
      <c r="I44" s="310"/>
      <c r="J44" s="1753"/>
      <c r="K44" s="1147" t="str">
        <f>D4</f>
        <v>剩余法-待开发</v>
      </c>
      <c r="L44" s="1148">
        <f ca="1">IF(L42="估价结果/万元",D19,D20)</f>
        <v>60416</v>
      </c>
      <c r="M44" s="1149">
        <f>D18</f>
        <v>0.4</v>
      </c>
      <c r="N44" s="1150"/>
      <c r="O44" s="1151"/>
      <c r="P44" s="1751"/>
      <c r="V44" s="1751"/>
    </row>
    <row r="45" spans="1:26" ht="15">
      <c r="A45" s="3809" t="str">
        <f>IF(项目基本情况!E8="已注销及未注销","4.抵押担保权已注销时的抵押价格",IF(项目基本情况!E8="已注销","3.抵押担保权已注销时的抵押价格","——"))</f>
        <v>——</v>
      </c>
      <c r="B45" s="3810"/>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05" t="str">
        <f>IF(项目基本情况!E9="抵押净值",IF(A45="——","4.抵押净值","5.抵押净值"),"——")</f>
        <v>——</v>
      </c>
      <c r="B46" s="3806"/>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331</v>
      </c>
      <c r="B47" s="1152"/>
      <c r="C47" s="313" t="s">
        <v>332</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333</v>
      </c>
      <c r="G53" s="328"/>
      <c r="H53" s="328"/>
      <c r="I53" s="329" t="s">
        <v>334</v>
      </c>
      <c r="J53" s="1754"/>
      <c r="K53" s="1751"/>
      <c r="L53" s="1751"/>
      <c r="M53" s="1751"/>
      <c r="N53" s="1751"/>
      <c r="O53" s="1751"/>
      <c r="P53" s="1751"/>
      <c r="Q53" s="1751"/>
      <c r="R53" s="1751"/>
      <c r="S53" s="1751"/>
      <c r="T53" s="1751"/>
      <c r="U53" s="1751"/>
      <c r="V53" s="1751"/>
    </row>
    <row r="54" spans="1:22" ht="12.75">
      <c r="A54" s="248"/>
      <c r="B54" s="330" t="s">
        <v>335</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336</v>
      </c>
      <c r="J56" s="1754"/>
      <c r="K56" s="1751"/>
      <c r="L56" s="1751"/>
      <c r="M56" s="1751"/>
      <c r="N56" s="1751"/>
      <c r="O56" s="1751"/>
      <c r="P56" s="1751"/>
      <c r="Q56" s="1751"/>
      <c r="R56" s="1751"/>
      <c r="S56" s="1751"/>
      <c r="T56" s="1751"/>
      <c r="U56" s="1751"/>
      <c r="V56" s="1751"/>
    </row>
    <row r="57" spans="1:22" ht="12.75">
      <c r="A57" s="248"/>
      <c r="B57" s="330" t="s">
        <v>337</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336</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338</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53" t="s">
        <v>339</v>
      </c>
      <c r="B63" s="3854"/>
      <c r="C63" s="3855"/>
      <c r="D63" s="332">
        <f ca="1">ROUND(C42*F63,0)</f>
        <v>39171</v>
      </c>
      <c r="E63" s="293" t="s">
        <v>340</v>
      </c>
      <c r="F63" s="333">
        <v>1</v>
      </c>
      <c r="G63" s="334" t="s">
        <v>341</v>
      </c>
      <c r="H63" s="302"/>
      <c r="I63" s="302"/>
      <c r="J63" s="1751"/>
      <c r="K63" s="1751"/>
      <c r="L63" s="1751"/>
      <c r="M63" s="1751"/>
      <c r="N63" s="1751"/>
      <c r="O63" s="1751"/>
      <c r="P63" s="1751"/>
      <c r="Q63" s="1751"/>
      <c r="R63" s="1751"/>
      <c r="S63" s="1751"/>
      <c r="T63" s="1751"/>
      <c r="U63" s="1751"/>
      <c r="V63" s="1751"/>
    </row>
    <row r="64" spans="1:22" ht="14.25" customHeight="1">
      <c r="A64" s="3811" t="s">
        <v>343</v>
      </c>
      <c r="B64" s="3812"/>
      <c r="C64" s="3812"/>
      <c r="D64" s="3812"/>
      <c r="E64" s="3812"/>
      <c r="F64" s="3812"/>
      <c r="G64" s="3813"/>
      <c r="H64" s="1157"/>
      <c r="I64" s="911"/>
      <c r="J64" s="1742"/>
      <c r="K64" s="1377" t="s">
        <v>342</v>
      </c>
      <c r="L64" s="9"/>
      <c r="M64" s="9"/>
      <c r="N64" s="9"/>
      <c r="O64" s="9"/>
      <c r="P64" s="302"/>
      <c r="Q64" s="1751"/>
      <c r="R64" s="1751"/>
      <c r="S64" s="1751"/>
      <c r="T64" s="1751"/>
      <c r="U64" s="1751"/>
      <c r="V64" s="1751"/>
    </row>
    <row r="65" spans="1:22" ht="12" customHeight="1">
      <c r="A65" s="335" t="s">
        <v>345</v>
      </c>
      <c r="B65" s="336"/>
      <c r="C65" s="337"/>
      <c r="D65" s="338" t="s">
        <v>346</v>
      </c>
      <c r="E65" s="51" t="s">
        <v>347</v>
      </c>
      <c r="F65" s="339" t="s">
        <v>348</v>
      </c>
      <c r="G65" s="340" t="s">
        <v>349</v>
      </c>
      <c r="H65" s="1157"/>
      <c r="I65" s="911"/>
      <c r="J65" s="1742"/>
      <c r="K65" s="1158"/>
      <c r="L65" s="1159"/>
      <c r="M65" s="1159"/>
      <c r="N65" s="1191" t="s">
        <v>344</v>
      </c>
      <c r="O65" s="1192"/>
      <c r="P65" s="1193"/>
      <c r="Q65" s="1751"/>
      <c r="R65" s="1751"/>
      <c r="S65" s="1751"/>
      <c r="T65" s="1751"/>
      <c r="U65" s="1751"/>
      <c r="V65" s="1751"/>
    </row>
    <row r="66" spans="1:22" ht="25.5">
      <c r="A66" s="3807" t="s">
        <v>351</v>
      </c>
      <c r="B66" s="3808"/>
      <c r="C66" s="3808"/>
      <c r="D66" s="252" t="b">
        <f>IF(H66="情况1",0,IF(H66="情况2",D70,IF(H66="情况3",D71,IF(H66="情况4",D72))))</f>
        <v>0</v>
      </c>
      <c r="E66" s="955" t="str">
        <f>IF(H66="情况4","(销售额-原购置价)×税（费）率","销售额×税（费）率")</f>
        <v>销售额×税（费）率</v>
      </c>
      <c r="F66" s="341">
        <f>IF(H66="情况1","免征",'数据-取费表'!B41)</f>
        <v>0</v>
      </c>
      <c r="G66" s="342" t="s">
        <v>352</v>
      </c>
      <c r="H66" s="184"/>
      <c r="I66" s="1157"/>
      <c r="J66" s="1757"/>
      <c r="K66" s="1160">
        <v>1</v>
      </c>
      <c r="L66" s="3868" t="s">
        <v>350</v>
      </c>
      <c r="M66" s="3869"/>
      <c r="N66" s="2109"/>
      <c r="O66" s="2110"/>
      <c r="P66" s="2111"/>
      <c r="Q66" s="1751"/>
      <c r="R66" s="1751"/>
      <c r="S66" s="1751"/>
      <c r="T66" s="1751"/>
      <c r="U66" s="1751"/>
      <c r="V66" s="1751"/>
    </row>
    <row r="67" spans="1:22" ht="25.5" customHeight="1">
      <c r="A67" s="343" t="s">
        <v>354</v>
      </c>
      <c r="B67" s="3798" t="s">
        <v>355</v>
      </c>
      <c r="C67" s="3798"/>
      <c r="D67" s="344">
        <v>0</v>
      </c>
      <c r="E67" s="39" t="s">
        <v>356</v>
      </c>
      <c r="F67" s="60" t="s">
        <v>15</v>
      </c>
      <c r="G67" s="3856"/>
      <c r="H67" s="2748" t="s">
        <v>2253</v>
      </c>
      <c r="I67" s="2750"/>
      <c r="J67" s="1758"/>
      <c r="K67" s="1730">
        <v>2</v>
      </c>
      <c r="L67" s="3862" t="s">
        <v>353</v>
      </c>
      <c r="M67" s="3862"/>
      <c r="N67" s="1194">
        <f>'数据-取费表'!B2</f>
        <v>44942</v>
      </c>
      <c r="O67" s="1194"/>
      <c r="P67" s="1194"/>
      <c r="Q67" s="1751"/>
      <c r="R67" s="1751"/>
      <c r="S67" s="1751"/>
      <c r="T67" s="1751"/>
      <c r="U67" s="1751"/>
      <c r="V67" s="1751"/>
    </row>
    <row r="68" spans="1:22" ht="25.5" customHeight="1">
      <c r="A68" s="345"/>
      <c r="B68" s="3798" t="s">
        <v>358</v>
      </c>
      <c r="C68" s="3798"/>
      <c r="D68" s="346"/>
      <c r="E68" s="75"/>
      <c r="F68" s="347"/>
      <c r="G68" s="3857"/>
      <c r="H68" s="2749" t="s">
        <v>2254</v>
      </c>
      <c r="I68" s="2750"/>
      <c r="J68" s="1758"/>
      <c r="K68" s="1730">
        <v>3</v>
      </c>
      <c r="L68" s="3862" t="s">
        <v>357</v>
      </c>
      <c r="M68" s="3862"/>
      <c r="N68" s="1162">
        <f ca="1">C42</f>
        <v>39171</v>
      </c>
      <c r="O68" s="1162"/>
      <c r="P68" s="1162"/>
      <c r="Q68" s="1751"/>
      <c r="R68" s="1751"/>
      <c r="S68" s="1751"/>
      <c r="T68" s="1751"/>
      <c r="U68" s="1751"/>
      <c r="V68" s="1751"/>
    </row>
    <row r="69" spans="1:22" ht="23.45" customHeight="1">
      <c r="A69" s="348"/>
      <c r="B69" s="3798" t="s">
        <v>359</v>
      </c>
      <c r="C69" s="3798"/>
      <c r="D69" s="349"/>
      <c r="E69" s="71"/>
      <c r="F69" s="347"/>
      <c r="G69" s="3858"/>
      <c r="H69" s="2749" t="s">
        <v>2255</v>
      </c>
      <c r="I69" s="2750"/>
      <c r="J69" s="1758"/>
      <c r="K69" s="1163">
        <v>4</v>
      </c>
      <c r="L69" s="3872" t="s">
        <v>2154</v>
      </c>
      <c r="M69" s="3873"/>
      <c r="N69" s="1164">
        <f ca="1">C44</f>
        <v>39171</v>
      </c>
      <c r="O69" s="1164"/>
      <c r="P69" s="1164"/>
      <c r="Q69" s="1751"/>
      <c r="R69" s="1751"/>
      <c r="S69" s="1751"/>
      <c r="T69" s="1751"/>
      <c r="U69" s="1751"/>
      <c r="V69" s="1751"/>
    </row>
    <row r="70" spans="1:22" ht="24" customHeight="1">
      <c r="A70" s="350" t="s">
        <v>360</v>
      </c>
      <c r="B70" s="3798" t="s">
        <v>361</v>
      </c>
      <c r="C70" s="3798"/>
      <c r="D70" s="349">
        <f ca="1">ROUND(D63*'数据-取费表'!B41/(1+'数据-取费表'!C42),0)</f>
        <v>0</v>
      </c>
      <c r="E70" s="15" t="s">
        <v>362</v>
      </c>
      <c r="F70" s="351">
        <f>'数据-取费表'!B41</f>
        <v>0</v>
      </c>
      <c r="G70" s="352"/>
      <c r="H70" s="302"/>
      <c r="I70" s="1161"/>
      <c r="J70" s="1758"/>
      <c r="K70" s="2521"/>
      <c r="L70" s="2522"/>
      <c r="M70" s="2522"/>
      <c r="N70" s="2523" t="s">
        <v>2158</v>
      </c>
      <c r="O70" s="2522"/>
      <c r="P70" s="2524"/>
      <c r="Q70" s="1751"/>
      <c r="R70" s="1751"/>
      <c r="S70" s="1751"/>
      <c r="T70" s="1751"/>
      <c r="U70" s="1751"/>
      <c r="V70" s="1751"/>
    </row>
    <row r="71" spans="1:22" ht="12" customHeight="1">
      <c r="A71" s="350" t="s">
        <v>368</v>
      </c>
      <c r="B71" s="3799" t="s">
        <v>2282</v>
      </c>
      <c r="C71" s="3800"/>
      <c r="D71" s="349">
        <f ca="1">ROUND(D63*'数据-取费表'!B41/(1+'数据-取费表'!C42),0)</f>
        <v>0</v>
      </c>
      <c r="E71" s="15" t="s">
        <v>362</v>
      </c>
      <c r="F71" s="351">
        <f>'数据-取费表'!B41</f>
        <v>0</v>
      </c>
      <c r="G71" s="352"/>
      <c r="H71" s="302"/>
      <c r="I71" s="1161"/>
      <c r="J71" s="1758"/>
      <c r="K71" s="2520" t="s">
        <v>363</v>
      </c>
      <c r="L71" s="3874" t="s">
        <v>364</v>
      </c>
      <c r="M71" s="3874"/>
      <c r="N71" s="2520" t="s">
        <v>365</v>
      </c>
      <c r="O71" s="2520" t="s">
        <v>366</v>
      </c>
      <c r="P71" s="2520" t="s">
        <v>367</v>
      </c>
      <c r="Q71" s="1751"/>
      <c r="R71" s="1751"/>
      <c r="S71" s="1751"/>
      <c r="T71" s="1751"/>
      <c r="U71" s="1751"/>
      <c r="V71" s="1751"/>
    </row>
    <row r="72" spans="1:22" ht="12" customHeight="1">
      <c r="A72" s="350" t="s">
        <v>370</v>
      </c>
      <c r="B72" s="3799" t="s">
        <v>2283</v>
      </c>
      <c r="C72" s="3800"/>
      <c r="D72" s="349">
        <f ca="1">C86</f>
        <v>0</v>
      </c>
      <c r="E72" s="71" t="s">
        <v>371</v>
      </c>
      <c r="F72" s="351">
        <f>'数据-取费表'!B41</f>
        <v>0</v>
      </c>
      <c r="G72" s="352"/>
      <c r="H72" s="1167"/>
      <c r="I72" s="1161"/>
      <c r="J72" s="1758"/>
      <c r="K72" s="1730">
        <v>1</v>
      </c>
      <c r="L72" s="3849" t="s">
        <v>369</v>
      </c>
      <c r="M72" s="3849"/>
      <c r="N72" s="1165" t="b">
        <f>D66</f>
        <v>0</v>
      </c>
      <c r="O72" s="1635" t="str">
        <f>E66</f>
        <v>销售额×税（费）率</v>
      </c>
      <c r="P72" s="1166">
        <f>F66</f>
        <v>0</v>
      </c>
      <c r="Q72" s="1751"/>
      <c r="R72" s="1751"/>
      <c r="S72" s="1751"/>
      <c r="T72" s="1751"/>
      <c r="U72" s="1751"/>
      <c r="V72" s="1751"/>
    </row>
    <row r="73" spans="1:22" ht="24" customHeight="1">
      <c r="A73" s="3844" t="s">
        <v>373</v>
      </c>
      <c r="B73" s="3808"/>
      <c r="C73" s="3808"/>
      <c r="D73" s="353">
        <f ca="1">IF(H73="个人住宅",0,ROUND(D63*I73,0))</f>
        <v>20</v>
      </c>
      <c r="E73" s="15" t="s">
        <v>374</v>
      </c>
      <c r="F73" s="351" t="str">
        <f>IF(H73="正常",I73,"免征")</f>
        <v>免征</v>
      </c>
      <c r="G73" s="352"/>
      <c r="H73" s="184"/>
      <c r="I73" s="351">
        <f>'数据-取费表'!B49</f>
        <v>5.0000000000000001E-4</v>
      </c>
      <c r="J73" s="1758"/>
      <c r="K73" s="1730">
        <v>2</v>
      </c>
      <c r="L73" s="3849" t="s">
        <v>372</v>
      </c>
      <c r="M73" s="3849"/>
      <c r="N73" s="1165">
        <f t="shared" ref="N73:P74" ca="1" si="0">D73</f>
        <v>20</v>
      </c>
      <c r="O73" s="1635" t="str">
        <f t="shared" si="0"/>
        <v>销售额×税（费）率</v>
      </c>
      <c r="P73" s="1166" t="str">
        <f t="shared" si="0"/>
        <v>免征</v>
      </c>
      <c r="Q73" s="1751"/>
      <c r="R73" s="1751"/>
      <c r="S73" s="1751"/>
      <c r="T73" s="1751"/>
      <c r="U73" s="1751"/>
      <c r="V73" s="1751"/>
    </row>
    <row r="74" spans="1:22" ht="24.75">
      <c r="A74" s="3844" t="s">
        <v>376</v>
      </c>
      <c r="B74" s="3808"/>
      <c r="C74" s="3808"/>
      <c r="D74" s="353" t="e">
        <f ca="1">IF(H74="个人住宅",D75,D76)</f>
        <v>#DIV/0!</v>
      </c>
      <c r="E74" s="15" t="s">
        <v>377</v>
      </c>
      <c r="F74" s="351" t="str">
        <f>IF(H74="正常",F76,"免征")</f>
        <v>免征</v>
      </c>
      <c r="G74" s="945" t="s">
        <v>378</v>
      </c>
      <c r="H74" s="354"/>
      <c r="I74" s="40"/>
      <c r="J74" s="1758"/>
      <c r="K74" s="1730">
        <v>3</v>
      </c>
      <c r="L74" s="3849" t="s">
        <v>375</v>
      </c>
      <c r="M74" s="3849"/>
      <c r="N74" s="1165" t="e">
        <f t="shared" ca="1" si="0"/>
        <v>#DIV/0!</v>
      </c>
      <c r="O74" s="1635" t="str">
        <f t="shared" si="0"/>
        <v>增值额×税（费）率</v>
      </c>
      <c r="P74" s="1168" t="str">
        <f t="shared" si="0"/>
        <v>免征</v>
      </c>
      <c r="Q74" s="1751"/>
      <c r="R74" s="1751"/>
      <c r="S74" s="1751"/>
      <c r="T74" s="1751"/>
      <c r="U74" s="1751"/>
      <c r="V74" s="1751"/>
    </row>
    <row r="75" spans="1:22" ht="12.75">
      <c r="A75" s="350" t="s">
        <v>379</v>
      </c>
      <c r="B75" s="3796" t="s">
        <v>380</v>
      </c>
      <c r="C75" s="3832"/>
      <c r="D75" s="355">
        <v>0</v>
      </c>
      <c r="E75" s="39" t="s">
        <v>381</v>
      </c>
      <c r="F75" s="356"/>
      <c r="G75" s="352"/>
      <c r="H75" s="40"/>
      <c r="I75" s="40"/>
      <c r="J75" s="1758"/>
      <c r="K75" s="2514">
        <f>IF(H77="非个人房产","",4)</f>
        <v>4</v>
      </c>
      <c r="L75" s="3849" t="str">
        <f>IF(H77="非个人房产","——","个人所得税")</f>
        <v>个人所得税</v>
      </c>
      <c r="M75" s="3849"/>
      <c r="N75" s="1169">
        <f>D77</f>
        <v>0</v>
      </c>
      <c r="O75" s="1636" t="str">
        <f>E77</f>
        <v>差额计税</v>
      </c>
      <c r="P75" s="1170">
        <f>F77</f>
        <v>0.01</v>
      </c>
      <c r="Q75" s="1751"/>
      <c r="R75" s="1751"/>
      <c r="S75" s="1751"/>
      <c r="T75" s="1751"/>
      <c r="U75" s="1751"/>
      <c r="V75" s="1751"/>
    </row>
    <row r="76" spans="1:22" ht="24.75">
      <c r="A76" s="350" t="s">
        <v>360</v>
      </c>
      <c r="B76" s="3796" t="s">
        <v>383</v>
      </c>
      <c r="C76" s="3797"/>
      <c r="D76" s="353" t="e">
        <f ca="1">IF(H76="转让取得",C99,C115)</f>
        <v>#DIV/0!</v>
      </c>
      <c r="E76" s="15" t="s">
        <v>384</v>
      </c>
      <c r="F76" s="51" t="s">
        <v>15</v>
      </c>
      <c r="G76" s="352"/>
      <c r="H76" s="354"/>
      <c r="I76" s="40"/>
      <c r="J76" s="1758"/>
      <c r="K76" s="2514" t="str">
        <f>IF(项目基本情况!K6="上海银行",IF(K75="",4,K75+1),"")</f>
        <v/>
      </c>
      <c r="L76" s="3864" t="str">
        <f>IF(项目基本情况!K6="上海银行","其他处置费用","")</f>
        <v/>
      </c>
      <c r="M76" s="3865"/>
      <c r="N76" s="1165" t="str">
        <f>IF(项目基本情况!K6="上海银行",N89,"")</f>
        <v/>
      </c>
      <c r="O76" s="3866" t="str">
        <f>IF(项目基本情况!K6="上海银行","包含处置中涉及的律师、诉讼、拍卖、评估等费用","")</f>
        <v/>
      </c>
      <c r="P76" s="3867"/>
      <c r="Q76" s="1751"/>
      <c r="R76" s="1751"/>
      <c r="S76" s="1751"/>
      <c r="T76" s="1751"/>
      <c r="U76" s="1751"/>
      <c r="V76" s="1751"/>
    </row>
    <row r="77" spans="1:22" ht="24.75" thickBot="1">
      <c r="A77" s="3851" t="s">
        <v>386</v>
      </c>
      <c r="B77" s="3852"/>
      <c r="C77" s="3852"/>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378</v>
      </c>
      <c r="H77" s="2752"/>
      <c r="I77" s="2751" t="s">
        <v>2256</v>
      </c>
      <c r="J77" s="1758"/>
      <c r="K77" s="3850">
        <f>IF(AND(K75="",K76=""),4,IF(项目基本情况!K6="上海银行",K76+1,K75+1))</f>
        <v>5</v>
      </c>
      <c r="L77" s="3849" t="s">
        <v>2155</v>
      </c>
      <c r="M77" s="2519" t="s">
        <v>382</v>
      </c>
      <c r="N77" s="1171"/>
      <c r="O77" s="1172">
        <f ca="1">SUMIF(N72:N76,"&lt;9e307")</f>
        <v>20</v>
      </c>
      <c r="P77" s="1173"/>
      <c r="Q77" s="2517">
        <f ca="1">O77/N69</f>
        <v>5.1058180797018205E-4</v>
      </c>
      <c r="R77" s="1751"/>
      <c r="S77" s="1751"/>
      <c r="T77" s="1751"/>
      <c r="U77" s="1751"/>
      <c r="V77" s="1751"/>
    </row>
    <row r="78" spans="1:22" ht="12" customHeight="1">
      <c r="A78" s="1174"/>
      <c r="B78" s="302"/>
      <c r="C78" s="302"/>
      <c r="D78" s="302"/>
      <c r="E78" s="40"/>
      <c r="F78" s="40"/>
      <c r="G78" s="40"/>
      <c r="H78" s="965"/>
      <c r="I78" s="302"/>
      <c r="J78" s="1758"/>
      <c r="K78" s="3850"/>
      <c r="L78" s="3849"/>
      <c r="M78" s="2519" t="s">
        <v>385</v>
      </c>
      <c r="N78" s="1171"/>
      <c r="O78" s="1172" t="str">
        <f ca="1">NUMBERSTRING(INT(O77*10000),2)&amp;"元整"</f>
        <v>贰拾万元整</v>
      </c>
      <c r="P78" s="1173"/>
      <c r="Q78" s="1751"/>
      <c r="R78" s="1751"/>
      <c r="S78" s="1751"/>
      <c r="T78" s="1751"/>
      <c r="U78" s="1751"/>
      <c r="V78" s="1751"/>
    </row>
    <row r="79" spans="1:22" ht="13.5" thickBot="1">
      <c r="A79" s="3816" t="s">
        <v>387</v>
      </c>
      <c r="B79" s="3816"/>
      <c r="C79" s="3816"/>
      <c r="D79" s="3816"/>
      <c r="E79" s="3816"/>
      <c r="F79" s="40"/>
      <c r="G79" s="40"/>
      <c r="H79" s="965"/>
      <c r="I79" s="302"/>
      <c r="J79" s="1758"/>
      <c r="K79" s="3870">
        <f>K77+1</f>
        <v>6</v>
      </c>
      <c r="L79" s="3849" t="s">
        <v>2156</v>
      </c>
      <c r="M79" s="2519" t="s">
        <v>382</v>
      </c>
      <c r="N79" s="1171"/>
      <c r="O79" s="1172">
        <f ca="1">N69-O77</f>
        <v>39151</v>
      </c>
      <c r="P79" s="1173"/>
      <c r="Q79" s="1751"/>
      <c r="R79" s="1751"/>
      <c r="S79" s="1751"/>
      <c r="T79" s="1751"/>
      <c r="U79" s="1751"/>
      <c r="V79" s="1751"/>
    </row>
    <row r="80" spans="1:22" ht="25.5">
      <c r="A80" s="3817" t="s">
        <v>388</v>
      </c>
      <c r="B80" s="3818"/>
      <c r="C80" s="956"/>
      <c r="D80" s="956" t="s">
        <v>389</v>
      </c>
      <c r="E80" s="357" t="s">
        <v>390</v>
      </c>
      <c r="F80" s="40"/>
      <c r="G80" s="40"/>
      <c r="H80" s="965"/>
      <c r="I80" s="302"/>
      <c r="J80" s="1751"/>
      <c r="K80" s="3871"/>
      <c r="L80" s="3849"/>
      <c r="M80" s="2519" t="s">
        <v>385</v>
      </c>
      <c r="N80" s="1171"/>
      <c r="O80" s="1172" t="str">
        <f ca="1">NUMBERSTRING(INT(O79*10000),2)&amp;"元整"</f>
        <v>叁亿玖仟壹佰伍拾壹万元整</v>
      </c>
      <c r="P80" s="1173"/>
      <c r="Q80" s="1751"/>
      <c r="R80" s="1751"/>
      <c r="S80" s="1751"/>
      <c r="T80" s="1751"/>
      <c r="U80" s="1751"/>
      <c r="V80" s="1751"/>
    </row>
    <row r="81" spans="1:26" ht="13.5" thickBot="1">
      <c r="A81" s="368" t="s">
        <v>1351</v>
      </c>
      <c r="B81" s="358" t="s">
        <v>391</v>
      </c>
      <c r="C81" s="359">
        <f ca="1">ROUND((C82+C83)/(1+'数据-取费表'!C42),0)</f>
        <v>39171</v>
      </c>
      <c r="D81" s="360"/>
      <c r="E81" s="361"/>
      <c r="F81" s="40"/>
      <c r="G81" s="40"/>
      <c r="H81" s="965"/>
      <c r="I81" s="302"/>
      <c r="J81" s="1751"/>
      <c r="K81" s="2514">
        <f>K79+1</f>
        <v>7</v>
      </c>
      <c r="L81" s="3847" t="s">
        <v>2157</v>
      </c>
      <c r="M81" s="3848"/>
      <c r="N81" s="1175"/>
      <c r="O81" s="1176">
        <f ca="1">ROUND(O79*10000/'数据-汇总表'!E3,0)</f>
        <v>6617</v>
      </c>
      <c r="P81" s="1177"/>
      <c r="Q81" s="1751"/>
      <c r="R81" s="1751"/>
      <c r="S81" s="1751"/>
      <c r="T81" s="1751"/>
      <c r="U81" s="1751"/>
      <c r="V81" s="1751"/>
    </row>
    <row r="82" spans="1:26" ht="13.5" thickTop="1">
      <c r="A82" s="362" t="s">
        <v>1352</v>
      </c>
      <c r="B82" s="363" t="s">
        <v>392</v>
      </c>
      <c r="C82" s="364">
        <f ca="1">D63</f>
        <v>39171</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1353</v>
      </c>
      <c r="B83" s="363" t="s">
        <v>393</v>
      </c>
      <c r="C83" s="367"/>
      <c r="D83" s="365"/>
      <c r="E83" s="366"/>
      <c r="F83" s="40"/>
      <c r="G83" s="40"/>
      <c r="H83" s="965"/>
      <c r="I83" s="302"/>
      <c r="J83" s="1751"/>
      <c r="K83" s="3863" t="s">
        <v>2145</v>
      </c>
      <c r="L83" s="2525" t="s">
        <v>2146</v>
      </c>
      <c r="M83" s="2515">
        <f ca="1">IF(N69&gt;10000,N69*0.5%,IF(AND(N69&gt;1000,N69&lt;=10000),N69*1%,IF(AND(N69&gt;100,N69&lt;=1000),N69*3%,IF(AND(N69&gt;10,N69&lt;=100),N69*5%,N69*8%))))</f>
        <v>195.85500000000002</v>
      </c>
      <c r="N83" s="51">
        <f ca="1">ROUND(M83,1)</f>
        <v>195.9</v>
      </c>
      <c r="O83" s="2518"/>
      <c r="P83" s="1751"/>
      <c r="Q83" s="1751"/>
      <c r="R83" s="1751"/>
      <c r="S83" s="1751"/>
      <c r="T83" s="1751"/>
      <c r="U83" s="1751"/>
      <c r="V83" s="1751"/>
    </row>
    <row r="84" spans="1:26" ht="12.75">
      <c r="A84" s="368" t="s">
        <v>1354</v>
      </c>
      <c r="B84" s="369" t="s">
        <v>394</v>
      </c>
      <c r="C84" s="370"/>
      <c r="D84" s="371" t="s">
        <v>13</v>
      </c>
      <c r="E84" s="2541" t="s">
        <v>2199</v>
      </c>
      <c r="F84" s="40"/>
      <c r="G84" s="40"/>
      <c r="H84" s="965"/>
      <c r="I84" s="302"/>
      <c r="J84" s="1751"/>
      <c r="K84" s="3863"/>
      <c r="L84" s="2525" t="s">
        <v>2147</v>
      </c>
      <c r="M84" s="2515">
        <f ca="1">IF(N69&gt;2000,N69*0.5%,IF(AND(N69&gt;1000,N69&lt;=2000),N69*0.6%,IF(AND(N69&gt;500,N69&lt;=1000),N69*0.7%,IF(AND(N69&gt;200,N69&lt;=500),N69*0.8%,IF(AND(N69&gt;100,N69&lt;=200),N69*0.9%,IF(AND(N69&gt;50,N69&lt;=100),N69*1%,IF(AND(N69&gt;20,N69&lt;=50),N69*1.5%,IF(AND(N69&gt;10,N69&lt;=20),N69*2%,IF(AND(N69&gt;1,N69&lt;=10),N69*2.5%)))))))))</f>
        <v>195.85500000000002</v>
      </c>
      <c r="N84" s="51">
        <f ca="1">ROUND(M84,1)</f>
        <v>195.9</v>
      </c>
      <c r="O84" s="1751" t="s">
        <v>2148</v>
      </c>
      <c r="P84" s="1751"/>
      <c r="Q84" s="1751"/>
      <c r="R84" s="1751"/>
      <c r="S84" s="1751"/>
      <c r="T84" s="1751"/>
      <c r="U84" s="1751"/>
      <c r="V84" s="1751"/>
    </row>
    <row r="85" spans="1:26" ht="12.75">
      <c r="A85" s="368" t="s">
        <v>1355</v>
      </c>
      <c r="B85" s="369" t="s">
        <v>395</v>
      </c>
      <c r="C85" s="372">
        <f ca="1">C81-C84</f>
        <v>39171</v>
      </c>
      <c r="D85" s="365" t="s">
        <v>13</v>
      </c>
      <c r="E85" s="366"/>
      <c r="F85" s="40"/>
      <c r="G85" s="40"/>
      <c r="H85" s="965"/>
      <c r="I85" s="302"/>
      <c r="J85" s="1751"/>
      <c r="K85" s="3863"/>
      <c r="L85" s="2525" t="s">
        <v>2149</v>
      </c>
      <c r="M85" s="2515">
        <f ca="1">IF(N69&gt;1000,N69*0.1%,IF(AND(N69&gt;500,N69&lt;=1000),N69*0.5%,IF(AND(N69&gt;50,N69&lt;=500),N69*1%,IF(AND(N69&gt;1,N69&lt;=50),N69*1.5%))))</f>
        <v>39.170999999999999</v>
      </c>
      <c r="N85" s="51">
        <f ca="1">ROUND(M85,1)</f>
        <v>39.200000000000003</v>
      </c>
      <c r="O85" s="1751" t="s">
        <v>2148</v>
      </c>
      <c r="P85" s="1751"/>
      <c r="Q85" s="1751"/>
      <c r="R85" s="1751"/>
      <c r="S85" s="1751"/>
      <c r="T85" s="1751"/>
      <c r="U85" s="1751"/>
      <c r="V85" s="1751"/>
    </row>
    <row r="86" spans="1:26" ht="13.5" thickBot="1">
      <c r="A86" s="373" t="s">
        <v>1356</v>
      </c>
      <c r="B86" s="374" t="s">
        <v>396</v>
      </c>
      <c r="C86" s="375">
        <f ca="1">IF(C85&lt;=0,0,ROUND(C85*D86,0))</f>
        <v>0</v>
      </c>
      <c r="D86" s="376">
        <f>'数据-取费表'!B41</f>
        <v>0</v>
      </c>
      <c r="E86" s="377"/>
      <c r="F86" s="40"/>
      <c r="G86" s="40"/>
      <c r="H86" s="965"/>
      <c r="I86" s="302"/>
      <c r="J86" s="1751"/>
      <c r="K86" s="3863"/>
      <c r="L86" s="2525" t="s">
        <v>2150</v>
      </c>
      <c r="M86" s="2515">
        <f ca="1">N69*0.5%</f>
        <v>195.85500000000002</v>
      </c>
      <c r="N86" s="51">
        <f ca="1">IF(M86&gt;0.5,0.5,ROUND(M86,0))</f>
        <v>0.5</v>
      </c>
      <c r="O86" s="1751" t="s">
        <v>2151</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63"/>
      <c r="L87" s="2525" t="s">
        <v>2152</v>
      </c>
      <c r="M87" s="2515">
        <f ca="1">IF(N69&gt;=10000,(8.25+(N69-10000)*0.01%),IF(AND(N69&gt;=8000,N69&lt;10000),(7.85+(N69-8000)*0.02%),IF(AND(N69&gt;=5000,N69&lt;8000),(6.65+(N69-5000)*0.04%),IF(AND(N69&gt;=2000,N69&lt;5000),(4.25+(PN69-2000)*0.08%),IF(AND(N69&gt;=1000,N69&lt;2000),(2.75+(N69-1000)*0.15%),IF(AND(N69&gt;=100,N69&lt;1000),(0.5+(N69-100)*0.25%),IF(AND(N69&gt;0,N69&lt;100),N69*0.5%)))))))</f>
        <v>11.1671</v>
      </c>
      <c r="N87" s="51">
        <f ca="1">ROUND(M87*0.9,1)</f>
        <v>10.1</v>
      </c>
      <c r="O87" s="2518"/>
      <c r="P87" s="1751"/>
      <c r="Q87" s="1751"/>
      <c r="R87" s="1751"/>
      <c r="S87" s="1751"/>
      <c r="T87" s="1751"/>
      <c r="U87" s="1751"/>
      <c r="V87" s="1751"/>
      <c r="W87" s="283"/>
      <c r="X87" s="283"/>
      <c r="Y87" s="283"/>
      <c r="Z87" s="283"/>
    </row>
    <row r="88" spans="1:26" s="1183" customFormat="1" ht="15" thickBot="1">
      <c r="A88" s="3842" t="s">
        <v>397</v>
      </c>
      <c r="B88" s="3843"/>
      <c r="C88" s="3843"/>
      <c r="D88" s="3843"/>
      <c r="E88" s="3843"/>
      <c r="F88" s="3843"/>
      <c r="G88" s="3843"/>
      <c r="H88" s="3843"/>
      <c r="I88" s="1184"/>
      <c r="J88" s="1759"/>
      <c r="K88" s="3863"/>
      <c r="L88" s="2525" t="s">
        <v>2153</v>
      </c>
      <c r="M88" s="2515">
        <f ca="1">IF(N69&gt;10000,N69*0.5%,IF(AND(N69&gt;5000,N69&lt;=10000),N69*1%,IF(AND(N69&gt;1000,N69&lt;=5000),N69*2%,IF(AND(N69&gt;200,N69&lt;=1000),N69*3%,N69*5%))))</f>
        <v>195.85500000000002</v>
      </c>
      <c r="N88" s="51">
        <f ca="1">ROUND(M88,1)</f>
        <v>195.9</v>
      </c>
      <c r="O88" s="2518"/>
      <c r="P88" s="1756"/>
      <c r="Q88" s="1756"/>
      <c r="R88" s="1756"/>
      <c r="S88" s="1756"/>
      <c r="T88" s="1756"/>
      <c r="U88" s="1756"/>
      <c r="V88" s="1756"/>
      <c r="W88" s="1760"/>
      <c r="X88" s="1760"/>
      <c r="Y88" s="1760"/>
      <c r="Z88" s="1760"/>
    </row>
    <row r="89" spans="1:26" s="1183" customFormat="1" ht="14.25">
      <c r="A89" s="3817" t="s">
        <v>388</v>
      </c>
      <c r="B89" s="3818"/>
      <c r="C89" s="956"/>
      <c r="D89" s="956" t="s">
        <v>389</v>
      </c>
      <c r="E89" s="378" t="s">
        <v>398</v>
      </c>
      <c r="F89" s="379"/>
      <c r="G89" s="379"/>
      <c r="H89" s="380"/>
      <c r="I89" s="1185"/>
      <c r="J89" s="1761"/>
      <c r="K89" s="3863"/>
      <c r="L89" s="2525" t="s">
        <v>16</v>
      </c>
      <c r="M89" s="2516"/>
      <c r="N89" s="51">
        <f ca="1">ROUND(SUM(N83:N88),0)</f>
        <v>638</v>
      </c>
      <c r="O89" s="2526">
        <f ca="1">N89/N69</f>
        <v>1.6287559674248806E-2</v>
      </c>
      <c r="P89" s="1756"/>
      <c r="Q89" s="1756"/>
      <c r="R89" s="1756"/>
      <c r="S89" s="1756"/>
      <c r="T89" s="1756"/>
      <c r="U89" s="1756"/>
      <c r="V89" s="1756"/>
      <c r="W89" s="1760"/>
      <c r="X89" s="1760"/>
      <c r="Y89" s="1760"/>
      <c r="Z89" s="1760"/>
    </row>
    <row r="90" spans="1:26" s="1183" customFormat="1" ht="14.25">
      <c r="A90" s="368" t="s">
        <v>1351</v>
      </c>
      <c r="B90" s="369" t="s">
        <v>399</v>
      </c>
      <c r="C90" s="372">
        <f ca="1">ROUND(D63/(1+'数据-取费表'!C42),0)</f>
        <v>39171</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1357</v>
      </c>
      <c r="B91" s="339" t="s">
        <v>400</v>
      </c>
      <c r="C91" s="372">
        <f ca="1">C92+C96</f>
        <v>0</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1358</v>
      </c>
      <c r="B92" s="363" t="s">
        <v>401</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1359</v>
      </c>
      <c r="B93" s="363" t="s">
        <v>402</v>
      </c>
      <c r="C93" s="383"/>
      <c r="D93" s="365" t="s">
        <v>13</v>
      </c>
      <c r="E93" s="384" t="s">
        <v>403</v>
      </c>
      <c r="F93" s="385"/>
      <c r="G93" s="384" t="s">
        <v>404</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1360</v>
      </c>
      <c r="B94" s="387" t="s">
        <v>405</v>
      </c>
      <c r="C94" s="365">
        <f>IF(F93="购房发票",ROUND(C93*H93*5%,0),0)</f>
        <v>0</v>
      </c>
      <c r="D94" s="388">
        <v>0.05</v>
      </c>
      <c r="E94" s="3799" t="s">
        <v>406</v>
      </c>
      <c r="F94" s="3798"/>
      <c r="G94" s="3798"/>
      <c r="H94" s="3841"/>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1361</v>
      </c>
      <c r="B95" s="363" t="s">
        <v>407</v>
      </c>
      <c r="C95" s="365">
        <f>ROUND(IF(G95="个人买卖住房",0,IF(G95="2016年5月1日前购买",C93*D95,C93*D95/(1+'数据-取费表'!C42))),0)</f>
        <v>0</v>
      </c>
      <c r="D95" s="389">
        <f>'数据-取费表'!B48+'数据-取费表'!B49</f>
        <v>3.0499999999999999E-2</v>
      </c>
      <c r="E95" s="24" t="s">
        <v>408</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1362</v>
      </c>
      <c r="B96" s="363" t="s">
        <v>409</v>
      </c>
      <c r="C96" s="392">
        <f ca="1">ROUND(D63*D96/(1+'数据-取费表'!C42),0)</f>
        <v>0</v>
      </c>
      <c r="D96" s="393">
        <f>'数据-取费表'!B43</f>
        <v>0</v>
      </c>
      <c r="E96" s="3833" t="s">
        <v>1777</v>
      </c>
      <c r="F96" s="3834"/>
      <c r="G96" s="3834"/>
      <c r="H96" s="3835"/>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1363</v>
      </c>
      <c r="B97" s="369" t="s">
        <v>410</v>
      </c>
      <c r="C97" s="372">
        <f ca="1">C90-C91</f>
        <v>39171</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1364</v>
      </c>
      <c r="B98" s="369" t="s">
        <v>411</v>
      </c>
      <c r="C98" s="394" t="e">
        <f ca="1">IF(C97&lt;=0,0,C97/C91)</f>
        <v>#DIV/0!</v>
      </c>
      <c r="D98" s="365" t="s">
        <v>13</v>
      </c>
      <c r="E98" s="24" t="e">
        <f ca="1">IF(C98&gt;=200%,"增值额超过扣除项目金额200%",IF(C98&gt;=100%,"增值额超过扣除项目金额100%，未超过200%",IF(C98&gt;=50%,"增值额超过扣除项目金额50%，未超过100%",IF(C98&lt;50%,"增值额未超过扣除项目金额50%"))))</f>
        <v>#DIV/0!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1365</v>
      </c>
      <c r="B99" s="374" t="s">
        <v>412</v>
      </c>
      <c r="C99" s="395" t="e">
        <f ca="1">ROUND(IF(C97&lt;=0,0,IF(C98&gt;=200%,C97*60%-C91*35%,IF(C98&gt;=100%,C97*50%-C91*15%,IF(C98&gt;=50%,C97*40%-C91*5%,IF(C98&lt;50%,C97*30%,0))))),0)</f>
        <v>#DIV/0!</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42" t="s">
        <v>413</v>
      </c>
      <c r="B101" s="3843"/>
      <c r="C101" s="3843"/>
      <c r="D101" s="3843"/>
      <c r="E101" s="3843"/>
      <c r="F101" s="3843"/>
      <c r="G101" s="3843"/>
      <c r="H101" s="3843"/>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17" t="s">
        <v>388</v>
      </c>
      <c r="B102" s="3818"/>
      <c r="C102" s="956"/>
      <c r="D102" s="956" t="s">
        <v>389</v>
      </c>
      <c r="E102" s="378" t="s">
        <v>398</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1351</v>
      </c>
      <c r="B103" s="369" t="s">
        <v>399</v>
      </c>
      <c r="C103" s="372">
        <f ca="1">ROUND(D63/(1+'数据-取费表'!C42),0)</f>
        <v>39171</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1357</v>
      </c>
      <c r="B104" s="339" t="s">
        <v>400</v>
      </c>
      <c r="C104" s="372">
        <f ca="1">IF(H106="仅含出让金",C105+C108+C109+C110+C111+C112,C105+C109+C110+C111+C112)</f>
        <v>0</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1358</v>
      </c>
      <c r="B105" s="363" t="s">
        <v>414</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1359</v>
      </c>
      <c r="B106" s="363" t="s">
        <v>415</v>
      </c>
      <c r="C106" s="403"/>
      <c r="D106" s="393"/>
      <c r="E106" s="404" t="s">
        <v>416</v>
      </c>
      <c r="F106" s="948"/>
      <c r="G106" s="405" t="s">
        <v>417</v>
      </c>
      <c r="H106" s="406"/>
      <c r="I106" s="9"/>
      <c r="J106" s="1756"/>
      <c r="K106" s="2985" t="s">
        <v>2276</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1360</v>
      </c>
      <c r="B107" s="363" t="s">
        <v>407</v>
      </c>
      <c r="C107" s="392">
        <f>ROUND(C106*D107,0)</f>
        <v>0</v>
      </c>
      <c r="D107" s="393">
        <f>'数据-取费表'!B48+'数据-取费表'!B49</f>
        <v>3.0499999999999999E-2</v>
      </c>
      <c r="E107" s="404" t="s">
        <v>418</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1362</v>
      </c>
      <c r="B108" s="363" t="s">
        <v>419</v>
      </c>
      <c r="C108" s="403"/>
      <c r="D108" s="393"/>
      <c r="E108" s="404" t="str">
        <f>IF(H106="-","土地取得成本中已包含该笔费用"," ")</f>
        <v xml:space="preserve"> </v>
      </c>
      <c r="F108" s="948"/>
      <c r="G108" s="3793" t="s">
        <v>2248</v>
      </c>
      <c r="H108" s="3794"/>
      <c r="I108" s="2611"/>
      <c r="J108" s="1756"/>
      <c r="K108" s="2985" t="s">
        <v>2277</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1366</v>
      </c>
      <c r="B109" s="363" t="s">
        <v>420</v>
      </c>
      <c r="C109" s="392">
        <f>IF(H109="——",IF(F1="现房",'剩余法-现房'!C18,0),I109)</f>
        <v>0</v>
      </c>
      <c r="D109" s="393"/>
      <c r="E109" s="3836" t="s">
        <v>421</v>
      </c>
      <c r="F109" s="3834"/>
      <c r="G109" s="3834"/>
      <c r="H109" s="1696" t="s">
        <v>876</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1367</v>
      </c>
      <c r="B110" s="363" t="s">
        <v>422</v>
      </c>
      <c r="C110" s="392">
        <f>ROUND((C105+C108+C109)*D110,0)</f>
        <v>0</v>
      </c>
      <c r="D110" s="3016">
        <v>0</v>
      </c>
      <c r="E110" s="3836" t="s">
        <v>423</v>
      </c>
      <c r="F110" s="3834"/>
      <c r="G110" s="3834"/>
      <c r="H110" s="3835"/>
      <c r="I110" s="9"/>
      <c r="J110" s="1756"/>
      <c r="K110" s="2986" t="s">
        <v>2278</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1368</v>
      </c>
      <c r="B111" s="363" t="s">
        <v>409</v>
      </c>
      <c r="C111" s="392">
        <f ca="1">ROUND(D63*D111/(1+'数据-取费表'!C42),0)</f>
        <v>0</v>
      </c>
      <c r="D111" s="393">
        <f>'数据-取费表'!B43</f>
        <v>0</v>
      </c>
      <c r="E111" s="3833" t="s">
        <v>1777</v>
      </c>
      <c r="F111" s="3834"/>
      <c r="G111" s="3834"/>
      <c r="H111" s="3835"/>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1369</v>
      </c>
      <c r="B112" s="363" t="s">
        <v>424</v>
      </c>
      <c r="C112" s="392">
        <f>ROUND(C108*D112,0)</f>
        <v>0</v>
      </c>
      <c r="D112" s="393">
        <v>0.2</v>
      </c>
      <c r="E112" s="3836" t="s">
        <v>1796</v>
      </c>
      <c r="F112" s="3834"/>
      <c r="G112" s="3834"/>
      <c r="H112" s="3835"/>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1363</v>
      </c>
      <c r="B113" s="369" t="s">
        <v>410</v>
      </c>
      <c r="C113" s="372">
        <f ca="1">ROUND(C103-C104,0)</f>
        <v>39171</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1364</v>
      </c>
      <c r="B114" s="369" t="s">
        <v>411</v>
      </c>
      <c r="C114" s="394" t="e">
        <f ca="1">IF(C113&lt;=0,0,C113/C104)</f>
        <v>#DIV/0!</v>
      </c>
      <c r="D114" s="365" t="s">
        <v>13</v>
      </c>
      <c r="E114" s="24" t="e">
        <f ca="1">IF(C114&gt;=200%,"增值额超过扣除项目金额200%",IF(C114&gt;=100%,"增值额超过扣除项目金额100%，未超过200%",IF(C114&gt;=50%,"增值额超过扣除项目金额50%，未超过100%",IF(C114&lt;50%,"增值额未超过扣除项目金额50%"))))</f>
        <v>#DIV/0!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1365</v>
      </c>
      <c r="B115" s="374" t="s">
        <v>412</v>
      </c>
      <c r="C115" s="395" t="e">
        <f ca="1">ROUND(IF(C113&lt;=0,0,IF(C114&gt;=200%,C113*60%-C104*35%,IF(C114&gt;=100%,C113*50%-C104*15%,IF(C114&gt;=50%,C113*40%-C104*5%,IF(C114&lt;50%,C113*30%,0))))),0)</f>
        <v>#DIV/0!</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80" zoomScaleNormal="60" zoomScaleSheetLayoutView="80" workbookViewId="0">
      <selection activeCell="D33" sqref="D3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1226</v>
      </c>
      <c r="B1" s="1255"/>
      <c r="C1" s="1261" t="s">
        <v>1775</v>
      </c>
      <c r="D1" s="1341">
        <f>SUM(D33:D34,D37:D42)</f>
        <v>48769.46</v>
      </c>
      <c r="E1" s="1261" t="s">
        <v>1776</v>
      </c>
      <c r="F1" s="2104"/>
      <c r="G1" s="1256"/>
      <c r="H1" s="1256"/>
      <c r="I1" s="1256"/>
      <c r="J1" s="1256"/>
      <c r="K1" s="1910"/>
      <c r="L1" s="1637" t="s">
        <v>1594</v>
      </c>
      <c r="M1" s="1638">
        <f>SUMPRODUCT((区片价!B5:B9=I2)*(区片价!C3:G3=E2)*(区片价!C5:G9))</f>
        <v>0</v>
      </c>
      <c r="N1" s="1639">
        <f>SUMPRODUCT((因素修正幅度!B5:B9=I2)*(因素修正幅度!C3:G3=E2)*(因素修正幅度!C5:G9))</f>
        <v>0</v>
      </c>
      <c r="O1" s="1910"/>
      <c r="P1" s="1910"/>
      <c r="Q1" s="1910"/>
      <c r="R1" s="2414" t="s">
        <v>2040</v>
      </c>
      <c r="S1" s="2414" t="s">
        <v>2041</v>
      </c>
      <c r="T1" s="2414" t="s">
        <v>2058</v>
      </c>
      <c r="U1" s="2414" t="s">
        <v>2059</v>
      </c>
      <c r="V1" s="2414" t="s">
        <v>2060</v>
      </c>
      <c r="W1" s="1910"/>
      <c r="X1" s="1910"/>
      <c r="Y1" s="1910"/>
      <c r="Z1" s="1910"/>
      <c r="AA1" s="1910"/>
      <c r="AB1" s="1910"/>
      <c r="AC1" s="1911"/>
    </row>
    <row r="2" spans="1:39" ht="15.75">
      <c r="A2" s="1261" t="s">
        <v>847</v>
      </c>
      <c r="B2" s="991">
        <f>C30</f>
        <v>25007</v>
      </c>
      <c r="C2" s="1262" t="s">
        <v>848</v>
      </c>
      <c r="D2" s="1263" t="s">
        <v>849</v>
      </c>
      <c r="E2" s="1264" t="s">
        <v>2735</v>
      </c>
      <c r="F2" s="1263" t="s">
        <v>851</v>
      </c>
      <c r="G2" s="1457" t="str">
        <f>IF(E2="商业",项目基本情况!B43,IF(E2="办公",项目基本情况!C43,IF(E2="住宅",项目基本情况!D43,IF(E2="工业",项目基本情况!E43,项目基本情况!F43))))</f>
        <v>五级</v>
      </c>
      <c r="H2" s="1263" t="s">
        <v>853</v>
      </c>
      <c r="I2" s="1458" t="str">
        <f>IF(E2="商业",项目基本情况!B44,IF(E2="办公",项目基本情况!C44,IF(E2="住宅",项目基本情况!D44,IF(E2="工业",项目基本情况!E44,项目基本情况!F44))))</f>
        <v>Ⅴ-28</v>
      </c>
      <c r="J2" s="1265"/>
      <c r="K2" s="2974"/>
      <c r="L2" s="1640" t="s">
        <v>1595</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1.5019</v>
      </c>
      <c r="T2" s="2415">
        <f>ROUND($C$5*$C$22*$C$23*$C$24*S2*$C$28,0)</f>
        <v>9359</v>
      </c>
      <c r="U2" s="2405"/>
      <c r="V2" s="2415">
        <f>ROUND(T2*U2/10000,0)</f>
        <v>0</v>
      </c>
      <c r="W2" s="1910"/>
      <c r="X2" s="1910"/>
      <c r="Y2" s="1910"/>
      <c r="Z2" s="1910"/>
      <c r="AA2" s="1910"/>
      <c r="AB2" s="1910"/>
      <c r="AC2" s="1911"/>
    </row>
    <row r="3" spans="1:39" ht="15.75">
      <c r="A3" s="1266" t="s">
        <v>1219</v>
      </c>
      <c r="B3" s="991">
        <f>ROUND(B2*10000/D1,0)</f>
        <v>5128</v>
      </c>
      <c r="C3" s="1262" t="s">
        <v>854</v>
      </c>
      <c r="D3" s="1263" t="s">
        <v>855</v>
      </c>
      <c r="E3" s="1267" t="s">
        <v>2481</v>
      </c>
      <c r="F3" s="1268" t="s">
        <v>3373</v>
      </c>
      <c r="G3" s="992">
        <f>IF(F3="宗地容积率",'数据-汇总表'!I4,IF(F3="估价对象容积率",'数据-汇总表'!I6,'数据-汇总表'!I7))</f>
        <v>1.6</v>
      </c>
      <c r="H3" s="1269" t="s">
        <v>856</v>
      </c>
      <c r="I3" s="993"/>
      <c r="J3" s="1265" t="s">
        <v>857</v>
      </c>
      <c r="K3" s="2974"/>
      <c r="L3" s="1640" t="s">
        <v>1596</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1.1838</v>
      </c>
      <c r="T3" s="2415">
        <f t="shared" ref="T3:T16" si="0">ROUND($C$5*$C$22*$C$23*$C$24*S3*$C$28,0)</f>
        <v>7376</v>
      </c>
      <c r="U3" s="2405"/>
      <c r="V3" s="2415">
        <f t="shared" ref="V3:V16" si="1">ROUND(T3*U3/10000,0)</f>
        <v>0</v>
      </c>
      <c r="W3" s="1910"/>
      <c r="X3" s="1910"/>
      <c r="Y3" s="1910"/>
      <c r="Z3" s="1910"/>
      <c r="AA3" s="1910"/>
      <c r="AB3" s="1910"/>
      <c r="AC3" s="1911"/>
    </row>
    <row r="4" spans="1:39" ht="28.5">
      <c r="A4" s="1646" t="s">
        <v>1635</v>
      </c>
      <c r="B4" s="2105" t="e">
        <f>ROUND(B2*10000/F1,0)</f>
        <v>#DIV/0!</v>
      </c>
      <c r="C4" s="1649" t="s">
        <v>1610</v>
      </c>
      <c r="D4" s="1649" t="e">
        <f>ROUND(B2/(F1/666.67),0)</f>
        <v>#DIV/0!</v>
      </c>
      <c r="E4" s="1649" t="s">
        <v>1611</v>
      </c>
      <c r="F4" s="1647"/>
      <c r="G4" s="1647"/>
      <c r="H4" s="1647"/>
      <c r="I4" s="1647"/>
      <c r="J4" s="1648"/>
      <c r="K4" s="2975"/>
      <c r="L4" s="1640" t="s">
        <v>1597</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1.0004999999999999</v>
      </c>
      <c r="T4" s="2415">
        <f t="shared" si="0"/>
        <v>6234</v>
      </c>
      <c r="U4" s="2405"/>
      <c r="V4" s="2415">
        <f t="shared" si="1"/>
        <v>0</v>
      </c>
      <c r="W4" s="1910"/>
      <c r="X4" s="1910"/>
      <c r="Y4" s="1910"/>
      <c r="Z4" s="1910"/>
      <c r="AA4" s="1910"/>
      <c r="AB4" s="1910"/>
      <c r="AC4" s="1911"/>
    </row>
    <row r="5" spans="1:39" s="1276" customFormat="1" ht="15.75" thickBot="1">
      <c r="A5" s="1444" t="s">
        <v>1351</v>
      </c>
      <c r="B5" s="1270" t="s">
        <v>858</v>
      </c>
      <c r="C5" s="994">
        <f>ROUND(IF(E2="商业",C6*C7*C17+C20,(IF(E2="住宅",C6*C13*C17+C20,IF(E2="办公",C6*C12*C17+C20,C6+C20)))),0)</f>
        <v>8575</v>
      </c>
      <c r="D5" s="2547">
        <f>ROUND(C6*C17+C20,0)</f>
        <v>8575</v>
      </c>
      <c r="E5" s="2547"/>
      <c r="F5" s="1271"/>
      <c r="G5" s="1272"/>
      <c r="H5" s="1272"/>
      <c r="I5" s="1272"/>
      <c r="J5" s="1273"/>
      <c r="K5" s="2976"/>
      <c r="L5" s="1640" t="s">
        <v>1598</v>
      </c>
      <c r="M5" s="1641">
        <f>SUMPRODUCT((区片价!B87:B126=I2)*(区片价!C3:G3=E2)*(区片价!C87:G126))</f>
        <v>8620</v>
      </c>
      <c r="N5" s="1642">
        <f>SUMPRODUCT((因素修正幅度!B87:B126=I2)*(因素修正幅度!C3:G3=E2)*(因素修正幅度!C87:G126))</f>
        <v>9.9000000000000005E-2</v>
      </c>
      <c r="O5" s="2976"/>
      <c r="P5" s="2979"/>
      <c r="Q5" s="1910"/>
      <c r="R5" s="2415">
        <v>4</v>
      </c>
      <c r="S5" s="2415">
        <f>ROUND(SUMPRODUCT((B107:B111=R5)*(C106:N106=G2)*(C107:N111)),4)</f>
        <v>0.88239999999999996</v>
      </c>
      <c r="T5" s="2415">
        <f t="shared" si="0"/>
        <v>5498</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20" t="s">
        <v>1394</v>
      </c>
      <c r="B6" s="1277" t="s">
        <v>858</v>
      </c>
      <c r="C6" s="3521">
        <f>SUMIF(L1:L12,G2,M1:M12)</f>
        <v>8620</v>
      </c>
      <c r="D6" s="3522" t="s">
        <v>1227</v>
      </c>
      <c r="E6" s="1277"/>
      <c r="F6" s="1277"/>
      <c r="G6" s="3523"/>
      <c r="H6" s="3523"/>
      <c r="I6" s="3523"/>
      <c r="J6" s="3524"/>
      <c r="K6" s="2977"/>
      <c r="L6" s="1640" t="s">
        <v>1599</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0.84799999999999998</v>
      </c>
      <c r="T6" s="2415">
        <f t="shared" si="0"/>
        <v>5284</v>
      </c>
      <c r="U6" s="2405"/>
      <c r="V6" s="2415">
        <f t="shared" si="1"/>
        <v>0</v>
      </c>
      <c r="W6" s="1910"/>
      <c r="X6" s="1910"/>
      <c r="Y6" s="1910"/>
      <c r="Z6" s="1910"/>
      <c r="AA6" s="1910"/>
      <c r="AB6" s="1910"/>
      <c r="AC6" s="1912"/>
      <c r="AD6" s="1274"/>
      <c r="AE6" s="1274"/>
      <c r="AF6" s="1274"/>
      <c r="AG6" s="1274"/>
      <c r="AH6" s="1274"/>
      <c r="AI6" s="1274"/>
      <c r="AJ6" s="1275"/>
    </row>
    <row r="7" spans="1:39" ht="24.75" thickBot="1">
      <c r="A7" s="3525" t="s">
        <v>3193</v>
      </c>
      <c r="B7" s="1278" t="s">
        <v>859</v>
      </c>
      <c r="C7" s="3526">
        <f>IF(C8="不临65条商业街",1,ROUND(1+(1.6*E8+1.2*E9+0.8*E10+0.4*E11)*C9,4))</f>
        <v>1</v>
      </c>
      <c r="D7" s="3527" t="s">
        <v>860</v>
      </c>
      <c r="E7" s="3528"/>
      <c r="F7" s="3529"/>
      <c r="G7" s="3529"/>
      <c r="H7" s="3529"/>
      <c r="I7" s="3529"/>
      <c r="J7" s="3530"/>
      <c r="K7" s="2977"/>
      <c r="L7" s="1640" t="s">
        <v>1600</v>
      </c>
      <c r="M7" s="1641">
        <f>SUMPRODUCT((区片价!B190:B233=I2)*(区片价!C3:G3=E2)*(区片价!C190:G233))</f>
        <v>0</v>
      </c>
      <c r="N7" s="1642">
        <f>SUMPRODUCT((因素修正幅度!B190:B233=I2)*(因素修正幅度!C3:G3=E2)*(因素修正幅度!C190:G233))</f>
        <v>0</v>
      </c>
      <c r="O7" s="2977"/>
      <c r="P7" s="2980"/>
      <c r="Q7" s="1910"/>
      <c r="R7" s="2415">
        <v>6</v>
      </c>
      <c r="S7" s="2405"/>
      <c r="T7" s="2415">
        <f t="shared" si="0"/>
        <v>0</v>
      </c>
      <c r="U7" s="2405"/>
      <c r="V7" s="2415">
        <f t="shared" si="1"/>
        <v>0</v>
      </c>
      <c r="W7" s="2413" t="s">
        <v>2043</v>
      </c>
      <c r="X7" s="2406" t="str">
        <f>G2</f>
        <v>五级</v>
      </c>
      <c r="Y7" s="2406" t="s">
        <v>2044</v>
      </c>
      <c r="Z7" s="2407">
        <f>G3</f>
        <v>1.6</v>
      </c>
      <c r="AA7" s="1913"/>
      <c r="AB7" s="1913"/>
      <c r="AC7" s="1914"/>
      <c r="AD7" s="2408"/>
      <c r="AE7" s="2408"/>
      <c r="AF7" s="2408"/>
      <c r="AG7" s="2408"/>
      <c r="AH7" s="2408"/>
      <c r="AI7" s="2408"/>
      <c r="AJ7" s="2409"/>
    </row>
    <row r="8" spans="1:39" ht="25.5">
      <c r="A8" s="3531"/>
      <c r="B8" s="1269" t="s">
        <v>861</v>
      </c>
      <c r="C8" s="3532" t="s">
        <v>3374</v>
      </c>
      <c r="D8" s="3533" t="s">
        <v>862</v>
      </c>
      <c r="E8" s="3534" t="e">
        <f>ROUND(C11/E7,4)</f>
        <v>#DIV/0!</v>
      </c>
      <c r="F8" s="3535" t="s">
        <v>863</v>
      </c>
      <c r="G8" s="3536"/>
      <c r="H8" s="3536"/>
      <c r="I8" s="3536"/>
      <c r="J8" s="3537"/>
      <c r="K8" s="2977"/>
      <c r="L8" s="1640" t="s">
        <v>1601</v>
      </c>
      <c r="M8" s="1641">
        <f>SUMPRODUCT((区片价!B234:B276=I2)*(区片价!C3:G3=E2)*(区片价!C234:G276))</f>
        <v>0</v>
      </c>
      <c r="N8" s="1642">
        <f>SUMPRODUCT((因素修正幅度!B234:B276=I2)*(因素修正幅度!C3:G3=E2)*(因素修正幅度!C234:G276))</f>
        <v>0</v>
      </c>
      <c r="O8" s="2977"/>
      <c r="P8" s="1910"/>
      <c r="Q8" s="1910"/>
      <c r="R8" s="2415">
        <v>7</v>
      </c>
      <c r="S8" s="2405"/>
      <c r="T8" s="2415">
        <f t="shared" si="0"/>
        <v>0</v>
      </c>
      <c r="U8" s="2405"/>
      <c r="V8" s="2415">
        <f t="shared" si="1"/>
        <v>0</v>
      </c>
      <c r="W8" s="3876" t="s">
        <v>2057</v>
      </c>
      <c r="X8" s="3877"/>
      <c r="Y8" s="1634" t="s">
        <v>2045</v>
      </c>
      <c r="Z8" s="1634" t="s">
        <v>2046</v>
      </c>
      <c r="AA8" s="1634" t="s">
        <v>2047</v>
      </c>
      <c r="AB8" s="1634" t="s">
        <v>2048</v>
      </c>
      <c r="AC8" s="1634" t="s">
        <v>2049</v>
      </c>
      <c r="AD8" s="1634" t="s">
        <v>2050</v>
      </c>
      <c r="AE8" s="1634" t="s">
        <v>2051</v>
      </c>
      <c r="AF8" s="1634" t="s">
        <v>2052</v>
      </c>
      <c r="AG8" s="1634" t="s">
        <v>2053</v>
      </c>
      <c r="AH8" s="1634" t="s">
        <v>2054</v>
      </c>
      <c r="AI8" s="1634" t="s">
        <v>2055</v>
      </c>
      <c r="AJ8" s="1634" t="s">
        <v>2056</v>
      </c>
    </row>
    <row r="9" spans="1:39" ht="15">
      <c r="A9" s="3531"/>
      <c r="B9" s="1269" t="s">
        <v>864</v>
      </c>
      <c r="C9" s="3538">
        <f>SUMIF(修正!C71:C139,C8,修正!E71:E139)</f>
        <v>0</v>
      </c>
      <c r="D9" s="3539" t="s">
        <v>865</v>
      </c>
      <c r="E9" s="3539" t="e">
        <f>ROUND(C11/E7,4)</f>
        <v>#DIV/0!</v>
      </c>
      <c r="F9" s="3535" t="s">
        <v>866</v>
      </c>
      <c r="G9" s="3536"/>
      <c r="H9" s="3536"/>
      <c r="I9" s="3536"/>
      <c r="J9" s="3537"/>
      <c r="K9" s="2977"/>
      <c r="L9" s="1640" t="s">
        <v>1602</v>
      </c>
      <c r="M9" s="1641">
        <f>SUMPRODUCT((区片价!B277:B326=I2)*(区片价!C3:G3=E2)*(区片价!C277:G326))</f>
        <v>0</v>
      </c>
      <c r="N9" s="1642">
        <f>SUMPRODUCT((因素修正幅度!B277:B326=I2)*(因素修正幅度!C3:G3=E2)*(因素修正幅度!C277:G326))</f>
        <v>0</v>
      </c>
      <c r="O9" s="2977"/>
      <c r="P9" s="1910"/>
      <c r="Q9" s="1910"/>
      <c r="R9" s="2415">
        <v>8</v>
      </c>
      <c r="S9" s="2405"/>
      <c r="T9" s="2415">
        <f t="shared" si="0"/>
        <v>0</v>
      </c>
      <c r="U9" s="2405"/>
      <c r="V9" s="2415">
        <f t="shared" si="1"/>
        <v>0</v>
      </c>
      <c r="W9" s="3875"/>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9" t="s">
        <v>867</v>
      </c>
      <c r="C10" s="3539">
        <f>SUMIF(修正!C71:C139,C8,修正!F71:F139)</f>
        <v>0</v>
      </c>
      <c r="D10" s="3539" t="s">
        <v>868</v>
      </c>
      <c r="E10" s="3539" t="e">
        <f>ROUND(C11/E7,4)</f>
        <v>#DIV/0!</v>
      </c>
      <c r="F10" s="3535" t="s">
        <v>869</v>
      </c>
      <c r="G10" s="3536"/>
      <c r="H10" s="3536"/>
      <c r="I10" s="3536"/>
      <c r="J10" s="3537"/>
      <c r="K10" s="2977"/>
      <c r="L10" s="1640" t="s">
        <v>1603</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f t="shared" si="0"/>
        <v>0</v>
      </c>
      <c r="U10" s="2405"/>
      <c r="V10" s="2415">
        <f t="shared" si="1"/>
        <v>0</v>
      </c>
      <c r="W10" s="3875"/>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2" t="s">
        <v>870</v>
      </c>
      <c r="C11" s="3540">
        <f>C10/4</f>
        <v>0</v>
      </c>
      <c r="D11" s="3540" t="s">
        <v>871</v>
      </c>
      <c r="E11" s="3540" t="e">
        <f>ROUND(C11/E7,4)</f>
        <v>#DIV/0!</v>
      </c>
      <c r="F11" s="3541" t="s">
        <v>872</v>
      </c>
      <c r="G11" s="3542"/>
      <c r="H11" s="3542"/>
      <c r="I11" s="3542"/>
      <c r="J11" s="3543"/>
      <c r="K11" s="2977"/>
      <c r="L11" s="1640" t="s">
        <v>1604</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5" t="s">
        <v>3194</v>
      </c>
      <c r="B12" s="3506" t="s">
        <v>3195</v>
      </c>
      <c r="C12" s="3512">
        <v>1</v>
      </c>
      <c r="D12" s="3507" t="s">
        <v>3196</v>
      </c>
      <c r="E12" s="3508" t="s">
        <v>3197</v>
      </c>
      <c r="F12" s="3509"/>
      <c r="G12" s="3510"/>
      <c r="H12" s="3510"/>
      <c r="I12" s="3510"/>
      <c r="J12" s="3511"/>
      <c r="K12" s="2977"/>
      <c r="L12" s="1643" t="s">
        <v>1605</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5" t="s">
        <v>3198</v>
      </c>
      <c r="B13" s="1283" t="s">
        <v>873</v>
      </c>
      <c r="C13" s="3526">
        <f>ROUND(C16*D16*E16*F16*G16*H16*I16*J16,4)</f>
        <v>0</v>
      </c>
      <c r="D13" s="3544" t="s">
        <v>3199</v>
      </c>
      <c r="E13" s="3545"/>
      <c r="F13" s="3545"/>
      <c r="G13" s="3545"/>
      <c r="H13" s="3545"/>
      <c r="I13" s="3545"/>
      <c r="J13" s="3546"/>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7"/>
      <c r="B14" s="1287" t="s">
        <v>1228</v>
      </c>
      <c r="C14" s="3460" t="s">
        <v>1229</v>
      </c>
      <c r="D14" s="1289" t="s">
        <v>1230</v>
      </c>
      <c r="E14" s="781" t="s">
        <v>3200</v>
      </c>
      <c r="F14" s="3548" t="s">
        <v>1177</v>
      </c>
      <c r="G14" s="3548" t="s">
        <v>1177</v>
      </c>
      <c r="H14" s="3549" t="s">
        <v>1177</v>
      </c>
      <c r="I14" s="3550" t="s">
        <v>1177</v>
      </c>
      <c r="J14" s="3550" t="s">
        <v>1177</v>
      </c>
      <c r="K14" s="2978"/>
      <c r="L14" s="2978"/>
      <c r="M14" s="2978"/>
      <c r="N14" s="2978"/>
      <c r="O14" s="2978"/>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7"/>
      <c r="B15" s="1289"/>
      <c r="C15" s="3551"/>
      <c r="D15" s="3552"/>
      <c r="E15" s="3553"/>
      <c r="F15" s="3553"/>
      <c r="G15" s="3515" t="s">
        <v>3201</v>
      </c>
      <c r="H15" s="3516"/>
      <c r="I15" s="3517"/>
      <c r="J15" s="3518"/>
      <c r="K15" s="3519"/>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7"/>
      <c r="B16" s="2600" t="s">
        <v>1231</v>
      </c>
      <c r="C16" s="3513"/>
      <c r="D16" s="3513"/>
      <c r="E16" s="3513"/>
      <c r="F16" s="3513"/>
      <c r="G16" s="3513">
        <v>1</v>
      </c>
      <c r="H16" s="3513">
        <v>1</v>
      </c>
      <c r="I16" s="3513">
        <v>1</v>
      </c>
      <c r="J16" s="3514">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5" t="s">
        <v>3202</v>
      </c>
      <c r="B17" s="3556" t="s">
        <v>3203</v>
      </c>
      <c r="C17" s="3564">
        <f>ROUND(IF(OR(E2="工业",E2="公共服务"),1,IF(AND(E18=0,E19=0),1,IF(AND(E18=J24,E19=G19),0.8,IF(E19=0,1+E17*(-0.2),1+E17*G17*(-0.2))))),4)</f>
        <v>1</v>
      </c>
      <c r="D17" s="3557" t="s">
        <v>3204</v>
      </c>
      <c r="E17" s="3564">
        <f>ROUND(G18/I18,2)</f>
        <v>0</v>
      </c>
      <c r="F17" s="3557" t="s">
        <v>3207</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47"/>
      <c r="B18" s="3423"/>
      <c r="C18" s="3562"/>
      <c r="D18" s="3558" t="s">
        <v>3205</v>
      </c>
      <c r="E18" s="3563"/>
      <c r="F18" s="3560" t="s">
        <v>3208</v>
      </c>
      <c r="G18" s="3562">
        <f>ROUND(1-(1/(POWER(1+G24,E18))),4)</f>
        <v>0</v>
      </c>
      <c r="H18" s="3560" t="s">
        <v>3210</v>
      </c>
      <c r="I18" s="3562">
        <f>ROUND(1-(1/(POWER(1+G24,J24))),4)</f>
        <v>0.91279999999999994</v>
      </c>
      <c r="J18" s="3646"/>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54"/>
      <c r="B19" s="3426"/>
      <c r="C19" s="3559"/>
      <c r="D19" s="3559" t="s">
        <v>3206</v>
      </c>
      <c r="E19" s="3565"/>
      <c r="F19" s="3561" t="s">
        <v>3209</v>
      </c>
      <c r="G19" s="3565"/>
      <c r="H19" s="3559"/>
      <c r="I19" s="3559"/>
      <c r="J19" s="3647"/>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886" t="s">
        <v>1369</v>
      </c>
      <c r="B20" s="1278" t="s">
        <v>874</v>
      </c>
      <c r="C20" s="998">
        <f>ROUND(IF(F21="与级别开发程度一致",0,(G21-E21)/C21),0)</f>
        <v>-45</v>
      </c>
      <c r="D20" s="3881" t="s">
        <v>878</v>
      </c>
      <c r="E20" s="3882"/>
      <c r="F20" s="3881" t="s">
        <v>875</v>
      </c>
      <c r="G20" s="3882"/>
      <c r="H20" s="1291" t="s">
        <v>2764</v>
      </c>
      <c r="I20" s="1291" t="s">
        <v>2765</v>
      </c>
      <c r="J20" s="1291" t="s">
        <v>2766</v>
      </c>
      <c r="K20" s="1291" t="s">
        <v>2767</v>
      </c>
      <c r="L20" s="1291" t="s">
        <v>2768</v>
      </c>
      <c r="M20" s="1291" t="s">
        <v>2771</v>
      </c>
      <c r="N20" s="1291"/>
      <c r="O20" s="2605"/>
      <c r="P20" s="1910"/>
      <c r="Q20" s="1913"/>
      <c r="R20" s="1916"/>
      <c r="S20" s="1916"/>
      <c r="T20" s="1916"/>
      <c r="U20" s="1916"/>
      <c r="V20" s="1916"/>
      <c r="W20" s="1916"/>
      <c r="X20" s="1916"/>
      <c r="Y20" s="1295"/>
      <c r="Z20" s="1295"/>
      <c r="AA20" s="1295"/>
      <c r="AB20" s="1295"/>
      <c r="AC20" s="1295"/>
      <c r="AD20" s="1295"/>
    </row>
    <row r="21" spans="1:40" s="1276" customFormat="1" ht="24.75" thickBot="1">
      <c r="A21" s="3887"/>
      <c r="B21" s="2606" t="s">
        <v>877</v>
      </c>
      <c r="C21" s="2607">
        <f>IF(E3="M4科研用地",SUMPRODUCT((修正!A2:A7=E3)*(修正!B1:M1=G2)*(修正!B2:M7)),SUMPRODUCT((修正!A2:A7=E2)*(修正!B1:M1=G2)*(修正!B2:M7)))</f>
        <v>2</v>
      </c>
      <c r="D21" s="2608" t="str">
        <f>IF(OR(G2="八级",G2="九级",G2="十级",G2="十一级",G2="十二级"),"五通一平","七通一平")</f>
        <v>七通一平</v>
      </c>
      <c r="E21" s="2598">
        <f>SUMPRODUCT((修正!B1:M1=G2)*(修正!B17:M17))</f>
        <v>315</v>
      </c>
      <c r="F21" s="2599" t="s">
        <v>3375</v>
      </c>
      <c r="G21" s="2598">
        <f>SUM(H21:O21)</f>
        <v>225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1357</v>
      </c>
      <c r="B22" s="2601" t="s">
        <v>879</v>
      </c>
      <c r="C22" s="2602">
        <f>SUMIF(修正!C20:C51,E3,修正!E20:E51)</f>
        <v>0.8</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5"/>
      <c r="Z22" s="1295"/>
      <c r="AA22" s="1295"/>
      <c r="AB22" s="1295"/>
      <c r="AC22" s="1295"/>
      <c r="AD22" s="1295"/>
    </row>
    <row r="23" spans="1:40" ht="27.75" thickBot="1">
      <c r="A23" s="1445" t="s">
        <v>1363</v>
      </c>
      <c r="B23" s="1294" t="s">
        <v>880</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1.0145</v>
      </c>
      <c r="D23" s="1297" t="s">
        <v>881</v>
      </c>
      <c r="E23" s="1000">
        <v>44197</v>
      </c>
      <c r="F23" s="1297" t="s">
        <v>882</v>
      </c>
      <c r="G23" s="1001">
        <f>'数据-取费表'!B2</f>
        <v>44942</v>
      </c>
      <c r="H23" s="1298" t="s">
        <v>2243</v>
      </c>
      <c r="I23" s="2265" t="str">
        <f>IF(H23="季度增幅（自定义）",SUMIF(N25:N28,E2,O25:O28),"")</f>
        <v/>
      </c>
      <c r="J23" s="3566" t="s">
        <v>3376</v>
      </c>
      <c r="K23" s="2976"/>
      <c r="L23" s="2510" t="s">
        <v>2113</v>
      </c>
      <c r="M23" s="2511">
        <f>ROUND(SUMIF(地价!B2:F2,E2,地价!B41:F41),0)</f>
        <v>0</v>
      </c>
      <c r="N23" s="2267" t="s">
        <v>1210</v>
      </c>
      <c r="O23" s="2266">
        <f>ROUNDDOWN(DATEDIF(E23,G23,"M")/3,0)</f>
        <v>8</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1364</v>
      </c>
      <c r="B24" s="2260" t="s">
        <v>895</v>
      </c>
      <c r="C24" s="2261">
        <f>ROUND(POWER(1+G24,J24-I24)*(POWER(1+G24,I24)-1)/(POWER(1+G24,J24)-1),4)</f>
        <v>0.90029999999999999</v>
      </c>
      <c r="D24" s="2262" t="s">
        <v>896</v>
      </c>
      <c r="E24" s="2539">
        <f>存贷款利率!E22/100</f>
        <v>4.3499999999999997E-2</v>
      </c>
      <c r="F24" s="2262" t="s">
        <v>897</v>
      </c>
      <c r="G24" s="2263">
        <f>SUMIF(M30:Q30,E2,M33:Q33)</f>
        <v>0.05</v>
      </c>
      <c r="H24" s="2262" t="s">
        <v>898</v>
      </c>
      <c r="I24" s="2258">
        <f>SUMIF('数据-取费表'!C6:C15,E2,'数据-取费表'!F6:F15)/COUNTIF('数据-取费表'!C6:C15,E2)</f>
        <v>35.35</v>
      </c>
      <c r="J24" s="2264">
        <f>IF(E2="住宅",70,IF(E2="商业",40,50))</f>
        <v>50</v>
      </c>
      <c r="K24" s="2596"/>
      <c r="L24" s="2512" t="s">
        <v>2114</v>
      </c>
      <c r="M24" s="2591">
        <f>ROUND(SUMPRODUCT((地价!A4:A41=YEAR(G23)&amp;"-"&amp;ROUNDUP(MONTH(G23)/3,0))*(地价!B2:F2=E2)*(地价!B4:F41)),0)</f>
        <v>0</v>
      </c>
      <c r="N24" s="2270" t="s">
        <v>1924</v>
      </c>
      <c r="O24" s="2268" t="s">
        <v>1923</v>
      </c>
      <c r="P24" s="2269" t="s">
        <v>1929</v>
      </c>
      <c r="Q24" s="2404"/>
      <c r="R24" s="1916"/>
      <c r="S24" s="1916"/>
      <c r="T24" s="1916"/>
      <c r="U24" s="1916"/>
      <c r="V24" s="1916"/>
      <c r="W24" s="1916"/>
      <c r="X24" s="1916"/>
      <c r="Y24" s="1295"/>
      <c r="Z24" s="1295"/>
      <c r="AA24" s="1295"/>
      <c r="AB24" s="1295"/>
      <c r="AC24" s="1295"/>
      <c r="AD24" s="1295"/>
    </row>
    <row r="25" spans="1:40" ht="14.25">
      <c r="A25" s="1447" t="s">
        <v>1365</v>
      </c>
      <c r="B25" s="1303" t="s">
        <v>2275</v>
      </c>
      <c r="C25" s="1057">
        <f>IF(B25="容积率修正",IF(G3&lt;10,D26,J26),C27)</f>
        <v>1.0517000000000001</v>
      </c>
      <c r="D25" s="1304"/>
      <c r="E25" s="1304"/>
      <c r="F25" s="1304"/>
      <c r="G25" s="1304"/>
      <c r="H25" s="1304"/>
      <c r="I25" s="1304"/>
      <c r="J25" s="1305"/>
      <c r="K25" s="2976"/>
      <c r="L25" s="1304"/>
      <c r="M25" s="1304"/>
      <c r="N25" s="1301" t="s">
        <v>899</v>
      </c>
      <c r="O25" s="1361"/>
      <c r="P25" s="2257">
        <f>SUMPRODUCT((地价!A3:A41=YEAR(G23)&amp;"-"&amp;ROUNDUP(MONTH(G23)/3,0))*(地价!AD2:AH2=N25)*(地价!AD3:AH41))</f>
        <v>9.1999999999999998E-3</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1394</v>
      </c>
      <c r="B26" s="1306" t="s">
        <v>900</v>
      </c>
      <c r="C26" s="3567" t="s">
        <v>3211</v>
      </c>
      <c r="D26" s="1002">
        <f>IF(E26=G26,F26,IF(G3&lt;10,ROUND(F26+(H26-F26)*(G3-E26)/(G26-E26),4),"——"))</f>
        <v>1.0517000000000001</v>
      </c>
      <c r="E26" s="992">
        <f>ROUNDDOWN(G3,1)</f>
        <v>1.6</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1.0517000000000001</v>
      </c>
      <c r="G26" s="992">
        <f>ROUNDUP(G3,1)</f>
        <v>1.6</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1.0517000000000001</v>
      </c>
      <c r="I26" s="3567" t="s">
        <v>3212</v>
      </c>
      <c r="J26" s="1002" t="str">
        <f>IF(G3&gt;=10,D116,"——")</f>
        <v>——</v>
      </c>
      <c r="K26" s="2982"/>
      <c r="L26" s="1304"/>
      <c r="M26" s="1304"/>
      <c r="N26" s="1301" t="s">
        <v>901</v>
      </c>
      <c r="O26" s="1361"/>
      <c r="P26" s="2257">
        <f>SUMPRODUCT((地价!A3:A41=YEAR(G23)&amp;"-"&amp;ROUNDUP(MONTH(G23)/3,0))*(地价!AD2:AH2=N26)*(地价!AD3:AH41))</f>
        <v>9.1999999999999998E-3</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1395</v>
      </c>
      <c r="B27" s="1306" t="s">
        <v>902</v>
      </c>
      <c r="C27" s="1003">
        <f>ROUND(IF(I3&lt;6,SUMPRODUCT((B107:B111=I3)*(C106:N106=G2)*(C107:N111)),SUMIF(C106:N106,G2,C113:N113)),4)</f>
        <v>0</v>
      </c>
      <c r="D27" s="1349"/>
      <c r="E27" s="1349"/>
      <c r="F27" s="1350"/>
      <c r="G27" s="1351"/>
      <c r="H27" s="1352"/>
      <c r="I27" s="1353"/>
      <c r="J27" s="1353"/>
      <c r="K27" s="2983"/>
      <c r="L27" s="1256"/>
      <c r="M27" s="1256"/>
      <c r="N27" s="1301" t="s">
        <v>850</v>
      </c>
      <c r="O27" s="1361"/>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6" t="s">
        <v>1396</v>
      </c>
      <c r="B28" s="1270" t="s">
        <v>903</v>
      </c>
      <c r="C28" s="1004">
        <f>SUMIF(A47:A101,E2,B47:B101)</f>
        <v>0.99450000000000005</v>
      </c>
      <c r="D28" s="1354"/>
      <c r="E28" s="1355"/>
      <c r="F28" s="1355"/>
      <c r="G28" s="1355"/>
      <c r="H28" s="1355"/>
      <c r="I28" s="1355"/>
      <c r="J28" s="1355"/>
      <c r="K28" s="2983"/>
      <c r="L28" s="1304"/>
      <c r="M28" s="1304"/>
      <c r="N28" s="1301" t="s">
        <v>904</v>
      </c>
      <c r="O28" s="2590"/>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1397</v>
      </c>
      <c r="B29" s="1308" t="s">
        <v>905</v>
      </c>
      <c r="C29" s="1309"/>
      <c r="D29" s="1280"/>
      <c r="E29" s="1280"/>
      <c r="F29" s="1310"/>
      <c r="G29" s="1280"/>
      <c r="H29" s="1280"/>
      <c r="I29" s="1280"/>
      <c r="J29" s="1281"/>
      <c r="K29" s="2977"/>
      <c r="L29" s="1916"/>
      <c r="M29" s="1916"/>
      <c r="N29" s="2592" t="s">
        <v>1927</v>
      </c>
      <c r="O29" s="2593"/>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909</v>
      </c>
      <c r="C30" s="2759">
        <f>IF(B25="容积率修正",E33+SUM(E37:E42),SUM(V2:V16)+SUM(E37:E42))</f>
        <v>25007</v>
      </c>
      <c r="D30" s="1312"/>
      <c r="E30" s="1290"/>
      <c r="F30" s="1313"/>
      <c r="G30" s="1290"/>
      <c r="H30" s="1290"/>
      <c r="I30" s="1290"/>
      <c r="J30" s="1314"/>
      <c r="K30" s="2977"/>
      <c r="L30" s="1407" t="s">
        <v>832</v>
      </c>
      <c r="M30" s="1279" t="s">
        <v>906</v>
      </c>
      <c r="N30" s="1279" t="s">
        <v>907</v>
      </c>
      <c r="O30" s="1279" t="s">
        <v>834</v>
      </c>
      <c r="P30" s="1299" t="s">
        <v>908</v>
      </c>
      <c r="Q30" s="1299" t="s">
        <v>3239</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911</v>
      </c>
      <c r="C31" s="1006">
        <f>E34+SUM(I37:I42)</f>
        <v>426</v>
      </c>
      <c r="D31" s="1316"/>
      <c r="E31" s="1317"/>
      <c r="F31" s="1318"/>
      <c r="G31" s="1317"/>
      <c r="H31" s="1317"/>
      <c r="I31" s="1317"/>
      <c r="J31" s="1319"/>
      <c r="K31" s="2977"/>
      <c r="L31" s="1292" t="s">
        <v>910</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912</v>
      </c>
      <c r="C32" s="1321" t="s">
        <v>913</v>
      </c>
      <c r="D32" s="1321" t="s">
        <v>914</v>
      </c>
      <c r="E32" s="1322" t="s">
        <v>915</v>
      </c>
      <c r="F32" s="1323"/>
      <c r="G32" s="1285"/>
      <c r="H32" s="1285"/>
      <c r="I32" s="1285"/>
      <c r="J32" s="1286"/>
      <c r="K32" s="2977"/>
      <c r="L32" s="1293" t="s">
        <v>897</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916</v>
      </c>
      <c r="C33" s="1005">
        <f>ROUND(C5*C22*C23*C24*C25*C28,0)</f>
        <v>6553</v>
      </c>
      <c r="D33" s="1326">
        <f>'数据-汇总表'!F27</f>
        <v>35564.46</v>
      </c>
      <c r="E33" s="1634">
        <f>ROUND(C33*D33/10000,0)</f>
        <v>23305</v>
      </c>
      <c r="F33" s="3568" t="s">
        <v>3214</v>
      </c>
      <c r="G33" s="1327"/>
      <c r="H33" s="1327"/>
      <c r="I33" s="1327"/>
      <c r="J33" s="1328"/>
      <c r="K33" s="2984"/>
      <c r="L33" s="3638" t="s">
        <v>3240</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917</v>
      </c>
      <c r="C34" s="997">
        <f>ROUND(IF(E2="工业",C33*M42,IF(B25="楼层修正",SUM(V2:V16)*M41*10000/D34,C33*M41)),0)</f>
        <v>1638</v>
      </c>
      <c r="D34" s="1331"/>
      <c r="E34" s="1634">
        <f>ROUND(IF(B25="楼层修正",SUM(V2:V16)*#REF!,C34*D34/10000),0)</f>
        <v>0</v>
      </c>
      <c r="F34" s="3569" t="s">
        <v>3215</v>
      </c>
      <c r="G34" s="1332"/>
      <c r="H34" s="1332"/>
      <c r="I34" s="1332"/>
      <c r="J34" s="1333"/>
      <c r="K34" s="2977"/>
      <c r="L34" s="3638" t="s">
        <v>3241</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913</v>
      </c>
      <c r="D36" s="1340" t="s">
        <v>914</v>
      </c>
      <c r="E36" s="1340" t="s">
        <v>915</v>
      </c>
      <c r="F36" s="1341" t="s">
        <v>921</v>
      </c>
      <c r="G36" s="1302" t="s">
        <v>913</v>
      </c>
      <c r="H36" s="1302" t="s">
        <v>914</v>
      </c>
      <c r="I36" s="1302" t="s">
        <v>915</v>
      </c>
      <c r="J36" s="1342"/>
      <c r="K36" s="3640" t="s">
        <v>3242</v>
      </c>
      <c r="L36" s="3642">
        <f ca="1">'数据-取费表'!B40</f>
        <v>4.1499999999999995E-2</v>
      </c>
      <c r="M36" s="3643">
        <f ca="1">ROUND($L$36*(1+M31),3)</f>
        <v>5.1999999999999998E-2</v>
      </c>
      <c r="N36" s="3643">
        <f ca="1">ROUND($L$36*(1+N31),3)</f>
        <v>0.05</v>
      </c>
      <c r="O36" s="3643">
        <f ca="1">ROUND($L$36*(1+O31),3)</f>
        <v>4.8000000000000001E-2</v>
      </c>
      <c r="P36" s="3643">
        <f ca="1">ROUND($L$36*(1+P31),3)</f>
        <v>4.5999999999999999E-2</v>
      </c>
      <c r="Q36" s="3643">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883"/>
      <c r="B37" s="1344" t="s">
        <v>922</v>
      </c>
      <c r="C37" s="1005">
        <f>ROUND(D5*C22*C23*C24*C28*F37,0)</f>
        <v>3739</v>
      </c>
      <c r="D37" s="1356"/>
      <c r="E37" s="996">
        <f>ROUND(C37*D37/10000,0)</f>
        <v>0</v>
      </c>
      <c r="F37" s="996">
        <f>SUMIF(修正!A57:A68,G2,修正!B57:B68)</f>
        <v>0.6</v>
      </c>
      <c r="G37" s="996">
        <f>ROUND(IF(E2="工业",C37*$M$42,C37*$M$41),0)</f>
        <v>935</v>
      </c>
      <c r="H37" s="996">
        <f>D37</f>
        <v>0</v>
      </c>
      <c r="I37" s="996">
        <f>ROUND(G37*H37/10000,0)</f>
        <v>0</v>
      </c>
      <c r="J37" s="3883"/>
      <c r="K37" s="3641" t="s">
        <v>3243</v>
      </c>
      <c r="L37" s="3642">
        <f ca="1">L36+K38</f>
        <v>4.6499999999999993E-2</v>
      </c>
      <c r="M37" s="3643">
        <f ca="1">ROUND($L$37*(1+M31),3)</f>
        <v>5.8000000000000003E-2</v>
      </c>
      <c r="N37" s="3643">
        <f t="shared" ref="N37:Q37" ca="1" si="3">ROUND($L$37*(1+N31),3)</f>
        <v>5.6000000000000001E-2</v>
      </c>
      <c r="O37" s="3643">
        <f t="shared" ca="1" si="3"/>
        <v>5.2999999999999999E-2</v>
      </c>
      <c r="P37" s="3643">
        <f t="shared" ca="1" si="3"/>
        <v>5.0999999999999997E-2</v>
      </c>
      <c r="Q37" s="3643">
        <f t="shared" ca="1" si="3"/>
        <v>5.2999999999999999E-2</v>
      </c>
      <c r="R37" s="1911"/>
      <c r="S37" s="1911"/>
      <c r="T37" s="1911"/>
      <c r="U37" s="1911"/>
      <c r="V37" s="1911"/>
      <c r="W37" s="1910"/>
      <c r="X37" s="1910"/>
      <c r="Y37" s="1910"/>
      <c r="Z37" s="1910"/>
      <c r="AA37" s="1910"/>
      <c r="AB37" s="1910"/>
      <c r="AC37" s="1911"/>
    </row>
    <row r="38" spans="1:44" ht="12.75">
      <c r="A38" s="3884"/>
      <c r="B38" s="1288" t="s">
        <v>923</v>
      </c>
      <c r="C38" s="1005">
        <f>ROUND(D5*C22*C23*C24*C28*F38,0)</f>
        <v>1869</v>
      </c>
      <c r="D38" s="1356"/>
      <c r="E38" s="996">
        <f t="shared" ref="E38:E42" si="4">ROUND(C38*D38/10000,0)</f>
        <v>0</v>
      </c>
      <c r="F38" s="996">
        <f>SUMIF(修正!A57:A68,G2,修正!C57:C68)</f>
        <v>0.3</v>
      </c>
      <c r="G38" s="996">
        <f>ROUND(IF(E2="工业",C38*$M$42,C38*$M$41),0)</f>
        <v>467</v>
      </c>
      <c r="H38" s="996">
        <f t="shared" ref="H38:H42" si="5">D38</f>
        <v>0</v>
      </c>
      <c r="I38" s="996">
        <f t="shared" ref="I38:I42" si="6">ROUND(G38*H38/10000,0)</f>
        <v>0</v>
      </c>
      <c r="J38" s="3884"/>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884"/>
      <c r="B39" s="3570" t="s">
        <v>3216</v>
      </c>
      <c r="C39" s="1005">
        <f>ROUND(D5*C22*C23*C24*C28*F39,0)</f>
        <v>1558</v>
      </c>
      <c r="D39" s="1356"/>
      <c r="E39" s="996">
        <f t="shared" si="4"/>
        <v>0</v>
      </c>
      <c r="F39" s="996">
        <f>SUMIF(修正!A57:A68,G2,修正!D57:D68)</f>
        <v>0.25</v>
      </c>
      <c r="G39" s="996">
        <f>ROUND(IF(E2="工业",C39*$M$42,C39*$M$41),0)</f>
        <v>390</v>
      </c>
      <c r="H39" s="996">
        <f t="shared" si="5"/>
        <v>0</v>
      </c>
      <c r="I39" s="996">
        <f t="shared" si="6"/>
        <v>0</v>
      </c>
      <c r="J39" s="3884"/>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924</v>
      </c>
      <c r="C40" s="996">
        <f>ROUND(D5*C22*C23*C24*C28*F40,0)</f>
        <v>1558</v>
      </c>
      <c r="D40" s="1356">
        <f>'数据-汇总表'!G19</f>
        <v>7500</v>
      </c>
      <c r="E40" s="996">
        <f t="shared" si="4"/>
        <v>1169</v>
      </c>
      <c r="F40" s="1005">
        <f>SUMIF(修正!A57:A68,G2,修正!E57:E68)</f>
        <v>0.25</v>
      </c>
      <c r="G40" s="996">
        <f>ROUND(IF(E2="工业",C40*$M$42,C40*$M$41),0)</f>
        <v>390</v>
      </c>
      <c r="H40" s="996">
        <f t="shared" si="5"/>
        <v>7500</v>
      </c>
      <c r="I40" s="996">
        <f t="shared" si="6"/>
        <v>293</v>
      </c>
      <c r="J40" s="1345"/>
      <c r="K40" s="1910"/>
      <c r="L40" s="1362" t="s">
        <v>1232</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925</v>
      </c>
      <c r="C41" s="996">
        <f>ROUND(D5*C22*C23*C44*C28*F41,0)</f>
        <v>1558</v>
      </c>
      <c r="D41" s="1356"/>
      <c r="E41" s="996">
        <f t="shared" si="4"/>
        <v>0</v>
      </c>
      <c r="F41" s="1005">
        <f>SUMIF(修正!A57:A68,G2,修正!F57:F68)</f>
        <v>0.25</v>
      </c>
      <c r="G41" s="996">
        <f>ROUND(IF(E2="工业",C41*$M$42,C41*$M$41),0)</f>
        <v>390</v>
      </c>
      <c r="H41" s="996">
        <f t="shared" si="5"/>
        <v>0</v>
      </c>
      <c r="I41" s="996">
        <f t="shared" si="6"/>
        <v>0</v>
      </c>
      <c r="J41" s="1345"/>
      <c r="K41" s="1910"/>
      <c r="L41" s="3644" t="s">
        <v>3244</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926</v>
      </c>
      <c r="C42" s="997">
        <f>ROUND(D5*C22*C23*C44*C28*F42,0)</f>
        <v>935</v>
      </c>
      <c r="D42" s="1357">
        <f>'数据-汇总表'!G20</f>
        <v>5705</v>
      </c>
      <c r="E42" s="997">
        <f t="shared" si="4"/>
        <v>533</v>
      </c>
      <c r="F42" s="1007">
        <f>SUMIF(修正!A57:A68,G2,修正!G57:G68)</f>
        <v>0.15</v>
      </c>
      <c r="G42" s="997">
        <f>ROUND(IF(E2="工业",C42*$M$42,C42*$M$41),0)</f>
        <v>234</v>
      </c>
      <c r="H42" s="997">
        <f t="shared" si="5"/>
        <v>5705</v>
      </c>
      <c r="I42" s="997">
        <f t="shared" si="6"/>
        <v>133</v>
      </c>
      <c r="J42" s="1347"/>
      <c r="K42" s="1910"/>
      <c r="L42" s="1365" t="s">
        <v>1233</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2239</v>
      </c>
      <c r="C44" s="804">
        <f>ROUND(POWER(1+E44,H44-G44)*(POWER(1+E44,G44)-1)/(POWER(1+E44,H44)-1),4)</f>
        <v>0.90029999999999999</v>
      </c>
      <c r="D44" s="365" t="s">
        <v>2237</v>
      </c>
      <c r="E44" s="2586">
        <f>G24</f>
        <v>0.05</v>
      </c>
      <c r="F44" s="365" t="s">
        <v>2238</v>
      </c>
      <c r="G44" s="383">
        <f>'数据-取费表'!F6</f>
        <v>35.35</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83" customFormat="1" ht="15" thickBot="1">
      <c r="A47" s="3579" t="s">
        <v>927</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hidden="1">
      <c r="A48" s="3584" t="s">
        <v>928</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hidden="1">
      <c r="A49" s="3589" t="s">
        <v>929</v>
      </c>
      <c r="B49" s="3590" t="s">
        <v>930</v>
      </c>
      <c r="C49" s="3591" t="s">
        <v>931</v>
      </c>
      <c r="D49" s="3592" t="s">
        <v>932</v>
      </c>
      <c r="E49" s="3593" t="s">
        <v>934</v>
      </c>
      <c r="F49" s="3462" t="s">
        <v>1606</v>
      </c>
      <c r="G49" s="3592" t="s">
        <v>935</v>
      </c>
      <c r="H49" s="3594" t="s">
        <v>1769</v>
      </c>
      <c r="I49" s="3592" t="s">
        <v>933</v>
      </c>
      <c r="J49" s="3595" t="s">
        <v>936</v>
      </c>
      <c r="K49" s="3595" t="s">
        <v>937</v>
      </c>
      <c r="L49" s="3595" t="s">
        <v>938</v>
      </c>
      <c r="M49" s="3595" t="s">
        <v>939</v>
      </c>
      <c r="N49" s="3595" t="s">
        <v>940</v>
      </c>
      <c r="P49" s="1919"/>
      <c r="Q49" s="1919"/>
      <c r="R49" s="1919"/>
      <c r="S49" s="1919"/>
      <c r="T49" s="1919"/>
      <c r="U49" s="1919"/>
      <c r="V49" s="1919"/>
      <c r="W49" s="1919"/>
      <c r="X49" s="1919"/>
      <c r="Y49" s="1919"/>
      <c r="Z49" s="1919"/>
      <c r="AA49" s="1919"/>
      <c r="AB49" s="1919"/>
      <c r="AC49" s="1919"/>
      <c r="AD49" s="1919"/>
    </row>
    <row r="50" spans="1:30" s="3583" customFormat="1" ht="36" hidden="1">
      <c r="A50" s="3589" t="s">
        <v>941</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36" hidden="1">
      <c r="A51" s="3589" t="s">
        <v>942</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hidden="1">
      <c r="A52" s="3571" t="s">
        <v>3218</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hidden="1">
      <c r="A53" s="3589" t="s">
        <v>944</v>
      </c>
      <c r="B53" s="3605" t="s">
        <v>2196</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hidden="1">
      <c r="A54" s="3589" t="s">
        <v>945</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hidden="1">
      <c r="A55" s="3589" t="s">
        <v>946</v>
      </c>
      <c r="B55" s="3606" t="s">
        <v>2195</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hidden="1">
      <c r="A56" s="3607" t="s">
        <v>947</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hidden="1">
      <c r="A57" s="3607" t="s">
        <v>948</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hidden="1" thickBot="1">
      <c r="A58" s="3609" t="s">
        <v>949</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hidden="1">
      <c r="A59" s="3584" t="s">
        <v>950</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hidden="1">
      <c r="A60" s="3589" t="s">
        <v>929</v>
      </c>
      <c r="B60" s="3590"/>
      <c r="C60" s="3591" t="s">
        <v>931</v>
      </c>
      <c r="D60" s="3592" t="s">
        <v>932</v>
      </c>
      <c r="E60" s="3593" t="s">
        <v>934</v>
      </c>
      <c r="F60" s="3462" t="s">
        <v>1607</v>
      </c>
      <c r="G60" s="3592" t="s">
        <v>935</v>
      </c>
      <c r="H60" s="3594" t="s">
        <v>1769</v>
      </c>
      <c r="I60" s="3592" t="s">
        <v>933</v>
      </c>
      <c r="J60" s="3595" t="s">
        <v>936</v>
      </c>
      <c r="K60" s="3595" t="s">
        <v>937</v>
      </c>
      <c r="L60" s="3595" t="s">
        <v>938</v>
      </c>
      <c r="M60" s="3595" t="s">
        <v>939</v>
      </c>
      <c r="N60" s="3595" t="s">
        <v>940</v>
      </c>
      <c r="P60" s="1919"/>
      <c r="Q60" s="1919"/>
      <c r="R60" s="1919"/>
      <c r="S60" s="1919"/>
      <c r="T60" s="1919"/>
      <c r="U60" s="1919"/>
      <c r="V60" s="1919"/>
      <c r="W60" s="1919"/>
      <c r="X60" s="1919"/>
      <c r="Y60" s="1919"/>
      <c r="Z60" s="1919"/>
      <c r="AA60" s="1919"/>
      <c r="AB60" s="1919"/>
      <c r="AC60" s="1919"/>
      <c r="AD60" s="1919"/>
    </row>
    <row r="61" spans="1:30" s="3583" customFormat="1" ht="36" hidden="1">
      <c r="A61" s="3589" t="s">
        <v>951</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36" hidden="1">
      <c r="A62" s="3589" t="s">
        <v>942</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hidden="1">
      <c r="A63" s="3571" t="s">
        <v>3218</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hidden="1">
      <c r="A64" s="3589" t="s">
        <v>944</v>
      </c>
      <c r="B64" s="3605" t="s">
        <v>2197</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hidden="1">
      <c r="A65" s="3589" t="s">
        <v>945</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hidden="1">
      <c r="A66" s="3589" t="s">
        <v>946</v>
      </c>
      <c r="B66" s="3606" t="s">
        <v>2195</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hidden="1">
      <c r="A67" s="3589" t="s">
        <v>947</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hidden="1">
      <c r="A68" s="3589" t="s">
        <v>948</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hidden="1" thickBot="1">
      <c r="A69" s="3609" t="s">
        <v>949</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hidden="1">
      <c r="A70" s="3584" t="s">
        <v>952</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hidden="1">
      <c r="A71" s="3589" t="s">
        <v>929</v>
      </c>
      <c r="B71" s="3590"/>
      <c r="C71" s="3591" t="s">
        <v>931</v>
      </c>
      <c r="D71" s="3592" t="s">
        <v>932</v>
      </c>
      <c r="E71" s="3593" t="s">
        <v>934</v>
      </c>
      <c r="F71" s="3462" t="s">
        <v>1608</v>
      </c>
      <c r="G71" s="3592" t="s">
        <v>935</v>
      </c>
      <c r="H71" s="3594" t="s">
        <v>1769</v>
      </c>
      <c r="I71" s="3592" t="s">
        <v>933</v>
      </c>
      <c r="J71" s="3595" t="s">
        <v>936</v>
      </c>
      <c r="K71" s="3595" t="s">
        <v>937</v>
      </c>
      <c r="L71" s="3595" t="s">
        <v>938</v>
      </c>
      <c r="M71" s="3595" t="s">
        <v>939</v>
      </c>
      <c r="N71" s="3595" t="s">
        <v>940</v>
      </c>
      <c r="P71" s="1919"/>
      <c r="Q71" s="1919"/>
      <c r="R71" s="1919"/>
      <c r="S71" s="1919"/>
      <c r="T71" s="1919"/>
      <c r="U71" s="1919"/>
      <c r="V71" s="1919"/>
      <c r="W71" s="1919"/>
      <c r="X71" s="1919"/>
      <c r="Y71" s="1919"/>
      <c r="Z71" s="1919"/>
      <c r="AA71" s="1919"/>
      <c r="AB71" s="1919"/>
      <c r="AC71" s="1919"/>
      <c r="AD71" s="1919"/>
    </row>
    <row r="72" spans="1:36" s="3583" customFormat="1" ht="48" hidden="1">
      <c r="A72" s="3589" t="s">
        <v>953</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36" hidden="1">
      <c r="A73" s="3589" t="s">
        <v>954</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hidden="1">
      <c r="A74" s="3571" t="s">
        <v>3218</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89" t="s">
        <v>955</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hidden="1">
      <c r="A76" s="3589" t="s">
        <v>947</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8" customFormat="1" ht="24" hidden="1">
      <c r="A77" s="3589" t="s">
        <v>948</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8" customFormat="1" ht="24" hidden="1">
      <c r="A78" s="3589" t="s">
        <v>946</v>
      </c>
      <c r="B78" s="3606" t="s">
        <v>2195</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8" customFormat="1" ht="24" hidden="1">
      <c r="A79" s="3589" t="s">
        <v>949</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hidden="1" thickBot="1">
      <c r="A80" s="3609" t="s">
        <v>956</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hidden="1">
      <c r="A81" s="3584" t="s">
        <v>957</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hidden="1">
      <c r="A82" s="3589" t="s">
        <v>929</v>
      </c>
      <c r="B82" s="3590"/>
      <c r="C82" s="3591" t="s">
        <v>931</v>
      </c>
      <c r="D82" s="3592" t="s">
        <v>932</v>
      </c>
      <c r="E82" s="3593" t="s">
        <v>934</v>
      </c>
      <c r="F82" s="3462" t="s">
        <v>1609</v>
      </c>
      <c r="G82" s="3592" t="s">
        <v>935</v>
      </c>
      <c r="H82" s="3594" t="s">
        <v>1769</v>
      </c>
      <c r="I82" s="3592" t="s">
        <v>933</v>
      </c>
      <c r="J82" s="3595" t="s">
        <v>936</v>
      </c>
      <c r="K82" s="3595" t="s">
        <v>937</v>
      </c>
      <c r="L82" s="3595" t="s">
        <v>938</v>
      </c>
      <c r="M82" s="3595" t="s">
        <v>939</v>
      </c>
      <c r="N82" s="3595" t="s">
        <v>940</v>
      </c>
      <c r="AE82" s="3583"/>
      <c r="AF82" s="3583"/>
      <c r="AG82" s="3583"/>
      <c r="AH82" s="3583"/>
      <c r="AI82" s="3583"/>
      <c r="AJ82" s="3583"/>
    </row>
    <row r="83" spans="1:36" s="1348" customFormat="1" ht="24" hidden="1">
      <c r="A83" s="3589" t="s">
        <v>958</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36" hidden="1">
      <c r="A84" s="3589" t="s">
        <v>954</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hidden="1">
      <c r="A85" s="3589" t="s">
        <v>943</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4.25" hidden="1">
      <c r="A86" s="3589" t="s">
        <v>955</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hidden="1">
      <c r="A87" s="3589" t="s">
        <v>947</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hidden="1">
      <c r="A88" s="3589" t="s">
        <v>948</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24" hidden="1">
      <c r="A89" s="3589" t="s">
        <v>946</v>
      </c>
      <c r="B89" s="3606" t="s">
        <v>2195</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75" hidden="1" thickBot="1">
      <c r="A90" s="3609" t="s">
        <v>959</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5">
      <c r="A91" s="3572" t="s">
        <v>3227</v>
      </c>
      <c r="B91" s="3648">
        <f>1+E93</f>
        <v>0.99450000000000005</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3228</v>
      </c>
      <c r="B92" s="3573"/>
      <c r="C92" s="3573" t="s">
        <v>3233</v>
      </c>
      <c r="D92" s="3573" t="s">
        <v>3220</v>
      </c>
      <c r="E92" s="3630" t="s">
        <v>3221</v>
      </c>
      <c r="F92" s="3629" t="s">
        <v>1606</v>
      </c>
      <c r="G92" s="3592" t="s">
        <v>935</v>
      </c>
      <c r="H92" s="3594" t="s">
        <v>1769</v>
      </c>
      <c r="I92" s="3592" t="s">
        <v>933</v>
      </c>
      <c r="J92" s="3595" t="s">
        <v>936</v>
      </c>
      <c r="K92" s="3595" t="s">
        <v>937</v>
      </c>
      <c r="L92" s="3595" t="s">
        <v>938</v>
      </c>
      <c r="M92" s="3595" t="s">
        <v>939</v>
      </c>
      <c r="N92" s="3595" t="s">
        <v>940</v>
      </c>
      <c r="AE92" s="3583"/>
      <c r="AF92" s="3583"/>
      <c r="AG92" s="3583"/>
      <c r="AH92" s="3583"/>
      <c r="AI92" s="3583"/>
      <c r="AJ92" s="3583"/>
    </row>
    <row r="93" spans="1:36" s="1348" customFormat="1" ht="24">
      <c r="A93" s="3628" t="s">
        <v>3229</v>
      </c>
      <c r="B93" s="3575"/>
      <c r="C93" s="3597" t="s">
        <v>3389</v>
      </c>
      <c r="D93" s="3598">
        <f>SUMIF($J$92:$N$92,C93,J93:N93)</f>
        <v>-1.23E-2</v>
      </c>
      <c r="E93" s="3631">
        <f>ROUND(SUM(D93:D101),4)</f>
        <v>-5.4999999999999997E-3</v>
      </c>
      <c r="F93" s="3600">
        <f>IF(E2="公共服务",SUMIF(L1:L12,G2,N1:N12),"——")</f>
        <v>9.9000000000000005E-2</v>
      </c>
      <c r="G93" s="3615">
        <v>1.23E-2</v>
      </c>
      <c r="H93" s="3602">
        <f>IFERROR(ROUNDDOWN($F$93*I93/2,4),"——")</f>
        <v>1.23E-2</v>
      </c>
      <c r="I93" s="3576">
        <v>0.25</v>
      </c>
      <c r="J93" s="3627">
        <f>K93+$G93</f>
        <v>2.46E-2</v>
      </c>
      <c r="K93" s="3627">
        <f t="shared" ref="K93:K101" si="27">$L93+$G93</f>
        <v>1.23E-2</v>
      </c>
      <c r="L93" s="3627">
        <v>0</v>
      </c>
      <c r="M93" s="3627">
        <f t="shared" ref="M93:N93" si="28">L93-$G93</f>
        <v>-1.23E-2</v>
      </c>
      <c r="N93" s="3627">
        <f t="shared" si="28"/>
        <v>-2.46E-2</v>
      </c>
      <c r="AE93" s="3583"/>
      <c r="AF93" s="3583"/>
      <c r="AG93" s="3583"/>
      <c r="AH93" s="3583"/>
      <c r="AI93" s="3583"/>
      <c r="AJ93" s="3583"/>
    </row>
    <row r="94" spans="1:36" s="1348" customFormat="1" ht="36">
      <c r="A94" s="3573" t="s">
        <v>3230</v>
      </c>
      <c r="B94" s="3590" t="str">
        <f>估价对象房地状况!G16</f>
        <v>估价对象周边道路状况、公共交通通达情况、停车便捷程度，综合评价交通便捷度较好</v>
      </c>
      <c r="C94" s="3597" t="s">
        <v>3377</v>
      </c>
      <c r="D94" s="3598">
        <f t="shared" ref="D94:D101" si="29">SUMIF($J$92:$N$92,C94,J94:N94)</f>
        <v>0</v>
      </c>
      <c r="E94" s="3622"/>
      <c r="F94" s="3600"/>
      <c r="G94" s="3615">
        <v>1.2800000000000001E-2</v>
      </c>
      <c r="H94" s="3602">
        <f t="shared" ref="H94:H101" si="30">IFERROR(ROUNDDOWN($F$93*I94/2,4),"——")</f>
        <v>1.2800000000000001E-2</v>
      </c>
      <c r="I94" s="3576">
        <v>0.26</v>
      </c>
      <c r="J94" s="3627">
        <f>K94+$G94</f>
        <v>2.5600000000000001E-2</v>
      </c>
      <c r="K94" s="3627">
        <f t="shared" si="27"/>
        <v>1.2800000000000001E-2</v>
      </c>
      <c r="L94" s="3627">
        <v>0</v>
      </c>
      <c r="M94" s="3627">
        <f t="shared" ref="M94:M101" si="31">L94-$G94</f>
        <v>-1.2800000000000001E-2</v>
      </c>
      <c r="N94" s="3627">
        <f t="shared" ref="N94:N101" si="32">M94-$G94</f>
        <v>-2.5600000000000001E-2</v>
      </c>
      <c r="AE94" s="3583"/>
      <c r="AF94" s="3583"/>
      <c r="AG94" s="3583"/>
      <c r="AH94" s="3583"/>
      <c r="AI94" s="3583"/>
      <c r="AJ94" s="3583"/>
    </row>
    <row r="95" spans="1:36" s="1348" customFormat="1" ht="36">
      <c r="A95" s="3628" t="s">
        <v>3218</v>
      </c>
      <c r="B95" s="3590">
        <f>估价对象房地状况!G17</f>
        <v>0</v>
      </c>
      <c r="C95" s="3597" t="s">
        <v>3389</v>
      </c>
      <c r="D95" s="3598">
        <f t="shared" si="29"/>
        <v>-5.4000000000000003E-3</v>
      </c>
      <c r="E95" s="3622"/>
      <c r="F95" s="3600"/>
      <c r="G95" s="3615">
        <v>5.4000000000000003E-3</v>
      </c>
      <c r="H95" s="3602">
        <f t="shared" si="30"/>
        <v>5.4000000000000003E-3</v>
      </c>
      <c r="I95" s="3576">
        <v>0.11</v>
      </c>
      <c r="J95" s="3627">
        <f t="shared" ref="J95:J101" si="33">K95+$G95</f>
        <v>1.0800000000000001E-2</v>
      </c>
      <c r="K95" s="3627">
        <f t="shared" si="27"/>
        <v>5.4000000000000003E-3</v>
      </c>
      <c r="L95" s="3627">
        <v>0</v>
      </c>
      <c r="M95" s="3627">
        <f t="shared" si="31"/>
        <v>-5.4000000000000003E-3</v>
      </c>
      <c r="N95" s="3627">
        <f t="shared" si="32"/>
        <v>-1.0800000000000001E-2</v>
      </c>
      <c r="AE95" s="3583"/>
      <c r="AF95" s="3583"/>
      <c r="AG95" s="3583"/>
      <c r="AH95" s="3583"/>
      <c r="AI95" s="3583"/>
      <c r="AJ95" s="3583"/>
    </row>
    <row r="96" spans="1:36" s="1348" customFormat="1" ht="36.75">
      <c r="A96" s="3573" t="s">
        <v>3222</v>
      </c>
      <c r="B96" s="3577" t="s">
        <v>3223</v>
      </c>
      <c r="C96" s="3597" t="s">
        <v>3377</v>
      </c>
      <c r="D96" s="3598">
        <f t="shared" si="29"/>
        <v>0</v>
      </c>
      <c r="E96" s="3622"/>
      <c r="F96" s="3600"/>
      <c r="G96" s="3615">
        <v>2.3999999999999998E-3</v>
      </c>
      <c r="H96" s="3602">
        <f t="shared" si="30"/>
        <v>2.3999999999999998E-3</v>
      </c>
      <c r="I96" s="3576">
        <v>0.05</v>
      </c>
      <c r="J96" s="3627">
        <f t="shared" si="33"/>
        <v>4.7999999999999996E-3</v>
      </c>
      <c r="K96" s="3627">
        <f t="shared" si="27"/>
        <v>2.3999999999999998E-3</v>
      </c>
      <c r="L96" s="3627">
        <v>0</v>
      </c>
      <c r="M96" s="3627">
        <f>L96-$G96</f>
        <v>-2.3999999999999998E-3</v>
      </c>
      <c r="N96" s="3627">
        <f t="shared" si="32"/>
        <v>-4.7999999999999996E-3</v>
      </c>
      <c r="AE96" s="3583"/>
      <c r="AF96" s="3583"/>
      <c r="AG96" s="3583"/>
      <c r="AH96" s="3583"/>
      <c r="AI96" s="3583"/>
      <c r="AJ96" s="3583"/>
    </row>
    <row r="97" spans="1:36" s="1348" customFormat="1" ht="24">
      <c r="A97" s="3573" t="s">
        <v>3224</v>
      </c>
      <c r="B97" s="3590">
        <f>估价对象房地状况!G22</f>
        <v>0</v>
      </c>
      <c r="C97" s="3597" t="s">
        <v>3389</v>
      </c>
      <c r="D97" s="3598">
        <f t="shared" si="29"/>
        <v>-2.3999999999999998E-3</v>
      </c>
      <c r="E97" s="3622"/>
      <c r="F97" s="3600"/>
      <c r="G97" s="3615">
        <v>2.3999999999999998E-3</v>
      </c>
      <c r="H97" s="3602">
        <f t="shared" si="30"/>
        <v>2.3999999999999998E-3</v>
      </c>
      <c r="I97" s="3576">
        <v>0.05</v>
      </c>
      <c r="J97" s="3627">
        <f t="shared" si="33"/>
        <v>4.7999999999999996E-3</v>
      </c>
      <c r="K97" s="3627">
        <f t="shared" si="27"/>
        <v>2.3999999999999998E-3</v>
      </c>
      <c r="L97" s="3627">
        <v>0</v>
      </c>
      <c r="M97" s="3627">
        <f t="shared" si="31"/>
        <v>-2.3999999999999998E-3</v>
      </c>
      <c r="N97" s="3627">
        <f t="shared" si="32"/>
        <v>-4.7999999999999996E-3</v>
      </c>
      <c r="AE97" s="3583"/>
      <c r="AF97" s="3583"/>
      <c r="AG97" s="3583"/>
      <c r="AH97" s="3583"/>
      <c r="AI97" s="3583"/>
      <c r="AJ97" s="3583"/>
    </row>
    <row r="98" spans="1:36" s="1348" customFormat="1" ht="24">
      <c r="A98" s="3573" t="s">
        <v>3231</v>
      </c>
      <c r="B98" s="3605" t="s">
        <v>2195</v>
      </c>
      <c r="C98" s="3597" t="s">
        <v>3378</v>
      </c>
      <c r="D98" s="3598">
        <f t="shared" si="29"/>
        <v>2.8999999999999998E-3</v>
      </c>
      <c r="E98" s="3622"/>
      <c r="F98" s="3600"/>
      <c r="G98" s="3615">
        <v>2.8999999999999998E-3</v>
      </c>
      <c r="H98" s="3602">
        <f t="shared" si="30"/>
        <v>2.8999999999999998E-3</v>
      </c>
      <c r="I98" s="3576">
        <v>0.06</v>
      </c>
      <c r="J98" s="3627">
        <f t="shared" si="33"/>
        <v>5.7999999999999996E-3</v>
      </c>
      <c r="K98" s="3627">
        <f t="shared" si="27"/>
        <v>2.8999999999999998E-3</v>
      </c>
      <c r="L98" s="3627">
        <v>0</v>
      </c>
      <c r="M98" s="3627">
        <f t="shared" si="31"/>
        <v>-2.8999999999999998E-3</v>
      </c>
      <c r="N98" s="3627">
        <f t="shared" si="32"/>
        <v>-5.7999999999999996E-3</v>
      </c>
      <c r="AE98" s="3583"/>
      <c r="AF98" s="3583"/>
      <c r="AG98" s="3583"/>
      <c r="AH98" s="3583"/>
      <c r="AI98" s="3583"/>
      <c r="AJ98" s="3583"/>
    </row>
    <row r="99" spans="1:36" s="1348" customFormat="1" ht="24">
      <c r="A99" s="3573" t="s">
        <v>3232</v>
      </c>
      <c r="B99" s="3590" t="str">
        <f>估价对象房地状况!C21</f>
        <v>估价对象所在区域公共配套设施齐备情况</v>
      </c>
      <c r="C99" s="3597" t="s">
        <v>3378</v>
      </c>
      <c r="D99" s="3598">
        <f t="shared" si="29"/>
        <v>2.8999999999999998E-3</v>
      </c>
      <c r="E99" s="3622"/>
      <c r="F99" s="3600"/>
      <c r="G99" s="3615">
        <v>2.8999999999999998E-3</v>
      </c>
      <c r="H99" s="3602">
        <f t="shared" si="30"/>
        <v>2.8999999999999998E-3</v>
      </c>
      <c r="I99" s="3576">
        <v>0.06</v>
      </c>
      <c r="J99" s="3627">
        <f t="shared" si="33"/>
        <v>5.7999999999999996E-3</v>
      </c>
      <c r="K99" s="3627">
        <f t="shared" si="27"/>
        <v>2.8999999999999998E-3</v>
      </c>
      <c r="L99" s="3627">
        <v>0</v>
      </c>
      <c r="M99" s="3627">
        <f t="shared" si="31"/>
        <v>-2.8999999999999998E-3</v>
      </c>
      <c r="N99" s="3627">
        <f t="shared" si="32"/>
        <v>-5.7999999999999996E-3</v>
      </c>
      <c r="AE99" s="3583"/>
      <c r="AF99" s="3583"/>
      <c r="AG99" s="3583"/>
      <c r="AH99" s="3583"/>
      <c r="AI99" s="3583"/>
      <c r="AJ99" s="3583"/>
    </row>
    <row r="100" spans="1:36" s="1348" customFormat="1" ht="24">
      <c r="A100" s="3573" t="s">
        <v>3225</v>
      </c>
      <c r="B100" s="3590" t="str">
        <f>估价对象房地状况!C22</f>
        <v>估价对象所在区域基础设施水平</v>
      </c>
      <c r="C100" s="3597" t="s">
        <v>3379</v>
      </c>
      <c r="D100" s="3598">
        <f t="shared" si="29"/>
        <v>8.8000000000000005E-3</v>
      </c>
      <c r="E100" s="3622"/>
      <c r="F100" s="3600"/>
      <c r="G100" s="3615">
        <v>4.4000000000000003E-3</v>
      </c>
      <c r="H100" s="3602">
        <f t="shared" si="30"/>
        <v>4.4000000000000003E-3</v>
      </c>
      <c r="I100" s="3576">
        <v>0.09</v>
      </c>
      <c r="J100" s="3627">
        <f t="shared" si="33"/>
        <v>8.8000000000000005E-3</v>
      </c>
      <c r="K100" s="3627">
        <f t="shared" si="27"/>
        <v>4.4000000000000003E-3</v>
      </c>
      <c r="L100" s="3627">
        <v>0</v>
      </c>
      <c r="M100" s="3627">
        <f t="shared" si="31"/>
        <v>-4.4000000000000003E-3</v>
      </c>
      <c r="N100" s="3627">
        <f t="shared" si="32"/>
        <v>-8.8000000000000005E-3</v>
      </c>
      <c r="AE100" s="3583"/>
      <c r="AF100" s="3583"/>
      <c r="AG100" s="3583"/>
      <c r="AH100" s="3583"/>
      <c r="AI100" s="3583"/>
      <c r="AJ100" s="3583"/>
    </row>
    <row r="101" spans="1:36" s="1348" customFormat="1" ht="24.75" thickBot="1">
      <c r="A101" s="3573" t="s">
        <v>3226</v>
      </c>
      <c r="B101" s="3596" t="str">
        <f>估价对象房地状况!C20</f>
        <v>区域自然环境：；人文环境；综合评价环境状况一般</v>
      </c>
      <c r="C101" s="3597" t="s">
        <v>3377</v>
      </c>
      <c r="D101" s="3598">
        <f t="shared" si="29"/>
        <v>0</v>
      </c>
      <c r="E101" s="3622"/>
      <c r="F101" s="3600"/>
      <c r="G101" s="3615">
        <v>3.3999999999999998E-3</v>
      </c>
      <c r="H101" s="3602">
        <f t="shared" si="30"/>
        <v>3.3999999999999998E-3</v>
      </c>
      <c r="I101" s="3578">
        <v>7.0000000000000007E-2</v>
      </c>
      <c r="J101" s="3627">
        <f t="shared" si="33"/>
        <v>6.7999999999999996E-3</v>
      </c>
      <c r="K101" s="3627">
        <f t="shared" si="27"/>
        <v>3.3999999999999998E-3</v>
      </c>
      <c r="L101" s="3627">
        <v>0</v>
      </c>
      <c r="M101" s="3627">
        <f t="shared" si="31"/>
        <v>-3.3999999999999998E-3</v>
      </c>
      <c r="N101" s="3627">
        <f t="shared" si="32"/>
        <v>-6.7999999999999996E-3</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888" t="s">
        <v>1171</v>
      </c>
      <c r="B104" s="3888"/>
      <c r="C104" s="3888"/>
      <c r="D104" s="3888"/>
      <c r="E104" s="3888"/>
      <c r="F104" s="3888"/>
      <c r="G104" s="3888"/>
      <c r="H104" s="3888"/>
      <c r="I104" s="3888"/>
      <c r="J104" s="3888"/>
      <c r="K104" s="2102"/>
      <c r="L104" s="2102"/>
      <c r="M104" s="2102"/>
      <c r="N104" s="2102"/>
    </row>
    <row r="105" spans="1:36">
      <c r="A105" s="3889" t="s">
        <v>1160</v>
      </c>
      <c r="B105" s="3889" t="s">
        <v>1172</v>
      </c>
      <c r="C105" s="1041" t="s">
        <v>1173</v>
      </c>
      <c r="D105" s="1042"/>
      <c r="E105" s="1042"/>
      <c r="F105" s="1042"/>
      <c r="G105" s="1042"/>
      <c r="H105" s="1042"/>
      <c r="I105" s="1042"/>
      <c r="J105" s="1043"/>
      <c r="K105" s="1035"/>
      <c r="L105" s="1035"/>
      <c r="M105" s="1035"/>
      <c r="N105" s="1035"/>
    </row>
    <row r="106" spans="1:36">
      <c r="A106" s="3889"/>
      <c r="B106" s="3889"/>
      <c r="C106" s="2101" t="s">
        <v>835</v>
      </c>
      <c r="D106" s="2101" t="s">
        <v>819</v>
      </c>
      <c r="E106" s="2101" t="s">
        <v>820</v>
      </c>
      <c r="F106" s="2101" t="s">
        <v>838</v>
      </c>
      <c r="G106" s="2101" t="s">
        <v>822</v>
      </c>
      <c r="H106" s="2101" t="s">
        <v>823</v>
      </c>
      <c r="I106" s="2101" t="s">
        <v>824</v>
      </c>
      <c r="J106" s="2101" t="s">
        <v>825</v>
      </c>
      <c r="K106" s="2101" t="s">
        <v>843</v>
      </c>
      <c r="L106" s="2101" t="s">
        <v>827</v>
      </c>
      <c r="M106" s="2101" t="s">
        <v>828</v>
      </c>
      <c r="N106" s="2101" t="s">
        <v>846</v>
      </c>
    </row>
    <row r="107" spans="1:36">
      <c r="A107" s="3878" t="s">
        <v>2042</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7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7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7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7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79"/>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8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85" t="s">
        <v>1174</v>
      </c>
      <c r="B114" s="3885"/>
      <c r="C114" s="3885"/>
      <c r="D114" s="3885"/>
      <c r="E114" s="3885"/>
      <c r="F114" s="3885"/>
      <c r="G114" s="3885"/>
      <c r="H114" s="3885"/>
      <c r="I114" s="3885"/>
      <c r="J114" s="3885"/>
      <c r="K114" s="2100"/>
      <c r="L114" s="2100"/>
      <c r="M114" s="2100"/>
      <c r="N114" s="2100"/>
    </row>
    <row r="116" spans="1:14" ht="12.75" thickBot="1"/>
    <row r="117" spans="1:14" ht="25.5" thickBot="1">
      <c r="A117" s="976" t="s">
        <v>830</v>
      </c>
      <c r="B117" s="2103">
        <f>G3</f>
        <v>1.6</v>
      </c>
      <c r="C117" s="977" t="s">
        <v>831</v>
      </c>
      <c r="D117" s="978" t="e">
        <f>SUMPRODUCT((A118:A122=F116)*(B117:M117=H116)*B118:M122)</f>
        <v>#VALUE!</v>
      </c>
      <c r="E117" s="979" t="s">
        <v>832</v>
      </c>
      <c r="F117" s="980" t="str">
        <f>E2</f>
        <v>公共服务</v>
      </c>
      <c r="G117" s="979" t="s">
        <v>833</v>
      </c>
      <c r="H117" s="980" t="str">
        <f>G2</f>
        <v>五级</v>
      </c>
      <c r="I117" s="979"/>
      <c r="J117" s="971"/>
      <c r="K117" s="971"/>
      <c r="L117" s="971"/>
      <c r="M117" s="971"/>
    </row>
    <row r="118" spans="1:14" ht="12.75">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2.75">
      <c r="A119" s="3632" t="s">
        <v>3235</v>
      </c>
      <c r="B119" s="3574">
        <f>ROUND(0.9968-0.011*B117,4)</f>
        <v>0.97919999999999996</v>
      </c>
      <c r="C119" s="3574">
        <f>B119</f>
        <v>0.97919999999999996</v>
      </c>
      <c r="D119" s="3574">
        <f>ROUND(0.949-0.014*B117,4)</f>
        <v>0.92659999999999998</v>
      </c>
      <c r="E119" s="3574">
        <f>D119</f>
        <v>0.92659999999999998</v>
      </c>
      <c r="F119" s="3574">
        <f>E119</f>
        <v>0.92659999999999998</v>
      </c>
      <c r="G119" s="3574">
        <f>F119</f>
        <v>0.92659999999999998</v>
      </c>
      <c r="H119" s="3574">
        <f>G119</f>
        <v>0.92659999999999998</v>
      </c>
      <c r="I119" s="3574">
        <f>ROUND(0.8486-0.018*B117,4)</f>
        <v>0.81979999999999997</v>
      </c>
      <c r="J119" s="3574">
        <f t="shared" ref="J119:M123" si="35">I119</f>
        <v>0.81979999999999997</v>
      </c>
      <c r="K119" s="3574">
        <f t="shared" si="35"/>
        <v>0.81979999999999997</v>
      </c>
      <c r="L119" s="3574">
        <f t="shared" si="35"/>
        <v>0.81979999999999997</v>
      </c>
      <c r="M119" s="3635">
        <f t="shared" si="35"/>
        <v>0.81979999999999997</v>
      </c>
    </row>
    <row r="120" spans="1:14" ht="12.75">
      <c r="A120" s="3632" t="s">
        <v>3236</v>
      </c>
      <c r="B120" s="3574">
        <f>ROUND(0.993-0.0112*B117,4)</f>
        <v>0.97509999999999997</v>
      </c>
      <c r="C120" s="3574">
        <f>B120</f>
        <v>0.97509999999999997</v>
      </c>
      <c r="D120" s="3574">
        <f>ROUND(0.9415-0.0142*B117,4)</f>
        <v>0.91879999999999995</v>
      </c>
      <c r="E120" s="3574">
        <f t="shared" ref="E120:H121" si="36">D120</f>
        <v>0.91879999999999995</v>
      </c>
      <c r="F120" s="3574">
        <f t="shared" si="36"/>
        <v>0.91879999999999995</v>
      </c>
      <c r="G120" s="3574">
        <f t="shared" si="36"/>
        <v>0.91879999999999995</v>
      </c>
      <c r="H120" s="3574">
        <f t="shared" si="36"/>
        <v>0.91879999999999995</v>
      </c>
      <c r="I120" s="3574">
        <f>ROUND(0.838-0.0182*B117,4)</f>
        <v>0.80889999999999995</v>
      </c>
      <c r="J120" s="3574">
        <f t="shared" si="35"/>
        <v>0.80889999999999995</v>
      </c>
      <c r="K120" s="3574">
        <f t="shared" si="35"/>
        <v>0.80889999999999995</v>
      </c>
      <c r="L120" s="3574">
        <f t="shared" si="35"/>
        <v>0.80889999999999995</v>
      </c>
      <c r="M120" s="3635">
        <f t="shared" si="35"/>
        <v>0.80889999999999995</v>
      </c>
    </row>
    <row r="121" spans="1:14" ht="12.75">
      <c r="A121" s="3632" t="s">
        <v>3237</v>
      </c>
      <c r="B121" s="3574">
        <f>ROUND(0.9448-0.0115*B117,4)</f>
        <v>0.9264</v>
      </c>
      <c r="C121" s="3574">
        <f>B121</f>
        <v>0.9264</v>
      </c>
      <c r="D121" s="3574">
        <f>ROUND(0.937-0.0145*B117,4)</f>
        <v>0.91379999999999995</v>
      </c>
      <c r="E121" s="3574">
        <f t="shared" si="36"/>
        <v>0.91379999999999995</v>
      </c>
      <c r="F121" s="3574">
        <f t="shared" si="36"/>
        <v>0.91379999999999995</v>
      </c>
      <c r="G121" s="3574">
        <f t="shared" si="36"/>
        <v>0.91379999999999995</v>
      </c>
      <c r="H121" s="3574">
        <f t="shared" si="36"/>
        <v>0.91379999999999995</v>
      </c>
      <c r="I121" s="3574">
        <f>ROUND(0.7965-0.0185*B117,4)</f>
        <v>0.76690000000000003</v>
      </c>
      <c r="J121" s="3574">
        <f t="shared" si="35"/>
        <v>0.76690000000000003</v>
      </c>
      <c r="K121" s="3574">
        <f t="shared" si="35"/>
        <v>0.76690000000000003</v>
      </c>
      <c r="L121" s="3574">
        <f t="shared" si="35"/>
        <v>0.76690000000000003</v>
      </c>
      <c r="M121" s="3635">
        <f t="shared" si="35"/>
        <v>0.76690000000000003</v>
      </c>
    </row>
    <row r="122" spans="1:14" ht="13.5" thickBot="1">
      <c r="A122" s="3633" t="s">
        <v>3238</v>
      </c>
      <c r="B122" s="3636">
        <f>ROUND(0.7836-0.012*B117,4)</f>
        <v>0.76439999999999997</v>
      </c>
      <c r="C122" s="3636">
        <f>B122</f>
        <v>0.76439999999999997</v>
      </c>
      <c r="D122" s="3636">
        <f>ROUND(0.753-0.015*B117,4)</f>
        <v>0.72899999999999998</v>
      </c>
      <c r="E122" s="3636">
        <f>D122</f>
        <v>0.72899999999999998</v>
      </c>
      <c r="F122" s="3636">
        <f>E122</f>
        <v>0.72899999999999998</v>
      </c>
      <c r="G122" s="3636">
        <f>ROUND(0.6612-0.018*B117,4)</f>
        <v>0.63239999999999996</v>
      </c>
      <c r="H122" s="3636">
        <f>G122</f>
        <v>0.63239999999999996</v>
      </c>
      <c r="I122" s="3636">
        <f>ROUND(0.5905-0.019*B117,4)</f>
        <v>0.56010000000000004</v>
      </c>
      <c r="J122" s="3636">
        <f t="shared" si="35"/>
        <v>0.56010000000000004</v>
      </c>
      <c r="K122" s="3636">
        <f t="shared" si="35"/>
        <v>0.56010000000000004</v>
      </c>
      <c r="L122" s="3636">
        <f t="shared" si="35"/>
        <v>0.56010000000000004</v>
      </c>
      <c r="M122" s="3637">
        <f t="shared" si="35"/>
        <v>0.56010000000000004</v>
      </c>
    </row>
    <row r="123" spans="1:14" ht="12.75">
      <c r="A123" s="3634" t="s">
        <v>3219</v>
      </c>
      <c r="B123" s="3574">
        <f>ROUND(0.9404-0.0106*B117,4)</f>
        <v>0.9234</v>
      </c>
      <c r="C123" s="3574">
        <f>B123</f>
        <v>0.9234</v>
      </c>
      <c r="D123" s="3574">
        <f>ROUND(0.8955-0.0135*B117,4)</f>
        <v>0.87390000000000001</v>
      </c>
      <c r="E123" s="3574">
        <f t="shared" ref="E123:H123" si="37">D123</f>
        <v>0.87390000000000001</v>
      </c>
      <c r="F123" s="3574">
        <f t="shared" si="37"/>
        <v>0.87390000000000001</v>
      </c>
      <c r="G123" s="3574">
        <f t="shared" si="37"/>
        <v>0.87390000000000001</v>
      </c>
      <c r="H123" s="3574">
        <f t="shared" si="37"/>
        <v>0.87390000000000001</v>
      </c>
      <c r="I123" s="3574">
        <f>ROUND(0.7632-0.0166*B117,4)</f>
        <v>0.73660000000000003</v>
      </c>
      <c r="J123" s="3574">
        <f t="shared" si="35"/>
        <v>0.73660000000000003</v>
      </c>
      <c r="K123" s="3574">
        <f t="shared" si="35"/>
        <v>0.73660000000000003</v>
      </c>
      <c r="L123" s="3574">
        <f t="shared" si="35"/>
        <v>0.73660000000000003</v>
      </c>
      <c r="M123" s="3635">
        <f t="shared" si="35"/>
        <v>0.73660000000000003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75" priority="7" stopIfTrue="1" operator="notEqual">
      <formula>"——"</formula>
    </cfRule>
  </conditionalFormatting>
  <conditionalFormatting sqref="F61">
    <cfRule type="cellIs" dxfId="174" priority="6" stopIfTrue="1" operator="notEqual">
      <formula>"——"</formula>
    </cfRule>
  </conditionalFormatting>
  <conditionalFormatting sqref="F72">
    <cfRule type="cellIs" dxfId="173" priority="5" stopIfTrue="1" operator="notEqual">
      <formula>"——"</formula>
    </cfRule>
  </conditionalFormatting>
  <conditionalFormatting sqref="F83">
    <cfRule type="cellIs" dxfId="172" priority="4" stopIfTrue="1" operator="notEqual">
      <formula>"——"</formula>
    </cfRule>
  </conditionalFormatting>
  <conditionalFormatting sqref="H50:H58 H72:H80 H83:H91 H93:H102 H61:H69">
    <cfRule type="cellIs" dxfId="17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K47" sqref="K47"/>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425</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426</v>
      </c>
      <c r="B2" s="1827">
        <f ca="1">C36</f>
        <v>60416</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1216</v>
      </c>
      <c r="B3" s="1829">
        <f ca="1">ROUND(B2*10000/IF(B1="",'数据-汇总表'!E3,INDIRECT("'数据-取费表'!K"&amp;$K$1)),0)</f>
        <v>10211</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427</v>
      </c>
      <c r="B4" s="414">
        <f ca="1">ROUND(B2*10000/IF(B1="",'数据-汇总表'!D3,INDIRECT("'数据-取费表'!R"&amp;$K$1)),0)</f>
        <v>26906</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1794</v>
      </c>
      <c r="C5" s="418" t="s">
        <v>428</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1370</v>
      </c>
      <c r="B6" s="2308"/>
      <c r="C6" s="2309">
        <f ca="1">SUM(C10:K10)</f>
        <v>146997.79989192216</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429</v>
      </c>
      <c r="B7" s="2312" t="s">
        <v>430</v>
      </c>
      <c r="C7" s="423" t="s">
        <v>3363</v>
      </c>
      <c r="D7" s="423" t="s">
        <v>2738</v>
      </c>
      <c r="E7" s="423"/>
      <c r="F7" s="423"/>
      <c r="G7" s="423"/>
      <c r="H7" s="423"/>
      <c r="I7" s="423"/>
      <c r="J7" s="423"/>
      <c r="K7" s="424"/>
      <c r="AA7" s="1834"/>
      <c r="AB7" s="1834"/>
      <c r="AC7" s="1834"/>
      <c r="AD7" s="1834"/>
      <c r="AE7" s="1834"/>
    </row>
    <row r="8" spans="1:31" s="1837" customFormat="1" ht="13.5" customHeight="1">
      <c r="A8" s="769" t="s">
        <v>1373</v>
      </c>
      <c r="B8" s="252" t="s">
        <v>431</v>
      </c>
      <c r="C8" s="2313">
        <f ca="1">'不动产收益法-酒店模型'!B3</f>
        <v>32889</v>
      </c>
      <c r="D8" s="2313">
        <f ca="1">不动产收益法!B3</f>
        <v>9401</v>
      </c>
      <c r="E8" s="2313"/>
      <c r="F8" s="2313"/>
      <c r="G8" s="2313"/>
      <c r="H8" s="2313"/>
      <c r="I8" s="2313"/>
      <c r="J8" s="2313"/>
      <c r="K8" s="2314"/>
      <c r="AA8" s="1836"/>
      <c r="AB8" s="1836"/>
      <c r="AC8" s="1836"/>
      <c r="AD8" s="1836"/>
      <c r="AE8" s="1836"/>
    </row>
    <row r="9" spans="1:31" s="1837" customFormat="1" ht="13.5" customHeight="1">
      <c r="A9" s="769" t="s">
        <v>1374</v>
      </c>
      <c r="B9" s="252" t="s">
        <v>432</v>
      </c>
      <c r="C9" s="428">
        <f>SUMIF('数据-汇总表'!$C19:$C33,'剩余法-待开发'!C7,'数据-汇总表'!$E19:$E33)</f>
        <v>43064.46</v>
      </c>
      <c r="D9" s="428">
        <f>SUMIF('数据-汇总表'!$C19:$C33,'剩余法-待开发'!D7,'数据-汇总表'!$E19:$E33)</f>
        <v>5705</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1375</v>
      </c>
      <c r="B10" s="2301" t="s">
        <v>433</v>
      </c>
      <c r="C10" s="2501">
        <f ca="1">'不动产收益法-酒店模型'!B2</f>
        <v>141634.79989192216</v>
      </c>
      <c r="D10" s="2501">
        <f ca="1">不动产收益法!B2</f>
        <v>5363</v>
      </c>
      <c r="E10" s="2501"/>
      <c r="F10" s="2316"/>
      <c r="G10" s="2316"/>
      <c r="H10" s="2316"/>
      <c r="I10" s="2316"/>
      <c r="J10" s="2316"/>
      <c r="K10" s="2317"/>
      <c r="AA10" s="1836"/>
      <c r="AB10" s="1836"/>
      <c r="AC10" s="1836"/>
      <c r="AD10" s="1836"/>
      <c r="AE10" s="1836"/>
    </row>
    <row r="11" spans="1:31" s="1833" customFormat="1" ht="16.5" customHeight="1">
      <c r="A11" s="2318" t="s">
        <v>1371</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429</v>
      </c>
      <c r="B12" s="2291" t="s">
        <v>430</v>
      </c>
      <c r="C12" s="2320" t="s">
        <v>434</v>
      </c>
      <c r="D12" s="2287" t="s">
        <v>435</v>
      </c>
      <c r="E12" s="2287" t="s">
        <v>436</v>
      </c>
      <c r="F12" s="2287" t="s">
        <v>437</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1376</v>
      </c>
      <c r="B13" s="2322" t="s">
        <v>438</v>
      </c>
      <c r="C13" s="436">
        <f ca="1">IF(B1="",'数据-取费表'!P16,INDIRECT("'数据-取费表'!p"&amp;$K$1)+INDIRECT("'数据-取费表'!t"&amp;$K$1))</f>
        <v>47334</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1377</v>
      </c>
      <c r="B14" s="2322" t="s">
        <v>439</v>
      </c>
      <c r="C14" s="51">
        <f ca="1">ROUND(C13*F14,0)</f>
        <v>3787</v>
      </c>
      <c r="D14" s="2323"/>
      <c r="E14" s="2324"/>
      <c r="F14" s="2328">
        <f>'数据-取费表'!B33</f>
        <v>0.08</v>
      </c>
      <c r="G14" s="2291" t="s">
        <v>440</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1378</v>
      </c>
      <c r="B15" s="2322" t="s">
        <v>441</v>
      </c>
      <c r="C15" s="51">
        <f ca="1">ROUND(IF(B1="",SUMIF('数据-取费表'!C:C,"住宅",'数据-取费表'!P:P)*F15,IF(INDIRECT("'数据-取费表'!c"&amp;$K$1)="住宅",INDIRECT("'数据-取费表'!P"&amp;$K$1)*F15,0)),0)</f>
        <v>0</v>
      </c>
      <c r="D15" s="2323"/>
      <c r="E15" s="2324"/>
      <c r="F15" s="2328">
        <f>'数据-取费表'!B34</f>
        <v>0</v>
      </c>
      <c r="G15" s="2291" t="s">
        <v>442</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1379</v>
      </c>
      <c r="B16" s="2322" t="s">
        <v>443</v>
      </c>
      <c r="C16" s="51">
        <f ca="1">ROUND(D16*E16/10000,0)</f>
        <v>1183</v>
      </c>
      <c r="D16" s="2323">
        <f ca="1">IF(B1="",'数据-汇总表'!E3,INDIRECT("'数据-取费表'!K"&amp;$K$1)+INDIRECT("'数据-取费表'!S"&amp;$K$1))</f>
        <v>59167.44</v>
      </c>
      <c r="E16" s="51">
        <f>'数据-取费表'!B35</f>
        <v>200</v>
      </c>
      <c r="F16" s="2326"/>
      <c r="G16" s="2291"/>
      <c r="H16" s="2292"/>
      <c r="I16" s="2292"/>
      <c r="J16" s="2292"/>
      <c r="K16" s="2293"/>
      <c r="AA16" s="1838"/>
      <c r="AB16" s="1838"/>
      <c r="AC16" s="1838"/>
      <c r="AD16" s="1838"/>
      <c r="AE16" s="1838"/>
    </row>
    <row r="17" spans="1:26" s="1838" customFormat="1" ht="13.5" customHeight="1">
      <c r="A17" s="2321" t="s">
        <v>1380</v>
      </c>
      <c r="B17" s="2322" t="s">
        <v>444</v>
      </c>
      <c r="C17" s="2327">
        <f ca="1">ROUND(C13*F17,0)</f>
        <v>710</v>
      </c>
      <c r="D17" s="461"/>
      <c r="E17" s="2327"/>
      <c r="F17" s="2328">
        <f>'数据-取费表'!B36</f>
        <v>1.4999999999999999E-2</v>
      </c>
      <c r="G17" s="252" t="s">
        <v>445</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1381</v>
      </c>
      <c r="B18" s="2330" t="s">
        <v>446</v>
      </c>
      <c r="C18" s="2331">
        <f ca="1">SUM(C13:C17)</f>
        <v>53014</v>
      </c>
      <c r="D18" s="2332"/>
      <c r="E18" s="454"/>
      <c r="F18" s="454"/>
      <c r="G18" s="2295" t="s">
        <v>1778</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1382</v>
      </c>
      <c r="B19" s="2330" t="s">
        <v>447</v>
      </c>
      <c r="C19" s="2287">
        <f ca="1">ROUND(D19*E19/10000,0)</f>
        <v>0</v>
      </c>
      <c r="D19" s="2333">
        <f ca="1">D16</f>
        <v>59167.44</v>
      </c>
      <c r="E19" s="2287">
        <f>'数据-取费表'!B32</f>
        <v>0</v>
      </c>
      <c r="F19" s="454"/>
      <c r="G19" s="2291" t="s">
        <v>448</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1383</v>
      </c>
      <c r="B20" s="2330" t="s">
        <v>449</v>
      </c>
      <c r="C20" s="2287">
        <f ca="1">C21+C22-IF(B1="",'数据-取费表'!B29,IF(G20="已全部缴纳",C21+C22,H20))</f>
        <v>1183</v>
      </c>
      <c r="D20" s="2333"/>
      <c r="E20" s="2287"/>
      <c r="F20" s="2334"/>
      <c r="G20" s="2532"/>
      <c r="H20" s="2289"/>
      <c r="I20" s="2290" t="s">
        <v>1930</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1384</v>
      </c>
      <c r="B21" s="2322" t="s">
        <v>450</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t="s">
        <v>3387</v>
      </c>
      <c r="R21" s="1839"/>
      <c r="S21" s="1839"/>
      <c r="T21" s="1839"/>
      <c r="U21" s="1839"/>
      <c r="V21" s="1839"/>
      <c r="W21" s="1839"/>
      <c r="X21" s="1839"/>
      <c r="Y21" s="1839"/>
      <c r="Z21" s="1839"/>
    </row>
    <row r="22" spans="1:26" s="1838" customFormat="1" ht="13.5" customHeight="1">
      <c r="A22" s="2321" t="s">
        <v>1385</v>
      </c>
      <c r="B22" s="2322" t="s">
        <v>451</v>
      </c>
      <c r="C22" s="51">
        <f ca="1">ROUND(D22*E22/10000,0)</f>
        <v>1183</v>
      </c>
      <c r="D22" s="2323">
        <f ca="1">IF(B1="",'数据-汇总表'!E6,IF(INDIRECT("'数据-取费表'!c"&amp;$K$1)="住宅",INDIRECT("'数据-取费表'!s"&amp;$K$1),INDIRECT("'数据-取费表'!k"&amp;$K$1)+INDIRECT("'数据-取费表'!s"&amp;$K$1)))</f>
        <v>59167.44</v>
      </c>
      <c r="E22" s="51">
        <f>'数据-取费表'!B28</f>
        <v>200</v>
      </c>
      <c r="F22" s="2326"/>
      <c r="G22" s="24"/>
      <c r="H22" s="49"/>
      <c r="I22" s="49"/>
      <c r="J22" s="49"/>
      <c r="K22" s="2298"/>
      <c r="L22" s="1839"/>
      <c r="M22" s="1839"/>
      <c r="N22" s="1839"/>
      <c r="O22" s="1839"/>
      <c r="P22" s="1839"/>
      <c r="Q22" s="1839" t="s">
        <v>3386</v>
      </c>
      <c r="R22" s="1839"/>
      <c r="S22" s="1839"/>
      <c r="T22" s="1839"/>
      <c r="U22" s="1839"/>
      <c r="V22" s="1839"/>
      <c r="W22" s="1839"/>
      <c r="X22" s="1839"/>
      <c r="Y22" s="1839"/>
      <c r="Z22" s="1839"/>
    </row>
    <row r="23" spans="1:26" s="1838" customFormat="1" ht="13.5" customHeight="1">
      <c r="A23" s="2329" t="s">
        <v>1386</v>
      </c>
      <c r="B23" s="2505" t="s">
        <v>2106</v>
      </c>
      <c r="C23" s="2331">
        <f ca="1">ROUND((C18+C19+C20)*F23,0)</f>
        <v>1626</v>
      </c>
      <c r="D23" s="454"/>
      <c r="E23" s="454"/>
      <c r="F23" s="2335">
        <f>'数据-取费表'!B37</f>
        <v>0.03</v>
      </c>
      <c r="G23" s="2291" t="s">
        <v>1779</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1387</v>
      </c>
      <c r="B24" s="2505" t="s">
        <v>2109</v>
      </c>
      <c r="C24" s="2331">
        <f ca="1">ROUND(C6*F24,0)</f>
        <v>4410</v>
      </c>
      <c r="D24" s="461"/>
      <c r="E24" s="459"/>
      <c r="F24" s="2335">
        <f>'数据-取费表'!B38</f>
        <v>0.03</v>
      </c>
      <c r="G24" s="2300" t="s">
        <v>458</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1388</v>
      </c>
      <c r="B25" s="2505" t="s">
        <v>2107</v>
      </c>
      <c r="C25" s="453">
        <f>ROUND(F25/(1+'数据-取费表'!C42),4)</f>
        <v>3.0499999999999999E-2</v>
      </c>
      <c r="D25" s="448" t="s">
        <v>2102</v>
      </c>
      <c r="E25" s="455"/>
      <c r="F25" s="2335">
        <f>IF(项目基本情况!B8="出让",0,'数据-取费表'!B48+'数据-取费表'!B49)</f>
        <v>3.0499999999999999E-2</v>
      </c>
      <c r="G25" s="2299" t="s">
        <v>1644</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1389</v>
      </c>
      <c r="B26" s="2506" t="s">
        <v>2108</v>
      </c>
      <c r="C26" s="2336">
        <f ca="1">C28</f>
        <v>3141</v>
      </c>
      <c r="D26" s="453">
        <f ca="1">C27</f>
        <v>0.1103</v>
      </c>
      <c r="E26" s="455" t="s">
        <v>454</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9" t="s">
        <v>1384</v>
      </c>
      <c r="B27" s="2337" t="s">
        <v>455</v>
      </c>
      <c r="C27" s="2338">
        <f ca="1">ROUND(IF('数据-取费表'!B22&lt;=1,(1+C25)*F26*'数据-取费表'!B24,(1+C25)*(POWER((1+F26),'数据-取费表'!B24)-1)),4)</f>
        <v>0.1103</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9" t="s">
        <v>1385</v>
      </c>
      <c r="B28" s="2337" t="s">
        <v>2110</v>
      </c>
      <c r="C28" s="2339">
        <f ca="1">ROUND(IF('数据-取费表'!B22&lt;=1,(C18+C19+C20+C23+C24)*F26*'数据-取费表'!B24/2,(C18+C19+C20+C23+C24)*(POWER((1+F26),'数据-取费表'!B24/2)-1)),0)</f>
        <v>3141</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1390</v>
      </c>
      <c r="B29" s="2330" t="s">
        <v>456</v>
      </c>
      <c r="C29" s="2331">
        <f ca="1">ROUND(C6*F29/(1+'数据-取费表'!C42),0)</f>
        <v>0</v>
      </c>
      <c r="D29" s="454"/>
      <c r="E29" s="454"/>
      <c r="F29" s="2507">
        <f>'数据-取费表'!B41</f>
        <v>0</v>
      </c>
      <c r="G29" s="2300" t="s">
        <v>457</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2" t="s">
        <v>1391</v>
      </c>
      <c r="B30" s="2341" t="s">
        <v>459</v>
      </c>
      <c r="C30" s="2336">
        <f ca="1">C31</f>
        <v>63374</v>
      </c>
      <c r="D30" s="463">
        <f ca="1">C32</f>
        <v>0.14080000000000001</v>
      </c>
      <c r="E30" s="455" t="s">
        <v>454</v>
      </c>
      <c r="F30" s="457"/>
      <c r="G30" s="2299" t="s">
        <v>2226</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9" t="s">
        <v>1384</v>
      </c>
      <c r="B31" s="2337"/>
      <c r="C31" s="436">
        <f ca="1">C18+C19+C20+C23+C24+C26+C29</f>
        <v>63374</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9" t="s">
        <v>1385</v>
      </c>
      <c r="B32" s="2337"/>
      <c r="C32" s="51">
        <f ca="1">ROUND(C25+D26,4)</f>
        <v>0.14080000000000001</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2105</v>
      </c>
      <c r="B33" s="2502" t="s">
        <v>2103</v>
      </c>
      <c r="C33" s="464">
        <f ca="1">C35</f>
        <v>7228</v>
      </c>
      <c r="D33" s="453">
        <f ca="1">C34</f>
        <v>0.1237</v>
      </c>
      <c r="E33" s="455" t="s">
        <v>454</v>
      </c>
      <c r="F33" s="465">
        <f ca="1">IF(B1="",'数据-取费表'!Q16,INDIRECT("'数据-取费表'!q"&amp;$K$1))</f>
        <v>0.12</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1384</v>
      </c>
      <c r="B34" s="2342" t="s">
        <v>460</v>
      </c>
      <c r="C34" s="458">
        <f ca="1">ROUND((1+C25)*F33,4)</f>
        <v>0.1237</v>
      </c>
      <c r="D34" s="458"/>
      <c r="E34" s="459"/>
      <c r="F34" s="466"/>
      <c r="G34" s="252" t="s">
        <v>1645</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3" t="s">
        <v>1385</v>
      </c>
      <c r="B35" s="2503" t="s">
        <v>2111</v>
      </c>
      <c r="C35" s="1435">
        <f ca="1">ROUND((C18+C19+C20+C23+C24)*F33,0)</f>
        <v>7228</v>
      </c>
      <c r="D35" s="1436"/>
      <c r="E35" s="2343"/>
      <c r="F35" s="1437"/>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1372</v>
      </c>
      <c r="B36" s="2305"/>
      <c r="C36" s="2344">
        <f ca="1">ROUND((C6-C30-C33)/(1+D30+D33),0)</f>
        <v>60416</v>
      </c>
      <c r="D36" s="2305"/>
      <c r="E36" s="2305"/>
      <c r="F36" s="2305"/>
      <c r="G36" s="2304" t="s">
        <v>2112</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1424</v>
      </c>
      <c r="B36" s="1459" t="s">
        <v>1425</v>
      </c>
    </row>
    <row r="37" spans="1:9" ht="28.5" customHeight="1">
      <c r="A37" s="1459"/>
      <c r="B37" s="3704" t="str">
        <f>项目基本情况!B1</f>
        <v>北京市朝阳区东坝非配套项目用地（E组团A地块）出让国有建设用地使用权市场价格预评估</v>
      </c>
      <c r="C37" s="3704"/>
      <c r="D37" s="3704"/>
      <c r="E37" s="3704"/>
      <c r="F37" s="3704"/>
      <c r="G37" s="3704"/>
      <c r="H37" s="3704"/>
      <c r="I37" s="3704"/>
    </row>
    <row r="38" spans="1:9">
      <c r="A38" s="1461"/>
      <c r="B38" s="1461"/>
    </row>
    <row r="39" spans="1:9">
      <c r="A39" s="1459" t="s">
        <v>1424</v>
      </c>
      <c r="B39" s="1459" t="s">
        <v>1561</v>
      </c>
    </row>
    <row r="40" spans="1:9">
      <c r="A40" s="1459"/>
      <c r="B40" s="1459" t="str">
        <f>项目基本情况!B5</f>
        <v>北京三博脑科医院有限公司</v>
      </c>
    </row>
    <row r="41" spans="1:9">
      <c r="A41" s="1459"/>
      <c r="B41" s="1459"/>
    </row>
    <row r="42" spans="1:9">
      <c r="A42" s="1459" t="s">
        <v>1424</v>
      </c>
      <c r="B42" s="1459" t="s">
        <v>1562</v>
      </c>
    </row>
    <row r="43" spans="1:9">
      <c r="A43" s="1459"/>
      <c r="B43" s="1459" t="s">
        <v>1426</v>
      </c>
    </row>
    <row r="44" spans="1:9">
      <c r="A44" s="1459"/>
      <c r="B44" s="1459"/>
    </row>
    <row r="45" spans="1:9">
      <c r="A45" s="1459" t="s">
        <v>1424</v>
      </c>
      <c r="B45" s="1459" t="s">
        <v>1560</v>
      </c>
    </row>
    <row r="46" spans="1:9" s="1459" customFormat="1" ht="12.75">
      <c r="B46" s="1459" t="str">
        <f>项目基本情况!K4</f>
        <v>赵雯、崔锴</v>
      </c>
    </row>
    <row r="47" spans="1:9">
      <c r="A47" s="1459"/>
      <c r="B47" s="1459"/>
    </row>
    <row r="48" spans="1:9">
      <c r="A48" s="1459" t="s">
        <v>1424</v>
      </c>
      <c r="B48" s="1459" t="s">
        <v>1563</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425</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426</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1216</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427</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428</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1931</v>
      </c>
      <c r="B6" s="420"/>
      <c r="C6" s="1430">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429</v>
      </c>
      <c r="B7" s="422" t="s">
        <v>430</v>
      </c>
      <c r="C7" s="3056"/>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1373</v>
      </c>
      <c r="B8" s="425" t="s">
        <v>431</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1374</v>
      </c>
      <c r="B9" s="425" t="s">
        <v>432</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1375</v>
      </c>
      <c r="B10" s="1431" t="s">
        <v>433</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1392</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7" customFormat="1" ht="13.5" customHeight="1">
      <c r="A12" s="421" t="s">
        <v>429</v>
      </c>
      <c r="B12" s="430" t="s">
        <v>430</v>
      </c>
      <c r="C12" s="431" t="s">
        <v>434</v>
      </c>
      <c r="D12" s="432" t="s">
        <v>435</v>
      </c>
      <c r="E12" s="432" t="s">
        <v>436</v>
      </c>
      <c r="F12" s="432" t="s">
        <v>437</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40" t="s">
        <v>1376</v>
      </c>
      <c r="B13" s="435" t="s">
        <v>438</v>
      </c>
      <c r="C13" s="436">
        <f ca="1">IF(B1="",'数据-取费表'!M16,INDIRECT("'数据-取费表'!M"&amp;$K$1)+INDIRECT("'数据-取费表'!t"&amp;$K$1))</f>
        <v>47334</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1377</v>
      </c>
      <c r="B14" s="435" t="s">
        <v>439</v>
      </c>
      <c r="C14" s="51">
        <f ca="1">ROUND(C13*F14,0)</f>
        <v>3787</v>
      </c>
      <c r="D14" s="437"/>
      <c r="E14" s="356"/>
      <c r="F14" s="442">
        <f>'数据-取费表'!B33</f>
        <v>0.08</v>
      </c>
      <c r="G14" s="430" t="s">
        <v>461</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1378</v>
      </c>
      <c r="B15" s="435" t="s">
        <v>441</v>
      </c>
      <c r="C15" s="51">
        <f ca="1">ROUND(IF(B1="",SUMIF('数据-取费表'!C:C,"住宅",'数据-取费表'!M:M)*F15,IF(INDIRECT("'数据-取费表'!c"&amp;$K$1)="住宅",INDIRECT("'数据-取费表'!M"&amp;$K$1)*F15,0)),0)</f>
        <v>0</v>
      </c>
      <c r="D15" s="437"/>
      <c r="E15" s="356"/>
      <c r="F15" s="442">
        <f>'数据-取费表'!B34</f>
        <v>0</v>
      </c>
      <c r="G15" s="430" t="s">
        <v>461</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1379</v>
      </c>
      <c r="B16" s="435" t="s">
        <v>443</v>
      </c>
      <c r="C16" s="51">
        <f ca="1">ROUND(D16*E16/10000,0)</f>
        <v>1183</v>
      </c>
      <c r="D16" s="437">
        <f ca="1">IF(B1="",'数据-汇总表'!E3,INDIRECT("'数据-取费表'!K"&amp;$K$1)+INDIRECT("'数据-取费表'!S"&amp;$K$1))</f>
        <v>59167.44</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1380</v>
      </c>
      <c r="B17" s="435" t="s">
        <v>444</v>
      </c>
      <c r="C17" s="440">
        <f ca="1">ROUND(C13*F17,0)</f>
        <v>710</v>
      </c>
      <c r="D17" s="441"/>
      <c r="E17" s="440"/>
      <c r="F17" s="442">
        <f>'数据-取费表'!B36</f>
        <v>1.4999999999999999E-2</v>
      </c>
      <c r="G17" s="430" t="s">
        <v>461</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1381</v>
      </c>
      <c r="B18" s="445" t="s">
        <v>446</v>
      </c>
      <c r="C18" s="446">
        <f ca="1">SUM(C13:C17)</f>
        <v>53014</v>
      </c>
      <c r="D18" s="447"/>
      <c r="E18" s="448"/>
      <c r="F18" s="448"/>
      <c r="G18" s="1195" t="s">
        <v>1780</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1" t="s">
        <v>1382</v>
      </c>
      <c r="B19" s="445" t="s">
        <v>452</v>
      </c>
      <c r="C19" s="446">
        <f ca="1">ROUND(C18*F19,0)</f>
        <v>1590</v>
      </c>
      <c r="D19" s="447"/>
      <c r="E19" s="448"/>
      <c r="F19" s="452">
        <f>'数据-取费表'!B37</f>
        <v>0.03</v>
      </c>
      <c r="G19" s="430" t="s">
        <v>462</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1" t="s">
        <v>1383</v>
      </c>
      <c r="B20" s="447" t="s">
        <v>453</v>
      </c>
      <c r="C20" s="456">
        <f ca="1">ROUND(IF('数据-取费表'!B22&lt;=1,(C18+C19)*F20*'数据-取费表'!B20/2,(C18+C19)*(POWER((1+F20),'数据-取费表'!B20/2)-1)),0)</f>
        <v>2847</v>
      </c>
      <c r="D20" s="448">
        <f ca="1">ROUND(((1+F20)^'数据-取费表'!B20)-1,4)</f>
        <v>0.107</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1797</v>
      </c>
      <c r="M20" s="2951"/>
      <c r="N20" s="2951"/>
      <c r="O20" s="2951"/>
      <c r="P20" s="2951"/>
      <c r="Q20" s="2944"/>
      <c r="R20" s="2944"/>
      <c r="S20" s="2944"/>
      <c r="T20" s="2944"/>
      <c r="U20" s="2944"/>
      <c r="V20" s="2944"/>
      <c r="W20" s="2944"/>
      <c r="X20" s="2944"/>
      <c r="Y20" s="2944"/>
      <c r="Z20" s="2944"/>
    </row>
    <row r="21" spans="1:26" s="1842" customFormat="1" ht="13.5" customHeight="1">
      <c r="A21" s="1441" t="s">
        <v>2294</v>
      </c>
      <c r="B21" s="2502" t="s">
        <v>2104</v>
      </c>
      <c r="C21" s="464">
        <f ca="1">ROUND((C18+C19)*F21,0)</f>
        <v>6552</v>
      </c>
      <c r="D21" s="3028"/>
      <c r="E21" s="448"/>
      <c r="F21" s="465">
        <f ca="1">IF(B1="",'数据-取费表'!Q16,INDIRECT("'数据-取费表'!q"&amp;$K$1))</f>
        <v>0.12</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1" t="s">
        <v>1387</v>
      </c>
      <c r="B22" s="462" t="s">
        <v>463</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1388</v>
      </c>
      <c r="B23" s="3032" t="s">
        <v>2295</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90" t="s">
        <v>1393</v>
      </c>
      <c r="B24" s="3891"/>
      <c r="C24" s="3038">
        <f>ROUND(C6*F24/(1+'数据-取费表'!B42),0)</f>
        <v>0</v>
      </c>
      <c r="D24" s="3039"/>
      <c r="E24" s="3040"/>
      <c r="F24" s="3041">
        <f>'数据-取费表'!B41</f>
        <v>0</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890" t="s">
        <v>2292</v>
      </c>
      <c r="B25" s="3891"/>
      <c r="C25" s="3038">
        <f>ROUND(C6*F25,0)</f>
        <v>0</v>
      </c>
      <c r="D25" s="3039"/>
      <c r="E25" s="3040"/>
      <c r="F25" s="3044">
        <f>'数据-取费表'!B38</f>
        <v>0.03</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890" t="s">
        <v>2293</v>
      </c>
      <c r="B26" s="3891"/>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92" t="s">
        <v>2291</v>
      </c>
      <c r="B27" s="3893"/>
      <c r="C27" s="3046">
        <f ca="1">(C6-C23-C24-C25)/((1+F26)*(1+D20+F21))</f>
        <v>0</v>
      </c>
      <c r="D27" s="3047"/>
      <c r="E27" s="3047"/>
      <c r="F27" s="3047"/>
      <c r="G27" s="3048" t="s">
        <v>2227</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464</v>
      </c>
      <c r="B1" s="473"/>
      <c r="C1" s="474" t="s">
        <v>465</v>
      </c>
      <c r="D1" s="475" t="s">
        <v>466</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6"/>
    </row>
    <row r="2" spans="1:30" s="1197" customFormat="1" ht="28.5" customHeight="1">
      <c r="A2" s="410" t="s">
        <v>426</v>
      </c>
      <c r="B2" s="478" t="e">
        <f>F67</f>
        <v>#DIV/0!</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6"/>
    </row>
    <row r="3" spans="1:30" s="1197" customFormat="1" ht="28.5" customHeight="1">
      <c r="A3" s="1237" t="s">
        <v>1216</v>
      </c>
      <c r="B3" s="480" t="e">
        <f>ROUND(B2*10000/'数据-汇总表'!E3,0)</f>
        <v>#DIV/0!</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7" customFormat="1" ht="28.5" customHeight="1">
      <c r="A4" s="481" t="s">
        <v>468</v>
      </c>
      <c r="B4" s="414" t="e">
        <f>IF(B48="单位面积地价",C50,ROUND(B2*10000/'数据-汇总表'!D3,0))</f>
        <v>#DIV/0!</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428</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469</v>
      </c>
      <c r="B6" s="483"/>
      <c r="C6" s="3901" t="s">
        <v>470</v>
      </c>
      <c r="D6" s="3902"/>
      <c r="E6" s="3901" t="s">
        <v>471</v>
      </c>
      <c r="F6" s="3902"/>
      <c r="G6" s="3901" t="s">
        <v>472</v>
      </c>
      <c r="H6" s="3902"/>
      <c r="I6" s="3901" t="s">
        <v>473</v>
      </c>
      <c r="J6" s="3902"/>
      <c r="K6" s="484" t="s">
        <v>474</v>
      </c>
      <c r="L6" s="1855"/>
      <c r="M6" s="1854"/>
      <c r="N6" s="1854"/>
      <c r="O6" s="1856"/>
      <c r="P6" s="3903" t="s">
        <v>475</v>
      </c>
      <c r="Q6" s="3904"/>
      <c r="R6" s="3909" t="s">
        <v>471</v>
      </c>
      <c r="S6" s="3910"/>
      <c r="T6" s="3909" t="s">
        <v>472</v>
      </c>
      <c r="U6" s="3910"/>
      <c r="V6" s="3896" t="s">
        <v>473</v>
      </c>
      <c r="W6" s="3896"/>
      <c r="X6" s="1380"/>
      <c r="Y6" s="3909" t="s">
        <v>475</v>
      </c>
      <c r="Z6" s="3910"/>
      <c r="AA6" s="3898" t="s">
        <v>471</v>
      </c>
      <c r="AB6" s="3899" t="s">
        <v>472</v>
      </c>
      <c r="AC6" s="3898" t="s">
        <v>473</v>
      </c>
    </row>
    <row r="7" spans="1:30" ht="20.25">
      <c r="A7" s="485"/>
      <c r="B7" s="486"/>
      <c r="C7" s="3917" t="s">
        <v>2188</v>
      </c>
      <c r="D7" s="3918"/>
      <c r="E7" s="3917" t="s">
        <v>2189</v>
      </c>
      <c r="F7" s="3918"/>
      <c r="G7" s="3917" t="s">
        <v>2190</v>
      </c>
      <c r="H7" s="3918"/>
      <c r="I7" s="3917" t="s">
        <v>2191</v>
      </c>
      <c r="J7" s="3918"/>
      <c r="K7" s="484"/>
      <c r="L7" s="1855"/>
      <c r="M7" s="1854"/>
      <c r="N7" s="1854"/>
      <c r="O7" s="1856"/>
      <c r="P7" s="3905"/>
      <c r="Q7" s="3906"/>
      <c r="R7" s="3911"/>
      <c r="S7" s="3912"/>
      <c r="T7" s="3911"/>
      <c r="U7" s="3912"/>
      <c r="V7" s="3896"/>
      <c r="W7" s="3896"/>
      <c r="X7" s="1380"/>
      <c r="Y7" s="3911"/>
      <c r="Z7" s="3912"/>
      <c r="AA7" s="3899"/>
      <c r="AB7" s="3899"/>
      <c r="AC7" s="3899"/>
    </row>
    <row r="8" spans="1:30" ht="21" thickBot="1">
      <c r="A8" s="485"/>
      <c r="B8" s="486"/>
      <c r="C8" s="3919" t="s">
        <v>2192</v>
      </c>
      <c r="D8" s="3920"/>
      <c r="E8" s="3919" t="s">
        <v>2192</v>
      </c>
      <c r="F8" s="3920"/>
      <c r="G8" s="3915" t="s">
        <v>2192</v>
      </c>
      <c r="H8" s="3916"/>
      <c r="I8" s="3915" t="s">
        <v>2192</v>
      </c>
      <c r="J8" s="3916"/>
      <c r="K8" s="484" t="s">
        <v>476</v>
      </c>
      <c r="L8" s="1855"/>
      <c r="M8" s="1854"/>
      <c r="N8" s="1854"/>
      <c r="O8" s="1856"/>
      <c r="P8" s="3907"/>
      <c r="Q8" s="3908"/>
      <c r="R8" s="3911"/>
      <c r="S8" s="3912"/>
      <c r="T8" s="3913"/>
      <c r="U8" s="3914"/>
      <c r="V8" s="3896"/>
      <c r="W8" s="3896"/>
      <c r="X8" s="1380"/>
      <c r="Y8" s="3913"/>
      <c r="Z8" s="3914"/>
      <c r="AA8" s="3900"/>
      <c r="AB8" s="3900"/>
      <c r="AC8" s="3900"/>
    </row>
    <row r="9" spans="1:30" s="1118" customFormat="1" ht="21" thickBot="1">
      <c r="A9" s="2391"/>
      <c r="B9" s="2398" t="s">
        <v>477</v>
      </c>
      <c r="C9" s="2390">
        <f>'数据-取费表'!B2</f>
        <v>44942</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925" t="s">
        <v>478</v>
      </c>
      <c r="Q9" s="3927"/>
      <c r="R9" s="1381" t="s">
        <v>5</v>
      </c>
      <c r="S9" s="1382">
        <f t="shared" ref="S9:S17" si="0">F9</f>
        <v>0</v>
      </c>
      <c r="T9" s="1381" t="s">
        <v>5</v>
      </c>
      <c r="U9" s="1382">
        <f t="shared" ref="U9:U17" si="1">H9</f>
        <v>0</v>
      </c>
      <c r="V9" s="1381" t="s">
        <v>5</v>
      </c>
      <c r="W9" s="1382">
        <f t="shared" ref="W9:W17" si="2">J9</f>
        <v>0</v>
      </c>
      <c r="X9" s="1383"/>
      <c r="Y9" s="3925" t="s">
        <v>478</v>
      </c>
      <c r="Z9" s="3926"/>
      <c r="AA9" s="1384" t="e">
        <f>D9/F9</f>
        <v>#DIV/0!</v>
      </c>
      <c r="AB9" s="1384" t="e">
        <f>D9/H9</f>
        <v>#DIV/0!</v>
      </c>
      <c r="AC9" s="1384" t="e">
        <f>D9/J9</f>
        <v>#DIV/0!</v>
      </c>
    </row>
    <row r="10" spans="1:30" s="1118" customFormat="1" ht="21" thickBot="1">
      <c r="A10" s="2392"/>
      <c r="B10" s="2399" t="s">
        <v>479</v>
      </c>
      <c r="C10" s="821" t="s">
        <v>480</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925" t="s">
        <v>481</v>
      </c>
      <c r="Q10" s="3926"/>
      <c r="R10" s="1381" t="s">
        <v>5</v>
      </c>
      <c r="S10" s="1382">
        <f t="shared" si="0"/>
        <v>0</v>
      </c>
      <c r="T10" s="1381" t="s">
        <v>5</v>
      </c>
      <c r="U10" s="1382">
        <f t="shared" si="1"/>
        <v>0</v>
      </c>
      <c r="V10" s="1381" t="s">
        <v>5</v>
      </c>
      <c r="W10" s="1382">
        <f t="shared" si="2"/>
        <v>0</v>
      </c>
      <c r="X10" s="1383"/>
      <c r="Y10" s="3925" t="s">
        <v>481</v>
      </c>
      <c r="Z10" s="3926"/>
      <c r="AA10" s="1384" t="e">
        <f t="shared" ref="AA10:AA47" si="3">D10/F10</f>
        <v>#DIV/0!</v>
      </c>
      <c r="AB10" s="1384" t="e">
        <f t="shared" ref="AB10:AB47" si="4">D10/H10</f>
        <v>#DIV/0!</v>
      </c>
      <c r="AC10" s="1384" t="e">
        <f t="shared" ref="AC10:AC47" si="5">D10/J10</f>
        <v>#DIV/0!</v>
      </c>
    </row>
    <row r="11" spans="1:30" s="1118" customFormat="1" ht="20.25">
      <c r="A11" s="2393"/>
      <c r="B11" s="2400" t="s">
        <v>2035</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895" t="s">
        <v>483</v>
      </c>
      <c r="Q11" s="1050" t="str">
        <f t="shared" ref="Q11:Q17" si="6">B11</f>
        <v>用途</v>
      </c>
      <c r="R11" s="1381" t="s">
        <v>5</v>
      </c>
      <c r="S11" s="1382">
        <f t="shared" si="0"/>
        <v>100</v>
      </c>
      <c r="T11" s="1381" t="s">
        <v>5</v>
      </c>
      <c r="U11" s="1382">
        <f t="shared" si="1"/>
        <v>100</v>
      </c>
      <c r="V11" s="1381" t="s">
        <v>5</v>
      </c>
      <c r="W11" s="1382">
        <f t="shared" si="2"/>
        <v>100</v>
      </c>
      <c r="X11" s="1383"/>
      <c r="Y11" s="3824" t="s">
        <v>484</v>
      </c>
      <c r="Z11" s="1049" t="str">
        <f t="shared" ref="Z11:Z17" si="7">Q11</f>
        <v>用途</v>
      </c>
      <c r="AA11" s="1384">
        <f t="shared" si="3"/>
        <v>1</v>
      </c>
      <c r="AB11" s="1384">
        <f t="shared" si="4"/>
        <v>1</v>
      </c>
      <c r="AC11" s="1384">
        <f t="shared" si="5"/>
        <v>1</v>
      </c>
    </row>
    <row r="12" spans="1:30" s="1199" customFormat="1" ht="27">
      <c r="A12" s="2394"/>
      <c r="B12" s="2399" t="s">
        <v>2036</v>
      </c>
      <c r="C12" s="873"/>
      <c r="D12" s="246">
        <v>100</v>
      </c>
      <c r="E12" s="499"/>
      <c r="F12" s="246">
        <f>ROUND(100/'数据-取费表'!G16,0)</f>
        <v>111</v>
      </c>
      <c r="G12" s="500"/>
      <c r="H12" s="246">
        <f>ROUND(100/'数据-取费表'!G16,0)</f>
        <v>111</v>
      </c>
      <c r="I12" s="500"/>
      <c r="J12" s="246">
        <f>ROUND(100/'数据-取费表'!G16,0)</f>
        <v>111</v>
      </c>
      <c r="K12" s="501"/>
      <c r="L12" s="1860"/>
      <c r="M12" s="1854"/>
      <c r="N12" s="1854"/>
      <c r="O12" s="1861"/>
      <c r="P12" s="3895"/>
      <c r="Q12" s="1050" t="str">
        <f t="shared" si="6"/>
        <v>土地使用年限（年）</v>
      </c>
      <c r="R12" s="1381" t="s">
        <v>5</v>
      </c>
      <c r="S12" s="1382">
        <f t="shared" si="0"/>
        <v>111</v>
      </c>
      <c r="T12" s="1381" t="s">
        <v>5</v>
      </c>
      <c r="U12" s="1382">
        <f t="shared" si="1"/>
        <v>111</v>
      </c>
      <c r="V12" s="1381" t="s">
        <v>5</v>
      </c>
      <c r="W12" s="1382">
        <f t="shared" si="2"/>
        <v>111</v>
      </c>
      <c r="X12" s="1383"/>
      <c r="Y12" s="3824"/>
      <c r="Z12" s="1049" t="str">
        <f t="shared" si="7"/>
        <v>土地使用年限（年）</v>
      </c>
      <c r="AA12" s="1384">
        <f t="shared" si="3"/>
        <v>0.90090090090090091</v>
      </c>
      <c r="AB12" s="1384">
        <f t="shared" si="4"/>
        <v>0.90090090090090091</v>
      </c>
      <c r="AC12" s="1384">
        <f t="shared" si="5"/>
        <v>0.90090090090090091</v>
      </c>
    </row>
    <row r="13" spans="1:30" ht="20.25">
      <c r="A13" s="2395"/>
      <c r="B13" s="2399" t="s">
        <v>2037</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895"/>
      <c r="Q13" s="1050" t="str">
        <f t="shared" si="6"/>
        <v>容积率</v>
      </c>
      <c r="R13" s="1381" t="s">
        <v>5</v>
      </c>
      <c r="S13" s="1382" t="e">
        <f t="shared" si="0"/>
        <v>#N/A</v>
      </c>
      <c r="T13" s="1381" t="s">
        <v>5</v>
      </c>
      <c r="U13" s="1382" t="e">
        <f t="shared" si="1"/>
        <v>#N/A</v>
      </c>
      <c r="V13" s="1381" t="s">
        <v>5</v>
      </c>
      <c r="W13" s="1382" t="e">
        <f t="shared" si="2"/>
        <v>#N/A</v>
      </c>
      <c r="X13" s="1383"/>
      <c r="Y13" s="3824"/>
      <c r="Z13" s="1049" t="str">
        <f t="shared" si="7"/>
        <v>容积率</v>
      </c>
      <c r="AA13" s="1384" t="e">
        <f t="shared" si="3"/>
        <v>#N/A</v>
      </c>
      <c r="AB13" s="1384" t="e">
        <f t="shared" si="4"/>
        <v>#N/A</v>
      </c>
      <c r="AC13" s="1384" t="e">
        <f t="shared" si="5"/>
        <v>#N/A</v>
      </c>
    </row>
    <row r="14" spans="1:30" s="1118" customFormat="1" ht="20.25">
      <c r="A14" s="2392"/>
      <c r="B14" s="2401" t="s">
        <v>2038</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895"/>
      <c r="Q14" s="1050" t="str">
        <f t="shared" si="6"/>
        <v>配建</v>
      </c>
      <c r="R14" s="1381" t="s">
        <v>5</v>
      </c>
      <c r="S14" s="1382">
        <f t="shared" si="0"/>
        <v>100</v>
      </c>
      <c r="T14" s="1381" t="s">
        <v>5</v>
      </c>
      <c r="U14" s="1382">
        <f t="shared" si="1"/>
        <v>100</v>
      </c>
      <c r="V14" s="1381" t="s">
        <v>5</v>
      </c>
      <c r="W14" s="1382">
        <f t="shared" si="2"/>
        <v>100</v>
      </c>
      <c r="X14" s="1383"/>
      <c r="Y14" s="3824"/>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95"/>
      <c r="Q15" s="1050">
        <f t="shared" si="6"/>
        <v>111</v>
      </c>
      <c r="R15" s="1381" t="s">
        <v>5</v>
      </c>
      <c r="S15" s="1382">
        <f t="shared" si="0"/>
        <v>100</v>
      </c>
      <c r="T15" s="1381" t="s">
        <v>5</v>
      </c>
      <c r="U15" s="1382">
        <f t="shared" si="1"/>
        <v>100</v>
      </c>
      <c r="V15" s="1381" t="s">
        <v>5</v>
      </c>
      <c r="W15" s="1382">
        <f t="shared" si="2"/>
        <v>100</v>
      </c>
      <c r="X15" s="1383"/>
      <c r="Y15" s="3824"/>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95"/>
      <c r="Q16" s="1050">
        <f t="shared" si="6"/>
        <v>111</v>
      </c>
      <c r="R16" s="1381" t="s">
        <v>5</v>
      </c>
      <c r="S16" s="1382">
        <f t="shared" si="0"/>
        <v>100</v>
      </c>
      <c r="T16" s="1381" t="s">
        <v>5</v>
      </c>
      <c r="U16" s="1382">
        <f t="shared" si="1"/>
        <v>100</v>
      </c>
      <c r="V16" s="1381" t="s">
        <v>5</v>
      </c>
      <c r="W16" s="1382">
        <f t="shared" si="2"/>
        <v>100</v>
      </c>
      <c r="X16" s="1383"/>
      <c r="Y16" s="3824"/>
      <c r="Z16" s="1049">
        <f t="shared" si="7"/>
        <v>111</v>
      </c>
      <c r="AA16" s="1384">
        <f>D16/F16</f>
        <v>1</v>
      </c>
      <c r="AB16" s="1384">
        <f>D16/H16</f>
        <v>1</v>
      </c>
      <c r="AC16" s="1384">
        <f>D16/J16</f>
        <v>1</v>
      </c>
    </row>
    <row r="17" spans="1:29" ht="99.75">
      <c r="A17" s="2389" t="s">
        <v>2033</v>
      </c>
      <c r="B17" s="548" t="s">
        <v>260</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28" t="s">
        <v>488</v>
      </c>
      <c r="Q17" s="1385" t="str">
        <f t="shared" si="6"/>
        <v>居住社区成熟度</v>
      </c>
      <c r="R17" s="1386" t="s">
        <v>5</v>
      </c>
      <c r="S17" s="1387">
        <f t="shared" si="0"/>
        <v>100</v>
      </c>
      <c r="T17" s="1386" t="s">
        <v>5</v>
      </c>
      <c r="U17" s="1387">
        <f t="shared" si="1"/>
        <v>100</v>
      </c>
      <c r="V17" s="1386" t="s">
        <v>5</v>
      </c>
      <c r="W17" s="1387">
        <f t="shared" si="2"/>
        <v>100</v>
      </c>
      <c r="X17" s="1380"/>
      <c r="Y17" s="3928" t="s">
        <v>488</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929"/>
      <c r="Q18" s="1385"/>
      <c r="R18" s="1386"/>
      <c r="S18" s="1387"/>
      <c r="T18" s="1386"/>
      <c r="U18" s="1387"/>
      <c r="V18" s="1386"/>
      <c r="W18" s="1387"/>
      <c r="X18" s="1380"/>
      <c r="Y18" s="3929"/>
      <c r="Z18" s="1388"/>
      <c r="AA18" s="1389">
        <v>1</v>
      </c>
      <c r="AB18" s="1389">
        <v>1</v>
      </c>
      <c r="AC18" s="1389">
        <v>1</v>
      </c>
    </row>
    <row r="19" spans="1:29" ht="71.25">
      <c r="A19" s="502"/>
      <c r="B19" s="530" t="s">
        <v>489</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29"/>
      <c r="Q19" s="1385" t="str">
        <f>B19</f>
        <v>商业繁华度</v>
      </c>
      <c r="R19" s="1386" t="s">
        <v>5</v>
      </c>
      <c r="S19" s="1387">
        <f>F19</f>
        <v>100</v>
      </c>
      <c r="T19" s="1386" t="s">
        <v>5</v>
      </c>
      <c r="U19" s="1387">
        <f>H19</f>
        <v>100</v>
      </c>
      <c r="V19" s="1386" t="s">
        <v>5</v>
      </c>
      <c r="W19" s="1387">
        <f>J19</f>
        <v>100</v>
      </c>
      <c r="X19" s="1380"/>
      <c r="Y19" s="3929"/>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929"/>
      <c r="Q20" s="1385"/>
      <c r="R20" s="1386"/>
      <c r="S20" s="1387"/>
      <c r="T20" s="1386"/>
      <c r="U20" s="1387"/>
      <c r="V20" s="1386"/>
      <c r="W20" s="1387"/>
      <c r="X20" s="1380"/>
      <c r="Y20" s="3929"/>
      <c r="Z20" s="1388"/>
      <c r="AA20" s="1389">
        <v>1</v>
      </c>
      <c r="AB20" s="1389">
        <v>1</v>
      </c>
      <c r="AC20" s="1389">
        <v>1</v>
      </c>
    </row>
    <row r="21" spans="1:29" ht="71.25">
      <c r="A21" s="502"/>
      <c r="B21" s="530" t="s">
        <v>490</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29"/>
      <c r="Q21" s="1385" t="str">
        <f>B21</f>
        <v>办公集聚程度</v>
      </c>
      <c r="R21" s="1386" t="s">
        <v>5</v>
      </c>
      <c r="S21" s="1387">
        <f>F21</f>
        <v>100</v>
      </c>
      <c r="T21" s="1386" t="s">
        <v>5</v>
      </c>
      <c r="U21" s="1387">
        <f>H21</f>
        <v>100</v>
      </c>
      <c r="V21" s="1386" t="s">
        <v>5</v>
      </c>
      <c r="W21" s="1387">
        <f>J21</f>
        <v>100</v>
      </c>
      <c r="X21" s="1380"/>
      <c r="Y21" s="3929"/>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929"/>
      <c r="Q22" s="1385"/>
      <c r="R22" s="1386"/>
      <c r="S22" s="1387"/>
      <c r="T22" s="1386"/>
      <c r="U22" s="1387"/>
      <c r="V22" s="1386"/>
      <c r="W22" s="1387"/>
      <c r="X22" s="1380"/>
      <c r="Y22" s="3929"/>
      <c r="Z22" s="1388"/>
      <c r="AA22" s="1389">
        <v>1</v>
      </c>
      <c r="AB22" s="1389">
        <v>1</v>
      </c>
      <c r="AC22" s="1389">
        <v>1</v>
      </c>
    </row>
    <row r="23" spans="1:29" ht="85.5">
      <c r="A23" s="502"/>
      <c r="B23" s="530" t="s">
        <v>491</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29"/>
      <c r="Q23" s="1385" t="str">
        <f>B23</f>
        <v>交通便捷度</v>
      </c>
      <c r="R23" s="1386" t="s">
        <v>5</v>
      </c>
      <c r="S23" s="1387">
        <f>F23</f>
        <v>100</v>
      </c>
      <c r="T23" s="1386" t="s">
        <v>5</v>
      </c>
      <c r="U23" s="1387">
        <f>H23</f>
        <v>100</v>
      </c>
      <c r="V23" s="1386" t="s">
        <v>5</v>
      </c>
      <c r="W23" s="1387">
        <f>J23</f>
        <v>100</v>
      </c>
      <c r="X23" s="1380"/>
      <c r="Y23" s="3929"/>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929"/>
      <c r="Q24" s="1385"/>
      <c r="R24" s="1386"/>
      <c r="S24" s="1387"/>
      <c r="T24" s="1386"/>
      <c r="U24" s="1387"/>
      <c r="V24" s="1386"/>
      <c r="W24" s="1387"/>
      <c r="X24" s="1380"/>
      <c r="Y24" s="3929"/>
      <c r="Z24" s="1388"/>
      <c r="AA24" s="1389">
        <v>1</v>
      </c>
      <c r="AB24" s="1389">
        <v>1</v>
      </c>
      <c r="AC24" s="1389">
        <v>1</v>
      </c>
    </row>
    <row r="25" spans="1:29" ht="27">
      <c r="A25" s="485"/>
      <c r="B25" s="250" t="s">
        <v>492</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29"/>
      <c r="Q25" s="1385" t="str">
        <f t="shared" ref="Q25:Q39" si="8">B25</f>
        <v>区域土地利用方向</v>
      </c>
      <c r="R25" s="1386" t="s">
        <v>5</v>
      </c>
      <c r="S25" s="1387">
        <f>F25</f>
        <v>100</v>
      </c>
      <c r="T25" s="1386" t="s">
        <v>5</v>
      </c>
      <c r="U25" s="1387">
        <f>H25</f>
        <v>100</v>
      </c>
      <c r="V25" s="1386" t="s">
        <v>5</v>
      </c>
      <c r="W25" s="1387">
        <f>J25</f>
        <v>100</v>
      </c>
      <c r="X25" s="1380"/>
      <c r="Y25" s="3929"/>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929"/>
      <c r="Q26" s="1385"/>
      <c r="R26" s="1386"/>
      <c r="S26" s="1387"/>
      <c r="T26" s="1386"/>
      <c r="U26" s="1387"/>
      <c r="V26" s="1386"/>
      <c r="W26" s="1387"/>
      <c r="X26" s="1380"/>
      <c r="Y26" s="3929"/>
      <c r="Z26" s="1388"/>
      <c r="AA26" s="1389"/>
      <c r="AB26" s="1389"/>
      <c r="AC26" s="1389"/>
    </row>
    <row r="27" spans="1:29" ht="57">
      <c r="A27" s="485"/>
      <c r="B27" s="548" t="s">
        <v>493</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29"/>
      <c r="Q27" s="1385" t="str">
        <f t="shared" si="8"/>
        <v>自然及人文环境状况</v>
      </c>
      <c r="R27" s="1386" t="s">
        <v>5</v>
      </c>
      <c r="S27" s="1387">
        <f>F27</f>
        <v>100</v>
      </c>
      <c r="T27" s="1386" t="s">
        <v>5</v>
      </c>
      <c r="U27" s="1387">
        <f>H27</f>
        <v>100</v>
      </c>
      <c r="V27" s="1386" t="s">
        <v>5</v>
      </c>
      <c r="W27" s="1387">
        <f>J27</f>
        <v>100</v>
      </c>
      <c r="X27" s="1380"/>
      <c r="Y27" s="3929"/>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929"/>
      <c r="Q28" s="1385"/>
      <c r="R28" s="1386"/>
      <c r="S28" s="1387"/>
      <c r="T28" s="1386"/>
      <c r="U28" s="1387"/>
      <c r="V28" s="1386"/>
      <c r="W28" s="1387"/>
      <c r="X28" s="1380"/>
      <c r="Y28" s="3929"/>
      <c r="Z28" s="1388"/>
      <c r="AA28" s="1389">
        <v>1</v>
      </c>
      <c r="AB28" s="1389">
        <v>1</v>
      </c>
      <c r="AC28" s="1389">
        <v>1</v>
      </c>
    </row>
    <row r="29" spans="1:29" s="1118" customFormat="1" ht="42.75">
      <c r="A29" s="547"/>
      <c r="B29" s="2198" t="s">
        <v>1828</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29"/>
      <c r="Q29" s="1050" t="str">
        <f t="shared" si="8"/>
        <v>公共配套设施</v>
      </c>
      <c r="R29" s="1381" t="s">
        <v>5</v>
      </c>
      <c r="S29" s="1382">
        <f>F29</f>
        <v>100</v>
      </c>
      <c r="T29" s="1381" t="s">
        <v>5</v>
      </c>
      <c r="U29" s="1382">
        <f>H29</f>
        <v>100</v>
      </c>
      <c r="V29" s="1381" t="s">
        <v>5</v>
      </c>
      <c r="W29" s="1382">
        <f>J29</f>
        <v>100</v>
      </c>
      <c r="X29" s="1383"/>
      <c r="Y29" s="3929"/>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929"/>
      <c r="Q30" s="1050"/>
      <c r="R30" s="1381"/>
      <c r="S30" s="1382"/>
      <c r="T30" s="1381"/>
      <c r="U30" s="1382"/>
      <c r="V30" s="1381"/>
      <c r="W30" s="1382"/>
      <c r="X30" s="1383"/>
      <c r="Y30" s="3929"/>
      <c r="Z30" s="1049"/>
      <c r="AA30" s="1389">
        <v>1</v>
      </c>
      <c r="AB30" s="1389">
        <v>1</v>
      </c>
      <c r="AC30" s="1389">
        <v>1</v>
      </c>
    </row>
    <row r="31" spans="1:29" s="1118" customFormat="1" ht="28.5">
      <c r="A31" s="547"/>
      <c r="B31" s="2198" t="s">
        <v>1829</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29"/>
      <c r="Q31" s="2191" t="str">
        <f>B31</f>
        <v>基础设施水平</v>
      </c>
      <c r="R31" s="1381" t="s">
        <v>5</v>
      </c>
      <c r="S31" s="1382">
        <f>F31</f>
        <v>100</v>
      </c>
      <c r="T31" s="1381" t="s">
        <v>5</v>
      </c>
      <c r="U31" s="1382">
        <f>H31</f>
        <v>100</v>
      </c>
      <c r="V31" s="1381" t="s">
        <v>5</v>
      </c>
      <c r="W31" s="1382">
        <f>J31</f>
        <v>100</v>
      </c>
      <c r="X31" s="1383"/>
      <c r="Y31" s="3929"/>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929"/>
      <c r="Q32" s="2191"/>
      <c r="R32" s="1381"/>
      <c r="S32" s="1382"/>
      <c r="T32" s="1381"/>
      <c r="U32" s="1382"/>
      <c r="V32" s="1381"/>
      <c r="W32" s="1382"/>
      <c r="X32" s="1383"/>
      <c r="Y32" s="3929"/>
      <c r="Z32" s="2190"/>
      <c r="AA32" s="1389">
        <v>1</v>
      </c>
      <c r="AB32" s="1389">
        <v>1</v>
      </c>
      <c r="AC32" s="1389">
        <v>1</v>
      </c>
    </row>
    <row r="33" spans="1:29" ht="20.25">
      <c r="A33" s="502"/>
      <c r="B33" s="536" t="s">
        <v>495</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29"/>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9"/>
      <c r="Z33" s="1388" t="str">
        <f t="shared" ref="Z33:Z47" si="12">Q33</f>
        <v>临街状况</v>
      </c>
      <c r="AA33" s="1389">
        <f t="shared" si="3"/>
        <v>1</v>
      </c>
      <c r="AB33" s="1389">
        <f t="shared" si="4"/>
        <v>1</v>
      </c>
      <c r="AC33" s="1389">
        <f t="shared" si="5"/>
        <v>1</v>
      </c>
    </row>
    <row r="34" spans="1:29" ht="27">
      <c r="A34" s="502"/>
      <c r="B34" s="548" t="s">
        <v>496</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29"/>
      <c r="Q34" s="1385" t="str">
        <f t="shared" si="8"/>
        <v>毗邻道路的类型与等级</v>
      </c>
      <c r="R34" s="1386" t="s">
        <v>5</v>
      </c>
      <c r="S34" s="1387">
        <f t="shared" si="9"/>
        <v>100</v>
      </c>
      <c r="T34" s="1386" t="s">
        <v>5</v>
      </c>
      <c r="U34" s="1387">
        <f t="shared" si="10"/>
        <v>100</v>
      </c>
      <c r="V34" s="1386" t="s">
        <v>5</v>
      </c>
      <c r="W34" s="1387">
        <f t="shared" si="11"/>
        <v>100</v>
      </c>
      <c r="X34" s="1380"/>
      <c r="Y34" s="3929"/>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929"/>
      <c r="Q35" s="1385"/>
      <c r="R35" s="1386"/>
      <c r="S35" s="1387"/>
      <c r="T35" s="1386"/>
      <c r="U35" s="1387"/>
      <c r="V35" s="1386"/>
      <c r="W35" s="1387"/>
      <c r="X35" s="1380"/>
      <c r="Y35" s="3929"/>
      <c r="Z35" s="1388"/>
      <c r="AA35" s="1389">
        <v>1</v>
      </c>
      <c r="AB35" s="1389">
        <v>1</v>
      </c>
      <c r="AC35" s="1389">
        <v>1</v>
      </c>
    </row>
    <row r="36" spans="1:29" ht="20.25">
      <c r="A36" s="502"/>
      <c r="B36" s="552" t="s">
        <v>497</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29"/>
      <c r="Q36" s="1385" t="str">
        <f t="shared" si="8"/>
        <v>土地级别</v>
      </c>
      <c r="R36" s="1386" t="s">
        <v>5</v>
      </c>
      <c r="S36" s="1387">
        <f t="shared" si="9"/>
        <v>100</v>
      </c>
      <c r="T36" s="1386" t="s">
        <v>5</v>
      </c>
      <c r="U36" s="1387">
        <f t="shared" si="10"/>
        <v>100</v>
      </c>
      <c r="V36" s="1386" t="s">
        <v>5</v>
      </c>
      <c r="W36" s="1387">
        <f t="shared" si="11"/>
        <v>100</v>
      </c>
      <c r="X36" s="1380"/>
      <c r="Y36" s="3929"/>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29"/>
      <c r="Q37" s="1385">
        <f t="shared" si="8"/>
        <v>111</v>
      </c>
      <c r="R37" s="1386" t="s">
        <v>5</v>
      </c>
      <c r="S37" s="1387">
        <f t="shared" si="9"/>
        <v>100</v>
      </c>
      <c r="T37" s="1386" t="s">
        <v>5</v>
      </c>
      <c r="U37" s="1387">
        <f t="shared" si="10"/>
        <v>100</v>
      </c>
      <c r="V37" s="1386" t="s">
        <v>5</v>
      </c>
      <c r="W37" s="1387">
        <f t="shared" si="11"/>
        <v>100</v>
      </c>
      <c r="X37" s="1380"/>
      <c r="Y37" s="3929"/>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30" t="s">
        <v>498</v>
      </c>
      <c r="Q38" s="1385">
        <f t="shared" si="8"/>
        <v>111</v>
      </c>
      <c r="R38" s="1386" t="s">
        <v>5</v>
      </c>
      <c r="S38" s="1387">
        <f t="shared" si="9"/>
        <v>100</v>
      </c>
      <c r="T38" s="1386" t="s">
        <v>5</v>
      </c>
      <c r="U38" s="1387">
        <f t="shared" si="10"/>
        <v>100</v>
      </c>
      <c r="V38" s="1386" t="s">
        <v>5</v>
      </c>
      <c r="W38" s="1387">
        <f t="shared" si="11"/>
        <v>100</v>
      </c>
      <c r="X38" s="1380"/>
      <c r="Y38" s="3931" t="s">
        <v>498</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31"/>
      <c r="Q39" s="1385">
        <f t="shared" si="8"/>
        <v>111</v>
      </c>
      <c r="R39" s="1390" t="s">
        <v>5</v>
      </c>
      <c r="S39" s="1391">
        <f t="shared" si="9"/>
        <v>100</v>
      </c>
      <c r="T39" s="1390" t="s">
        <v>5</v>
      </c>
      <c r="U39" s="1391">
        <f t="shared" si="10"/>
        <v>100</v>
      </c>
      <c r="V39" s="1390" t="s">
        <v>5</v>
      </c>
      <c r="W39" s="1391">
        <f t="shared" si="11"/>
        <v>100</v>
      </c>
      <c r="X39" s="1392"/>
      <c r="Y39" s="3931"/>
      <c r="Z39" s="1393">
        <f t="shared" si="12"/>
        <v>111</v>
      </c>
      <c r="AA39" s="1389">
        <f t="shared" si="3"/>
        <v>1</v>
      </c>
      <c r="AB39" s="1389">
        <f t="shared" si="4"/>
        <v>1</v>
      </c>
      <c r="AC39" s="1389">
        <f t="shared" si="5"/>
        <v>1</v>
      </c>
    </row>
    <row r="40" spans="1:29" ht="20.25">
      <c r="A40" s="2386" t="s">
        <v>2034</v>
      </c>
      <c r="B40" s="565" t="s">
        <v>500</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31"/>
      <c r="Q40" s="1385" t="str">
        <f>B40</f>
        <v>宗地面积</v>
      </c>
      <c r="R40" s="1386" t="s">
        <v>5</v>
      </c>
      <c r="S40" s="1387" t="e">
        <f t="shared" si="9"/>
        <v>#N/A</v>
      </c>
      <c r="T40" s="1386" t="s">
        <v>5</v>
      </c>
      <c r="U40" s="1387" t="e">
        <f t="shared" si="10"/>
        <v>#N/A</v>
      </c>
      <c r="V40" s="1386" t="s">
        <v>5</v>
      </c>
      <c r="W40" s="1387" t="e">
        <f t="shared" si="11"/>
        <v>#N/A</v>
      </c>
      <c r="X40" s="1380"/>
      <c r="Y40" s="3931"/>
      <c r="Z40" s="1388" t="str">
        <f t="shared" si="12"/>
        <v>宗地面积</v>
      </c>
      <c r="AA40" s="1389" t="e">
        <f t="shared" si="3"/>
        <v>#N/A</v>
      </c>
      <c r="AB40" s="1389" t="e">
        <f t="shared" si="4"/>
        <v>#N/A</v>
      </c>
      <c r="AC40" s="1389" t="e">
        <f t="shared" si="5"/>
        <v>#N/A</v>
      </c>
    </row>
    <row r="41" spans="1:29" ht="20.25">
      <c r="A41" s="564"/>
      <c r="B41" s="497" t="s">
        <v>501</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31"/>
      <c r="Q41" s="1385" t="str">
        <f t="shared" ref="Q41:Q47" si="13">B41</f>
        <v>宗地形状</v>
      </c>
      <c r="R41" s="1386" t="s">
        <v>5</v>
      </c>
      <c r="S41" s="1387">
        <f t="shared" si="9"/>
        <v>100</v>
      </c>
      <c r="T41" s="1386" t="s">
        <v>5</v>
      </c>
      <c r="U41" s="1387">
        <f t="shared" si="10"/>
        <v>100</v>
      </c>
      <c r="V41" s="1386" t="s">
        <v>5</v>
      </c>
      <c r="W41" s="1387">
        <f t="shared" si="11"/>
        <v>100</v>
      </c>
      <c r="X41" s="1380"/>
      <c r="Y41" s="3931"/>
      <c r="Z41" s="1388" t="str">
        <f t="shared" si="12"/>
        <v>宗地形状</v>
      </c>
      <c r="AA41" s="1389">
        <f t="shared" si="3"/>
        <v>1</v>
      </c>
      <c r="AB41" s="1389">
        <f t="shared" si="4"/>
        <v>1</v>
      </c>
      <c r="AC41" s="1389">
        <f t="shared" si="5"/>
        <v>1</v>
      </c>
    </row>
    <row r="42" spans="1:29" ht="20.25">
      <c r="A42" s="564"/>
      <c r="B42" s="497" t="s">
        <v>502</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31"/>
      <c r="Q42" s="1385" t="str">
        <f t="shared" si="13"/>
        <v>临街宽度及深度</v>
      </c>
      <c r="R42" s="1386" t="s">
        <v>5</v>
      </c>
      <c r="S42" s="1387">
        <f t="shared" si="9"/>
        <v>100</v>
      </c>
      <c r="T42" s="1386" t="s">
        <v>5</v>
      </c>
      <c r="U42" s="1387">
        <f t="shared" si="10"/>
        <v>100</v>
      </c>
      <c r="V42" s="1386" t="s">
        <v>5</v>
      </c>
      <c r="W42" s="1387">
        <f t="shared" si="11"/>
        <v>100</v>
      </c>
      <c r="X42" s="1380"/>
      <c r="Y42" s="3931"/>
      <c r="Z42" s="1388" t="str">
        <f t="shared" si="12"/>
        <v>临街宽度及深度</v>
      </c>
      <c r="AA42" s="1389">
        <f t="shared" si="3"/>
        <v>1</v>
      </c>
      <c r="AB42" s="1389">
        <f t="shared" si="4"/>
        <v>1</v>
      </c>
      <c r="AC42" s="1389">
        <f t="shared" si="5"/>
        <v>1</v>
      </c>
    </row>
    <row r="43" spans="1:29" s="1118" customFormat="1" ht="20.25">
      <c r="A43" s="570"/>
      <c r="B43" s="1650" t="s">
        <v>1773</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31"/>
      <c r="Q43" s="1385" t="str">
        <f t="shared" si="13"/>
        <v>宗地开发程度</v>
      </c>
      <c r="R43" s="1381" t="s">
        <v>5</v>
      </c>
      <c r="S43" s="1382">
        <f t="shared" si="9"/>
        <v>100</v>
      </c>
      <c r="T43" s="1381" t="s">
        <v>5</v>
      </c>
      <c r="U43" s="1382">
        <f t="shared" si="10"/>
        <v>100</v>
      </c>
      <c r="V43" s="1381" t="s">
        <v>5</v>
      </c>
      <c r="W43" s="1382">
        <f t="shared" si="11"/>
        <v>100</v>
      </c>
      <c r="X43" s="1383"/>
      <c r="Y43" s="3931"/>
      <c r="Z43" s="1049" t="str">
        <f t="shared" si="12"/>
        <v>宗地开发程度</v>
      </c>
      <c r="AA43" s="1384">
        <f t="shared" si="3"/>
        <v>1</v>
      </c>
      <c r="AB43" s="1384">
        <f t="shared" si="4"/>
        <v>1</v>
      </c>
      <c r="AC43" s="1384">
        <f t="shared" si="5"/>
        <v>1</v>
      </c>
    </row>
    <row r="44" spans="1:29" ht="20.25">
      <c r="A44" s="564"/>
      <c r="B44" s="497" t="s">
        <v>503</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31" t="s">
        <v>498</v>
      </c>
      <c r="Q44" s="1385" t="str">
        <f t="shared" si="13"/>
        <v>工程地质条件</v>
      </c>
      <c r="R44" s="1386" t="s">
        <v>5</v>
      </c>
      <c r="S44" s="1387">
        <f t="shared" si="9"/>
        <v>100</v>
      </c>
      <c r="T44" s="1386" t="s">
        <v>5</v>
      </c>
      <c r="U44" s="1387">
        <f t="shared" si="10"/>
        <v>100</v>
      </c>
      <c r="V44" s="1386" t="s">
        <v>5</v>
      </c>
      <c r="W44" s="1387">
        <f t="shared" si="11"/>
        <v>100</v>
      </c>
      <c r="X44" s="1380"/>
      <c r="Y44" s="3931" t="s">
        <v>498</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31"/>
      <c r="Q45" s="1385">
        <f t="shared" si="13"/>
        <v>111</v>
      </c>
      <c r="R45" s="1386" t="s">
        <v>5</v>
      </c>
      <c r="S45" s="1387">
        <f t="shared" si="9"/>
        <v>100</v>
      </c>
      <c r="T45" s="1386" t="s">
        <v>5</v>
      </c>
      <c r="U45" s="1387">
        <f t="shared" si="10"/>
        <v>100</v>
      </c>
      <c r="V45" s="1386" t="s">
        <v>5</v>
      </c>
      <c r="W45" s="1387">
        <f t="shared" si="11"/>
        <v>100</v>
      </c>
      <c r="X45" s="1380"/>
      <c r="Y45" s="3931"/>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31"/>
      <c r="Q46" s="1385">
        <f t="shared" si="13"/>
        <v>111</v>
      </c>
      <c r="R46" s="1386" t="s">
        <v>5</v>
      </c>
      <c r="S46" s="1387">
        <f t="shared" si="9"/>
        <v>100</v>
      </c>
      <c r="T46" s="1386" t="s">
        <v>5</v>
      </c>
      <c r="U46" s="1387">
        <f t="shared" si="10"/>
        <v>100</v>
      </c>
      <c r="V46" s="1386" t="s">
        <v>5</v>
      </c>
      <c r="W46" s="1387">
        <f t="shared" si="11"/>
        <v>100</v>
      </c>
      <c r="X46" s="1380"/>
      <c r="Y46" s="3931"/>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31"/>
      <c r="Q47" s="1385">
        <f t="shared" si="13"/>
        <v>111</v>
      </c>
      <c r="R47" s="1390" t="s">
        <v>5</v>
      </c>
      <c r="S47" s="1391">
        <f t="shared" si="9"/>
        <v>100</v>
      </c>
      <c r="T47" s="1390" t="s">
        <v>5</v>
      </c>
      <c r="U47" s="1391">
        <f t="shared" si="10"/>
        <v>100</v>
      </c>
      <c r="V47" s="1390" t="s">
        <v>5</v>
      </c>
      <c r="W47" s="1391">
        <f t="shared" si="11"/>
        <v>100</v>
      </c>
      <c r="X47" s="1392"/>
      <c r="Y47" s="3931"/>
      <c r="Z47" s="1393">
        <f t="shared" si="12"/>
        <v>111</v>
      </c>
      <c r="AA47" s="1389">
        <f t="shared" si="3"/>
        <v>1</v>
      </c>
      <c r="AB47" s="1389">
        <f t="shared" si="4"/>
        <v>1</v>
      </c>
      <c r="AC47" s="1389">
        <f t="shared" si="5"/>
        <v>1</v>
      </c>
    </row>
    <row r="48" spans="1:29" ht="20.25">
      <c r="A48" s="577" t="s">
        <v>504</v>
      </c>
      <c r="B48" s="578" t="s">
        <v>2193</v>
      </c>
      <c r="C48" s="579" t="s">
        <v>0</v>
      </c>
      <c r="D48" s="580"/>
      <c r="E48" s="581"/>
      <c r="F48" s="582"/>
      <c r="G48" s="583"/>
      <c r="H48" s="584"/>
      <c r="I48" s="581"/>
      <c r="J48" s="584"/>
      <c r="K48" s="1201"/>
      <c r="L48" s="1866"/>
      <c r="M48" s="1854"/>
      <c r="N48" s="1854"/>
      <c r="O48" s="1867"/>
      <c r="P48" s="3895" t="str">
        <f>A48</f>
        <v>成交单价</v>
      </c>
      <c r="Q48" s="3895"/>
      <c r="R48" s="3896">
        <f>E48</f>
        <v>0</v>
      </c>
      <c r="S48" s="3896"/>
      <c r="T48" s="3896">
        <f>G48</f>
        <v>0</v>
      </c>
      <c r="U48" s="3896"/>
      <c r="V48" s="3896">
        <f>I48</f>
        <v>0</v>
      </c>
      <c r="W48" s="3896"/>
      <c r="X48" s="1375"/>
      <c r="Y48" s="1394"/>
      <c r="Z48" s="1375"/>
      <c r="AA48" s="1375"/>
      <c r="AB48" s="1375"/>
      <c r="AC48" s="1375"/>
    </row>
    <row r="49" spans="1:29" ht="21" thickBot="1">
      <c r="A49" s="585" t="s">
        <v>1972</v>
      </c>
      <c r="B49" s="586"/>
      <c r="C49" s="587" t="e">
        <f>R50</f>
        <v>#DIV/0!</v>
      </c>
      <c r="D49" s="2756" t="s">
        <v>2257</v>
      </c>
      <c r="E49" s="587" t="e">
        <f>R49</f>
        <v>#DIV/0!</v>
      </c>
      <c r="F49" s="2757"/>
      <c r="G49" s="588" t="e">
        <f>T49</f>
        <v>#DIV/0!</v>
      </c>
      <c r="H49" s="2757"/>
      <c r="I49" s="587" t="e">
        <f>V49</f>
        <v>#DIV/0!</v>
      </c>
      <c r="J49" s="2757"/>
      <c r="K49" s="2758">
        <f>F49+H49+J49</f>
        <v>0</v>
      </c>
      <c r="L49" s="1866"/>
      <c r="M49" s="1854"/>
      <c r="N49" s="1854"/>
      <c r="O49" s="1867"/>
      <c r="P49" s="3895" t="str">
        <f>A49</f>
        <v>比较价格（元/平方米）</v>
      </c>
      <c r="Q49" s="3895"/>
      <c r="R49" s="3897" t="e">
        <f>ROUND(PRODUCT(R48,AA9:AA47),0)</f>
        <v>#DIV/0!</v>
      </c>
      <c r="S49" s="3897"/>
      <c r="T49" s="3897" t="e">
        <f>ROUND(PRODUCT(T48,AB9:AB47),0)</f>
        <v>#DIV/0!</v>
      </c>
      <c r="U49" s="3897"/>
      <c r="V49" s="3897" t="e">
        <f>ROUND(PRODUCT(V48,AC9:AC47),0)</f>
        <v>#DIV/0!</v>
      </c>
      <c r="W49" s="3897"/>
      <c r="X49" s="1375"/>
      <c r="Y49" s="1375"/>
      <c r="Z49" s="1375"/>
      <c r="AA49" s="1375"/>
      <c r="AB49" s="1375"/>
      <c r="AC49" s="1375"/>
    </row>
    <row r="50" spans="1:29" ht="21" thickBot="1">
      <c r="A50" s="589" t="s">
        <v>2194</v>
      </c>
      <c r="B50" s="590"/>
      <c r="C50" s="591" t="e">
        <f>R50</f>
        <v>#DIV/0!</v>
      </c>
      <c r="D50" s="591"/>
      <c r="E50" s="591"/>
      <c r="F50" s="591"/>
      <c r="G50" s="591"/>
      <c r="H50" s="591"/>
      <c r="I50" s="591"/>
      <c r="J50" s="591"/>
      <c r="K50" s="1202"/>
      <c r="L50" s="1866"/>
      <c r="M50" s="1854"/>
      <c r="N50" s="1854"/>
      <c r="O50" s="1867"/>
      <c r="P50" s="3932" t="str">
        <f>A50</f>
        <v>估价对象XX用房的比较价格（楼面单价，元/平方米）</v>
      </c>
      <c r="Q50" s="3933"/>
      <c r="R50" s="3894" t="e">
        <f>ROUND(IF(D49="简单平均",AVERAGE(R49:W49),R49*F49+T49*H49+V49*J49),0)</f>
        <v>#DIV/0!</v>
      </c>
      <c r="S50" s="3894"/>
      <c r="T50" s="3894"/>
      <c r="U50" s="3894"/>
      <c r="V50" s="3894"/>
      <c r="W50" s="3894"/>
      <c r="X50" s="1375"/>
      <c r="Y50" s="1375"/>
      <c r="Z50" s="1375"/>
      <c r="AA50" s="1375"/>
      <c r="AB50" s="1375"/>
      <c r="AC50" s="1375"/>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7"/>
      <c r="B55" s="2957"/>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508</v>
      </c>
      <c r="B57" s="598" t="s">
        <v>509</v>
      </c>
      <c r="C57" s="1376" t="s">
        <v>1252</v>
      </c>
      <c r="D57" s="1945" t="s">
        <v>1647</v>
      </c>
      <c r="E57" s="599" t="s">
        <v>510</v>
      </c>
      <c r="F57" s="600" t="s">
        <v>511</v>
      </c>
      <c r="G57" s="3921" t="s">
        <v>1636</v>
      </c>
      <c r="H57" s="3922"/>
      <c r="I57" s="1372" t="s">
        <v>1250</v>
      </c>
      <c r="J57" s="1372">
        <f>项目基本情况!F41</f>
        <v>0</v>
      </c>
      <c r="K57" s="1875" t="s">
        <v>1251</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512</v>
      </c>
      <c r="B58" s="602" t="e">
        <f>C50</f>
        <v>#DIV/0!</v>
      </c>
      <c r="C58" s="603">
        <v>1</v>
      </c>
      <c r="D58" s="1946">
        <v>1</v>
      </c>
      <c r="E58" s="603">
        <f>'数据-汇总表'!E8+'数据-汇总表'!E9</f>
        <v>35564.46</v>
      </c>
      <c r="F58" s="604" t="e">
        <f t="shared" ref="F58:F66" si="14">ROUND(B58*E58/10000,0)</f>
        <v>#DIV/0!</v>
      </c>
      <c r="G58" s="3923"/>
      <c r="H58" s="3924"/>
      <c r="I58" s="1373">
        <v>1</v>
      </c>
      <c r="J58" s="1373">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513</v>
      </c>
      <c r="B59" s="606" t="e">
        <f>ROUND($C$50*C59*D59,0)</f>
        <v>#DIV/0!</v>
      </c>
      <c r="C59" s="365">
        <f t="shared" ref="C59:C66" si="15">IF($C$57="北京市系数",I59,J59)</f>
        <v>0</v>
      </c>
      <c r="D59" s="1947">
        <v>0.25</v>
      </c>
      <c r="E59" s="607">
        <v>0</v>
      </c>
      <c r="F59" s="604" t="e">
        <f t="shared" si="14"/>
        <v>#DIV/0!</v>
      </c>
      <c r="G59" s="3276" t="s">
        <v>1637</v>
      </c>
      <c r="H59" s="1703">
        <f>项目基本情况!B43</f>
        <v>0</v>
      </c>
      <c r="I59" s="1373">
        <f>SUMIF(修正!$A$57:$A$68,H59,修正!B57:B68)</f>
        <v>0</v>
      </c>
      <c r="J59" s="1374"/>
      <c r="K59" s="2961"/>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514</v>
      </c>
      <c r="B60" s="606" t="e">
        <f t="shared" ref="B60:B66" si="16">ROUND($C$50*C60*D60,0)</f>
        <v>#DIV/0!</v>
      </c>
      <c r="C60" s="365">
        <f t="shared" si="15"/>
        <v>0</v>
      </c>
      <c r="D60" s="1947">
        <v>0.25</v>
      </c>
      <c r="E60" s="607">
        <v>0</v>
      </c>
      <c r="F60" s="604" t="e">
        <f t="shared" si="14"/>
        <v>#DIV/0!</v>
      </c>
      <c r="G60" s="3277"/>
      <c r="H60" s="1703">
        <f>项目基本情况!B43</f>
        <v>0</v>
      </c>
      <c r="I60" s="1373">
        <f>SUMIF(修正!$A$57:$A$68,H60,修正!C57:C68)</f>
        <v>0</v>
      </c>
      <c r="J60" s="1374"/>
      <c r="K60" s="2961"/>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515</v>
      </c>
      <c r="B61" s="606" t="e">
        <f t="shared" si="16"/>
        <v>#DIV/0!</v>
      </c>
      <c r="C61" s="365">
        <f t="shared" si="15"/>
        <v>0</v>
      </c>
      <c r="D61" s="1947">
        <v>0.25</v>
      </c>
      <c r="E61" s="607">
        <v>0</v>
      </c>
      <c r="F61" s="604" t="e">
        <f t="shared" si="14"/>
        <v>#DIV/0!</v>
      </c>
      <c r="G61" s="3277"/>
      <c r="H61" s="1703">
        <f>项目基本情况!B43</f>
        <v>0</v>
      </c>
      <c r="I61" s="1373">
        <f>SUMIF(修正!$A$57:$A$68,H61,修正!D57:D68)</f>
        <v>0</v>
      </c>
      <c r="J61" s="1374"/>
      <c r="K61" s="2961"/>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1682</v>
      </c>
      <c r="B62" s="606" t="e">
        <f t="shared" si="16"/>
        <v>#DIV/0!</v>
      </c>
      <c r="C62" s="365">
        <f t="shared" si="15"/>
        <v>0</v>
      </c>
      <c r="D62" s="1947">
        <v>0.25</v>
      </c>
      <c r="E62" s="609">
        <f>'数据-汇总表'!E11</f>
        <v>0</v>
      </c>
      <c r="F62" s="604" t="e">
        <f t="shared" si="14"/>
        <v>#DIV/0!</v>
      </c>
      <c r="G62" s="1700" t="s">
        <v>1638</v>
      </c>
      <c r="H62" s="1703">
        <f>项目基本情况!C43</f>
        <v>0</v>
      </c>
      <c r="I62" s="1373">
        <f>SUMIF(修正!$A$57:$A$68,H62,修正!E57:E68)</f>
        <v>0</v>
      </c>
      <c r="J62" s="1374"/>
      <c r="K62" s="2961"/>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516</v>
      </c>
      <c r="B63" s="606" t="e">
        <f t="shared" si="16"/>
        <v>#DIV/0!</v>
      </c>
      <c r="C63" s="365">
        <f t="shared" si="15"/>
        <v>0</v>
      </c>
      <c r="D63" s="1947">
        <v>0.25</v>
      </c>
      <c r="E63" s="609">
        <f>'数据-汇总表'!E12</f>
        <v>0</v>
      </c>
      <c r="F63" s="604" t="e">
        <f t="shared" si="14"/>
        <v>#DIV/0!</v>
      </c>
      <c r="G63" s="1701" t="s">
        <v>1211</v>
      </c>
      <c r="H63" s="1699">
        <f>IF(G63="商业",项目基本情况!B43,IF(G63="办公",项目基本情况!C43,IF(G63="住宅",项目基本情况!D43,项目基本情况!E43)))</f>
        <v>0</v>
      </c>
      <c r="I63" s="1373">
        <f>SUMIF(修正!$A$57:$A$68,H63,修正!F57:F68)</f>
        <v>0</v>
      </c>
      <c r="J63" s="1374"/>
      <c r="K63" s="2961"/>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517</v>
      </c>
      <c r="B64" s="606" t="e">
        <f t="shared" si="16"/>
        <v>#DIV/0!</v>
      </c>
      <c r="C64" s="365">
        <f t="shared" si="15"/>
        <v>0</v>
      </c>
      <c r="D64" s="1947">
        <v>0.25</v>
      </c>
      <c r="E64" s="609">
        <f>'数据-汇总表'!E13</f>
        <v>5705</v>
      </c>
      <c r="F64" s="604" t="e">
        <f t="shared" si="14"/>
        <v>#DIV/0!</v>
      </c>
      <c r="G64" s="1701" t="s">
        <v>850</v>
      </c>
      <c r="H64" s="1699">
        <f>IF(G64="商业",项目基本情况!B43,IF(G64="办公",项目基本情况!C43,IF(G64="住宅",项目基本情况!D43,项目基本情况!E43)))</f>
        <v>0</v>
      </c>
      <c r="I64" s="1373">
        <f>SUMIF(修正!$A$57:$A$68,H64,修正!G57:G68)</f>
        <v>0</v>
      </c>
      <c r="J64" s="1374"/>
      <c r="K64" s="2961"/>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518</v>
      </c>
      <c r="B65" s="606" t="e">
        <f t="shared" si="16"/>
        <v>#DIV/0!</v>
      </c>
      <c r="C65" s="365">
        <f t="shared" si="15"/>
        <v>0</v>
      </c>
      <c r="D65" s="1947">
        <v>0.25</v>
      </c>
      <c r="E65" s="609">
        <f>'数据-汇总表'!E14</f>
        <v>0</v>
      </c>
      <c r="F65" s="604" t="e">
        <f t="shared" si="14"/>
        <v>#DIV/0!</v>
      </c>
      <c r="G65" s="1700" t="s">
        <v>1637</v>
      </c>
      <c r="H65" s="1703">
        <f>项目基本情况!B43</f>
        <v>0</v>
      </c>
      <c r="I65" s="1373">
        <f>SUMIF(修正!$A$57:$A$68,H65,修正!G57:G68)</f>
        <v>0</v>
      </c>
      <c r="J65" s="1374"/>
      <c r="K65" s="2961"/>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519</v>
      </c>
      <c r="B66" s="606" t="e">
        <f t="shared" si="16"/>
        <v>#DIV/0!</v>
      </c>
      <c r="C66" s="365">
        <f t="shared" si="15"/>
        <v>0</v>
      </c>
      <c r="D66" s="1947">
        <v>0.25</v>
      </c>
      <c r="E66" s="609">
        <f>'数据-汇总表'!E15</f>
        <v>0</v>
      </c>
      <c r="F66" s="604" t="e">
        <f t="shared" si="14"/>
        <v>#DIV/0!</v>
      </c>
      <c r="G66" s="1702" t="s">
        <v>1638</v>
      </c>
      <c r="H66" s="1704">
        <f>项目基本情况!C43</f>
        <v>0</v>
      </c>
      <c r="I66" s="1373">
        <f>SUMIF(修正!$A$57:$A$68,H66,修正!G57:G68)</f>
        <v>0</v>
      </c>
      <c r="J66" s="1374"/>
      <c r="K66" s="2961"/>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520</v>
      </c>
      <c r="B67" s="611" t="s">
        <v>11</v>
      </c>
      <c r="C67" s="611" t="s">
        <v>12</v>
      </c>
      <c r="D67" s="611" t="s">
        <v>1648</v>
      </c>
      <c r="E67" s="611">
        <f>IF(B48="楼面地价",SUM(E58:E66),'数据-汇总表'!D3)</f>
        <v>22454.65</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7"/>
      <c r="P69" s="1867"/>
      <c r="Q69" s="1867"/>
      <c r="R69" s="1867"/>
      <c r="S69" s="1867"/>
      <c r="T69" s="1867"/>
      <c r="U69" s="1867"/>
      <c r="V69" s="1867"/>
      <c r="W69" s="1867"/>
      <c r="X69" s="1867"/>
      <c r="Y69" s="1867"/>
      <c r="Z69" s="1867"/>
      <c r="AA69" s="1867"/>
      <c r="AB69" s="1867"/>
      <c r="AC69" s="1867"/>
    </row>
    <row r="70" spans="1:29" ht="21.75" thickBot="1">
      <c r="A70" s="1397" t="s">
        <v>521</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1812</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1926</v>
      </c>
      <c r="B72" s="465" t="str">
        <f>"北京市平均增长率"&amp;TEXT(SUMIF(基准地价!N25:N29,A72,基准地价!P25:P29),"0.00%")</f>
        <v>北京市平均增长率1.47%</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1925</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479</v>
      </c>
      <c r="B74" s="616"/>
      <c r="C74" s="628" t="s">
        <v>523</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524</v>
      </c>
      <c r="B76" s="633" t="s">
        <v>482</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485</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486</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487</v>
      </c>
      <c r="B89" s="633" t="s">
        <v>525</v>
      </c>
      <c r="C89" s="671" t="s">
        <v>526</v>
      </c>
      <c r="D89" s="671" t="s">
        <v>527</v>
      </c>
      <c r="E89" s="671" t="s">
        <v>528</v>
      </c>
      <c r="F89" s="671" t="s">
        <v>529</v>
      </c>
      <c r="G89" s="671" t="s">
        <v>530</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531</v>
      </c>
      <c r="C91" s="676" t="s">
        <v>526</v>
      </c>
      <c r="D91" s="676" t="s">
        <v>527</v>
      </c>
      <c r="E91" s="676" t="s">
        <v>528</v>
      </c>
      <c r="F91" s="676" t="s">
        <v>529</v>
      </c>
      <c r="G91" s="676" t="s">
        <v>530</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532</v>
      </c>
      <c r="C93" s="676" t="s">
        <v>526</v>
      </c>
      <c r="D93" s="676" t="s">
        <v>527</v>
      </c>
      <c r="E93" s="676" t="s">
        <v>528</v>
      </c>
      <c r="F93" s="676" t="s">
        <v>529</v>
      </c>
      <c r="G93" s="676" t="s">
        <v>530</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533</v>
      </c>
      <c r="C95" s="676" t="s">
        <v>526</v>
      </c>
      <c r="D95" s="676" t="s">
        <v>527</v>
      </c>
      <c r="E95" s="676" t="s">
        <v>528</v>
      </c>
      <c r="F95" s="676" t="s">
        <v>529</v>
      </c>
      <c r="G95" s="676" t="s">
        <v>530</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534</v>
      </c>
      <c r="C97" s="676" t="s">
        <v>526</v>
      </c>
      <c r="D97" s="676" t="s">
        <v>527</v>
      </c>
      <c r="E97" s="676" t="s">
        <v>528</v>
      </c>
      <c r="F97" s="676" t="s">
        <v>529</v>
      </c>
      <c r="G97" s="676" t="s">
        <v>530</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535</v>
      </c>
      <c r="C99" s="671" t="s">
        <v>526</v>
      </c>
      <c r="D99" s="671" t="s">
        <v>527</v>
      </c>
      <c r="E99" s="671" t="s">
        <v>528</v>
      </c>
      <c r="F99" s="671" t="s">
        <v>529</v>
      </c>
      <c r="G99" s="671" t="s">
        <v>530</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1828</v>
      </c>
      <c r="C101" s="671" t="s">
        <v>526</v>
      </c>
      <c r="D101" s="671" t="s">
        <v>527</v>
      </c>
      <c r="E101" s="671" t="s">
        <v>528</v>
      </c>
      <c r="F101" s="671" t="s">
        <v>529</v>
      </c>
      <c r="G101" s="671" t="s">
        <v>530</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1830</v>
      </c>
      <c r="C103" s="2205" t="s">
        <v>1831</v>
      </c>
      <c r="D103" s="2205" t="s">
        <v>1832</v>
      </c>
      <c r="E103" s="2205" t="s">
        <v>1833</v>
      </c>
      <c r="F103" s="2205" t="s">
        <v>1834</v>
      </c>
      <c r="G103" s="2205" t="s">
        <v>1835</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536</v>
      </c>
      <c r="D105" s="642" t="s">
        <v>537</v>
      </c>
      <c r="E105" s="642" t="s">
        <v>538</v>
      </c>
      <c r="F105" s="642" t="s">
        <v>539</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496</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497</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499</v>
      </c>
      <c r="B117" s="633" t="s">
        <v>540</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541</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542</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1774</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543</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464</v>
      </c>
      <c r="B1" s="473"/>
      <c r="C1" s="474" t="s">
        <v>544</v>
      </c>
      <c r="D1" s="475" t="s">
        <v>466</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426</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c r="A3" s="1238" t="s">
        <v>1217</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468</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428</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469</v>
      </c>
      <c r="B6" s="483"/>
      <c r="C6" s="3901" t="s">
        <v>470</v>
      </c>
      <c r="D6" s="3902"/>
      <c r="E6" s="3936" t="s">
        <v>471</v>
      </c>
      <c r="F6" s="3937"/>
      <c r="G6" s="3901" t="s">
        <v>472</v>
      </c>
      <c r="H6" s="3902"/>
      <c r="I6" s="3901" t="s">
        <v>473</v>
      </c>
      <c r="J6" s="3902"/>
      <c r="K6" s="484" t="s">
        <v>474</v>
      </c>
      <c r="L6" s="1855"/>
      <c r="M6" s="1856"/>
      <c r="N6" s="1856"/>
      <c r="O6" s="1856"/>
      <c r="P6" s="3903" t="s">
        <v>475</v>
      </c>
      <c r="Q6" s="3904"/>
      <c r="R6" s="3909" t="s">
        <v>471</v>
      </c>
      <c r="S6" s="3910"/>
      <c r="T6" s="3909" t="s">
        <v>472</v>
      </c>
      <c r="U6" s="3910"/>
      <c r="V6" s="3896" t="s">
        <v>473</v>
      </c>
      <c r="W6" s="3896"/>
      <c r="X6" s="1380"/>
      <c r="Y6" s="3909" t="s">
        <v>475</v>
      </c>
      <c r="Z6" s="3910"/>
      <c r="AA6" s="3898" t="s">
        <v>471</v>
      </c>
      <c r="AB6" s="3899" t="s">
        <v>472</v>
      </c>
      <c r="AC6" s="3898" t="s">
        <v>473</v>
      </c>
    </row>
    <row r="7" spans="1:29" ht="15">
      <c r="A7" s="485"/>
      <c r="B7" s="486"/>
      <c r="C7" s="3917" t="s">
        <v>2188</v>
      </c>
      <c r="D7" s="3918"/>
      <c r="E7" s="3938" t="s">
        <v>2189</v>
      </c>
      <c r="F7" s="3939"/>
      <c r="G7" s="3917" t="s">
        <v>2190</v>
      </c>
      <c r="H7" s="3918"/>
      <c r="I7" s="3917" t="s">
        <v>2191</v>
      </c>
      <c r="J7" s="3918"/>
      <c r="K7" s="484"/>
      <c r="L7" s="1855"/>
      <c r="M7" s="1856"/>
      <c r="N7" s="1856"/>
      <c r="O7" s="1856"/>
      <c r="P7" s="3905"/>
      <c r="Q7" s="3906"/>
      <c r="R7" s="3911"/>
      <c r="S7" s="3912"/>
      <c r="T7" s="3911"/>
      <c r="U7" s="3912"/>
      <c r="V7" s="3896"/>
      <c r="W7" s="3896"/>
      <c r="X7" s="1380"/>
      <c r="Y7" s="3911"/>
      <c r="Z7" s="3912"/>
      <c r="AA7" s="3899"/>
      <c r="AB7" s="3899"/>
      <c r="AC7" s="3899"/>
    </row>
    <row r="8" spans="1:29" ht="15.75" thickBot="1">
      <c r="A8" s="487"/>
      <c r="B8" s="488"/>
      <c r="C8" s="3915" t="s">
        <v>2192</v>
      </c>
      <c r="D8" s="3916"/>
      <c r="E8" s="3934" t="s">
        <v>2192</v>
      </c>
      <c r="F8" s="3935"/>
      <c r="G8" s="3915" t="s">
        <v>2192</v>
      </c>
      <c r="H8" s="3916"/>
      <c r="I8" s="3915" t="s">
        <v>2192</v>
      </c>
      <c r="J8" s="3916"/>
      <c r="K8" s="484" t="s">
        <v>476</v>
      </c>
      <c r="L8" s="1855"/>
      <c r="M8" s="1856"/>
      <c r="N8" s="1856"/>
      <c r="O8" s="1856"/>
      <c r="P8" s="3907"/>
      <c r="Q8" s="3908"/>
      <c r="R8" s="3911"/>
      <c r="S8" s="3912"/>
      <c r="T8" s="3913"/>
      <c r="U8" s="3914"/>
      <c r="V8" s="3896"/>
      <c r="W8" s="3896"/>
      <c r="X8" s="1380"/>
      <c r="Y8" s="3913"/>
      <c r="Z8" s="3914"/>
      <c r="AA8" s="3900"/>
      <c r="AB8" s="3900"/>
      <c r="AC8" s="3900"/>
    </row>
    <row r="9" spans="1:29" s="1118" customFormat="1" ht="15.75" thickBot="1">
      <c r="A9" s="2391"/>
      <c r="B9" s="2398" t="s">
        <v>477</v>
      </c>
      <c r="C9" s="489">
        <f>'数据-取费表'!B2</f>
        <v>44942</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25" t="s">
        <v>478</v>
      </c>
      <c r="Q9" s="3927"/>
      <c r="R9" s="1381" t="s">
        <v>5</v>
      </c>
      <c r="S9" s="1382">
        <f t="shared" ref="S9:S17" si="0">F9</f>
        <v>0</v>
      </c>
      <c r="T9" s="1381" t="s">
        <v>5</v>
      </c>
      <c r="U9" s="1382">
        <f t="shared" ref="U9:U17" si="1">H9</f>
        <v>0</v>
      </c>
      <c r="V9" s="1381" t="s">
        <v>5</v>
      </c>
      <c r="W9" s="1382">
        <f t="shared" ref="W9:W17" si="2">J9</f>
        <v>0</v>
      </c>
      <c r="X9" s="1383"/>
      <c r="Y9" s="3925" t="s">
        <v>478</v>
      </c>
      <c r="Z9" s="3926"/>
      <c r="AA9" s="1384" t="e">
        <f>D9/F9</f>
        <v>#DIV/0!</v>
      </c>
      <c r="AB9" s="1384" t="e">
        <f>D9/H9</f>
        <v>#DIV/0!</v>
      </c>
      <c r="AC9" s="1384" t="e">
        <f>D9/J9</f>
        <v>#DIV/0!</v>
      </c>
    </row>
    <row r="10" spans="1:29" s="1118" customFormat="1" ht="15.75" thickBot="1">
      <c r="A10" s="2392"/>
      <c r="B10" s="2399" t="s">
        <v>479</v>
      </c>
      <c r="C10" s="495" t="s">
        <v>480</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25" t="s">
        <v>481</v>
      </c>
      <c r="Q10" s="3926"/>
      <c r="R10" s="1381" t="s">
        <v>5</v>
      </c>
      <c r="S10" s="1382">
        <f t="shared" si="0"/>
        <v>0</v>
      </c>
      <c r="T10" s="1381" t="s">
        <v>5</v>
      </c>
      <c r="U10" s="1382">
        <f t="shared" si="1"/>
        <v>0</v>
      </c>
      <c r="V10" s="1381" t="s">
        <v>5</v>
      </c>
      <c r="W10" s="1382">
        <f t="shared" si="2"/>
        <v>0</v>
      </c>
      <c r="X10" s="1383"/>
      <c r="Y10" s="3925" t="s">
        <v>481</v>
      </c>
      <c r="Z10" s="3926"/>
      <c r="AA10" s="1384" t="e">
        <f t="shared" ref="AA10:AA42" si="3">D10/F10</f>
        <v>#DIV/0!</v>
      </c>
      <c r="AB10" s="1384" t="e">
        <f t="shared" ref="AB10:AB42" si="4">D10/H10</f>
        <v>#DIV/0!</v>
      </c>
      <c r="AC10" s="1384" t="e">
        <f t="shared" ref="AC10:AC42" si="5">D10/J10</f>
        <v>#DIV/0!</v>
      </c>
    </row>
    <row r="11" spans="1:29" s="1118" customFormat="1" ht="15">
      <c r="A11" s="2393"/>
      <c r="B11" s="2400" t="s">
        <v>2035</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95" t="s">
        <v>483</v>
      </c>
      <c r="Q11" s="1050" t="str">
        <f t="shared" ref="Q11:Q17" si="6">B11</f>
        <v>用途</v>
      </c>
      <c r="R11" s="1381" t="s">
        <v>5</v>
      </c>
      <c r="S11" s="1382">
        <f t="shared" si="0"/>
        <v>100</v>
      </c>
      <c r="T11" s="1381" t="s">
        <v>5</v>
      </c>
      <c r="U11" s="1382">
        <f t="shared" si="1"/>
        <v>100</v>
      </c>
      <c r="V11" s="1381" t="s">
        <v>5</v>
      </c>
      <c r="W11" s="1382">
        <f t="shared" si="2"/>
        <v>100</v>
      </c>
      <c r="X11" s="1383"/>
      <c r="Y11" s="3824" t="s">
        <v>484</v>
      </c>
      <c r="Z11" s="1049" t="str">
        <f t="shared" ref="Z11:Z17" si="7">Q11</f>
        <v>用途</v>
      </c>
      <c r="AA11" s="1384">
        <f t="shared" si="3"/>
        <v>1</v>
      </c>
      <c r="AB11" s="1384">
        <f t="shared" si="4"/>
        <v>1</v>
      </c>
      <c r="AC11" s="1384">
        <f t="shared" si="5"/>
        <v>1</v>
      </c>
    </row>
    <row r="12" spans="1:29" s="1199" customFormat="1" ht="27">
      <c r="A12" s="2394"/>
      <c r="B12" s="2399" t="s">
        <v>2036</v>
      </c>
      <c r="C12" s="498"/>
      <c r="D12" s="246">
        <v>100</v>
      </c>
      <c r="E12" s="498"/>
      <c r="F12" s="246">
        <f>ROUND(100/'数据-取费表'!G16,0)</f>
        <v>111</v>
      </c>
      <c r="G12" s="498"/>
      <c r="H12" s="246">
        <f>ROUND(100/'数据-取费表'!G16,0)</f>
        <v>111</v>
      </c>
      <c r="I12" s="498"/>
      <c r="J12" s="246">
        <f>ROUND(100/'数据-取费表'!G16,0)</f>
        <v>111</v>
      </c>
      <c r="K12" s="501"/>
      <c r="L12" s="1860"/>
      <c r="M12" s="1899"/>
      <c r="N12" s="1899"/>
      <c r="O12" s="1861"/>
      <c r="P12" s="3895"/>
      <c r="Q12" s="1050" t="str">
        <f t="shared" si="6"/>
        <v>土地使用年限（年）</v>
      </c>
      <c r="R12" s="1381" t="s">
        <v>5</v>
      </c>
      <c r="S12" s="1382">
        <f t="shared" si="0"/>
        <v>111</v>
      </c>
      <c r="T12" s="1381" t="s">
        <v>5</v>
      </c>
      <c r="U12" s="1382">
        <f t="shared" si="1"/>
        <v>111</v>
      </c>
      <c r="V12" s="1381" t="s">
        <v>5</v>
      </c>
      <c r="W12" s="1382">
        <f t="shared" si="2"/>
        <v>111</v>
      </c>
      <c r="X12" s="1383"/>
      <c r="Y12" s="3824"/>
      <c r="Z12" s="1049" t="str">
        <f t="shared" si="7"/>
        <v>土地使用年限（年）</v>
      </c>
      <c r="AA12" s="1384">
        <f t="shared" si="3"/>
        <v>0.90090090090090091</v>
      </c>
      <c r="AB12" s="1384">
        <f t="shared" si="4"/>
        <v>0.90090090090090091</v>
      </c>
      <c r="AC12" s="1384">
        <f t="shared" si="5"/>
        <v>0.90090090090090091</v>
      </c>
    </row>
    <row r="13" spans="1:29" ht="15">
      <c r="A13" s="2395"/>
      <c r="B13" s="2399" t="s">
        <v>2037</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95"/>
      <c r="Q13" s="1050" t="str">
        <f t="shared" si="6"/>
        <v>容积率</v>
      </c>
      <c r="R13" s="1381" t="s">
        <v>5</v>
      </c>
      <c r="S13" s="1382" t="e">
        <f t="shared" si="0"/>
        <v>#N/A</v>
      </c>
      <c r="T13" s="1381" t="s">
        <v>5</v>
      </c>
      <c r="U13" s="1382" t="e">
        <f t="shared" si="1"/>
        <v>#N/A</v>
      </c>
      <c r="V13" s="1381" t="s">
        <v>5</v>
      </c>
      <c r="W13" s="1382" t="e">
        <f t="shared" si="2"/>
        <v>#N/A</v>
      </c>
      <c r="X13" s="1383"/>
      <c r="Y13" s="3824"/>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95"/>
      <c r="Q14" s="1050">
        <f t="shared" si="6"/>
        <v>111</v>
      </c>
      <c r="R14" s="1381" t="s">
        <v>5</v>
      </c>
      <c r="S14" s="1382">
        <f t="shared" si="0"/>
        <v>100</v>
      </c>
      <c r="T14" s="1381" t="s">
        <v>5</v>
      </c>
      <c r="U14" s="1382">
        <f t="shared" si="1"/>
        <v>100</v>
      </c>
      <c r="V14" s="1381" t="s">
        <v>5</v>
      </c>
      <c r="W14" s="1382">
        <f t="shared" si="2"/>
        <v>100</v>
      </c>
      <c r="X14" s="1383"/>
      <c r="Y14" s="3824"/>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95"/>
      <c r="Q15" s="1050">
        <f t="shared" si="6"/>
        <v>111</v>
      </c>
      <c r="R15" s="1381" t="s">
        <v>5</v>
      </c>
      <c r="S15" s="1382">
        <f t="shared" si="0"/>
        <v>100</v>
      </c>
      <c r="T15" s="1381" t="s">
        <v>5</v>
      </c>
      <c r="U15" s="1382">
        <f t="shared" si="1"/>
        <v>100</v>
      </c>
      <c r="V15" s="1381" t="s">
        <v>5</v>
      </c>
      <c r="W15" s="1382">
        <f t="shared" si="2"/>
        <v>100</v>
      </c>
      <c r="X15" s="1383"/>
      <c r="Y15" s="3824"/>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95"/>
      <c r="Q16" s="1050">
        <f t="shared" si="6"/>
        <v>111</v>
      </c>
      <c r="R16" s="1381" t="s">
        <v>5</v>
      </c>
      <c r="S16" s="1382">
        <f t="shared" si="0"/>
        <v>100</v>
      </c>
      <c r="T16" s="1381" t="s">
        <v>5</v>
      </c>
      <c r="U16" s="1382">
        <f t="shared" si="1"/>
        <v>100</v>
      </c>
      <c r="V16" s="1381" t="s">
        <v>5</v>
      </c>
      <c r="W16" s="1382">
        <f t="shared" si="2"/>
        <v>100</v>
      </c>
      <c r="X16" s="1383"/>
      <c r="Y16" s="3824"/>
      <c r="Z16" s="1049">
        <f t="shared" si="7"/>
        <v>111</v>
      </c>
      <c r="AA16" s="1384">
        <f t="shared" si="3"/>
        <v>1</v>
      </c>
      <c r="AB16" s="1384">
        <f t="shared" si="4"/>
        <v>1</v>
      </c>
      <c r="AC16" s="1384">
        <f t="shared" si="5"/>
        <v>1</v>
      </c>
    </row>
    <row r="17" spans="1:29" ht="57">
      <c r="A17" s="2389" t="s">
        <v>2033</v>
      </c>
      <c r="B17" s="159" t="s">
        <v>545</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28" t="s">
        <v>488</v>
      </c>
      <c r="Q17" s="1385" t="str">
        <f t="shared" si="6"/>
        <v>产业集聚程度</v>
      </c>
      <c r="R17" s="1386" t="s">
        <v>5</v>
      </c>
      <c r="S17" s="1387">
        <f t="shared" si="0"/>
        <v>100</v>
      </c>
      <c r="T17" s="1386" t="s">
        <v>5</v>
      </c>
      <c r="U17" s="1387">
        <f t="shared" si="1"/>
        <v>100</v>
      </c>
      <c r="V17" s="1386" t="s">
        <v>5</v>
      </c>
      <c r="W17" s="1387">
        <f t="shared" si="2"/>
        <v>100</v>
      </c>
      <c r="X17" s="1380"/>
      <c r="Y17" s="3928" t="s">
        <v>488</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4"/>
      <c r="M18" s="1856"/>
      <c r="N18" s="1856"/>
      <c r="O18" s="1863"/>
      <c r="P18" s="3929"/>
      <c r="Q18" s="1385"/>
      <c r="R18" s="1386"/>
      <c r="S18" s="1387"/>
      <c r="T18" s="1386"/>
      <c r="U18" s="1387"/>
      <c r="V18" s="1386"/>
      <c r="W18" s="1387"/>
      <c r="X18" s="1380"/>
      <c r="Y18" s="3929"/>
      <c r="Z18" s="1388"/>
      <c r="AA18" s="1389">
        <v>1</v>
      </c>
      <c r="AB18" s="1389">
        <v>1</v>
      </c>
      <c r="AC18" s="1389">
        <v>1</v>
      </c>
    </row>
    <row r="19" spans="1:29" ht="85.5">
      <c r="A19" s="502"/>
      <c r="B19" s="834" t="s">
        <v>491</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29"/>
      <c r="Q19" s="1385" t="str">
        <f>B19</f>
        <v>交通便捷度</v>
      </c>
      <c r="R19" s="1386" t="s">
        <v>5</v>
      </c>
      <c r="S19" s="1387">
        <f>F19</f>
        <v>100</v>
      </c>
      <c r="T19" s="1386" t="s">
        <v>5</v>
      </c>
      <c r="U19" s="1387">
        <f>H19</f>
        <v>100</v>
      </c>
      <c r="V19" s="1386" t="s">
        <v>5</v>
      </c>
      <c r="W19" s="1387">
        <f>J19</f>
        <v>100</v>
      </c>
      <c r="X19" s="1380"/>
      <c r="Y19" s="3929"/>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4"/>
      <c r="M20" s="1856"/>
      <c r="N20" s="1856"/>
      <c r="O20" s="1863"/>
      <c r="P20" s="3929"/>
      <c r="Q20" s="1385"/>
      <c r="R20" s="1386"/>
      <c r="S20" s="1387"/>
      <c r="T20" s="1386"/>
      <c r="U20" s="1387"/>
      <c r="V20" s="1386"/>
      <c r="W20" s="1387"/>
      <c r="X20" s="1380"/>
      <c r="Y20" s="3929"/>
      <c r="Z20" s="1388"/>
      <c r="AA20" s="1389">
        <v>1</v>
      </c>
      <c r="AB20" s="1389">
        <v>1</v>
      </c>
      <c r="AC20" s="1389">
        <v>1</v>
      </c>
    </row>
    <row r="21" spans="1:29" ht="27">
      <c r="A21" s="485"/>
      <c r="B21" s="834" t="s">
        <v>492</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29"/>
      <c r="Q21" s="1385" t="str">
        <f t="shared" ref="Q21:Q35" si="8">B21</f>
        <v>区域土地利用方向</v>
      </c>
      <c r="R21" s="1386" t="s">
        <v>5</v>
      </c>
      <c r="S21" s="1387">
        <f>F21</f>
        <v>100</v>
      </c>
      <c r="T21" s="1386" t="s">
        <v>5</v>
      </c>
      <c r="U21" s="1387">
        <f>H21</f>
        <v>100</v>
      </c>
      <c r="V21" s="1386" t="s">
        <v>5</v>
      </c>
      <c r="W21" s="1387">
        <f>J21</f>
        <v>100</v>
      </c>
      <c r="X21" s="1380"/>
      <c r="Y21" s="3929"/>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4"/>
      <c r="M22" s="1856"/>
      <c r="N22" s="1856"/>
      <c r="O22" s="1863"/>
      <c r="P22" s="3929"/>
      <c r="Q22" s="1385"/>
      <c r="R22" s="1386"/>
      <c r="S22" s="1387"/>
      <c r="T22" s="1386"/>
      <c r="U22" s="1387"/>
      <c r="V22" s="1386"/>
      <c r="W22" s="1387"/>
      <c r="X22" s="1380"/>
      <c r="Y22" s="3929"/>
      <c r="Z22" s="1388"/>
      <c r="AA22" s="1389"/>
      <c r="AB22" s="1389"/>
      <c r="AC22" s="1389"/>
    </row>
    <row r="23" spans="1:29" ht="71.25">
      <c r="A23" s="485"/>
      <c r="B23" s="885" t="s">
        <v>546</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29"/>
      <c r="Q23" s="1385" t="str">
        <f t="shared" si="8"/>
        <v>环境状况</v>
      </c>
      <c r="R23" s="1386" t="s">
        <v>5</v>
      </c>
      <c r="S23" s="1387">
        <f>F23</f>
        <v>100</v>
      </c>
      <c r="T23" s="1386" t="s">
        <v>5</v>
      </c>
      <c r="U23" s="1387">
        <f>H23</f>
        <v>100</v>
      </c>
      <c r="V23" s="1386" t="s">
        <v>5</v>
      </c>
      <c r="W23" s="1387">
        <f>J23</f>
        <v>100</v>
      </c>
      <c r="X23" s="1380"/>
      <c r="Y23" s="3929"/>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4"/>
      <c r="M24" s="1856"/>
      <c r="N24" s="1856"/>
      <c r="O24" s="1863"/>
      <c r="P24" s="3929"/>
      <c r="Q24" s="1385"/>
      <c r="R24" s="1386"/>
      <c r="S24" s="1387"/>
      <c r="T24" s="1386"/>
      <c r="U24" s="1387"/>
      <c r="V24" s="1386"/>
      <c r="W24" s="1387"/>
      <c r="X24" s="1380"/>
      <c r="Y24" s="3929"/>
      <c r="Z24" s="1388"/>
      <c r="AA24" s="1389">
        <v>1</v>
      </c>
      <c r="AB24" s="1389">
        <v>1</v>
      </c>
      <c r="AC24" s="1389">
        <v>1</v>
      </c>
    </row>
    <row r="25" spans="1:29" s="1118" customFormat="1" ht="42.75">
      <c r="A25" s="547"/>
      <c r="B25" s="2200" t="s">
        <v>1828</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29"/>
      <c r="Q25" s="1050" t="str">
        <f t="shared" si="8"/>
        <v>公共配套设施</v>
      </c>
      <c r="R25" s="1381" t="s">
        <v>5</v>
      </c>
      <c r="S25" s="1382">
        <f>F25</f>
        <v>100</v>
      </c>
      <c r="T25" s="1381" t="s">
        <v>5</v>
      </c>
      <c r="U25" s="1382">
        <f>H25</f>
        <v>100</v>
      </c>
      <c r="V25" s="1381" t="s">
        <v>5</v>
      </c>
      <c r="W25" s="1382">
        <f>J25</f>
        <v>100</v>
      </c>
      <c r="X25" s="1383"/>
      <c r="Y25" s="3929"/>
      <c r="Z25" s="1049" t="str">
        <f>Q25</f>
        <v>公共配套设施</v>
      </c>
      <c r="AA25" s="1389">
        <f>D25/F25</f>
        <v>1</v>
      </c>
      <c r="AB25" s="1389">
        <f>D25/H25</f>
        <v>1</v>
      </c>
      <c r="AC25" s="1389">
        <f>D25/J25</f>
        <v>1</v>
      </c>
    </row>
    <row r="26" spans="1:29" s="1118" customFormat="1" ht="15">
      <c r="A26" s="547"/>
      <c r="B26" s="565"/>
      <c r="C26" s="2199"/>
      <c r="D26" s="525"/>
      <c r="E26" s="524"/>
      <c r="F26" s="525"/>
      <c r="G26" s="524"/>
      <c r="H26" s="525"/>
      <c r="I26" s="546"/>
      <c r="J26" s="525"/>
      <c r="K26" s="501"/>
      <c r="L26" s="1857"/>
      <c r="M26" s="1858"/>
      <c r="N26" s="1858"/>
      <c r="O26" s="1859"/>
      <c r="P26" s="3929"/>
      <c r="Q26" s="1050"/>
      <c r="R26" s="1381"/>
      <c r="S26" s="1382"/>
      <c r="T26" s="1381"/>
      <c r="U26" s="1382"/>
      <c r="V26" s="1381"/>
      <c r="W26" s="1382"/>
      <c r="X26" s="1383"/>
      <c r="Y26" s="3929"/>
      <c r="Z26" s="1049"/>
      <c r="AA26" s="1384">
        <v>1</v>
      </c>
      <c r="AB26" s="1384">
        <v>1</v>
      </c>
      <c r="AC26" s="1384">
        <v>1</v>
      </c>
    </row>
    <row r="27" spans="1:29" s="1118" customFormat="1" ht="28.5">
      <c r="A27" s="547"/>
      <c r="B27" s="2200" t="s">
        <v>1829</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29"/>
      <c r="Q27" s="2191" t="str">
        <f>B27</f>
        <v>基础设施水平</v>
      </c>
      <c r="R27" s="1381" t="s">
        <v>5</v>
      </c>
      <c r="S27" s="1382">
        <f>F27</f>
        <v>100</v>
      </c>
      <c r="T27" s="1381" t="s">
        <v>5</v>
      </c>
      <c r="U27" s="1382">
        <f>H27</f>
        <v>100</v>
      </c>
      <c r="V27" s="1381" t="s">
        <v>5</v>
      </c>
      <c r="W27" s="1382">
        <f>J27</f>
        <v>100</v>
      </c>
      <c r="X27" s="1383"/>
      <c r="Y27" s="3929"/>
      <c r="Z27" s="2190" t="str">
        <f>Q27</f>
        <v>基础设施水平</v>
      </c>
      <c r="AA27" s="1389">
        <f>D27/F27</f>
        <v>1</v>
      </c>
      <c r="AB27" s="1389">
        <f>D27/H27</f>
        <v>1</v>
      </c>
      <c r="AC27" s="1389">
        <f>D27/J27</f>
        <v>1</v>
      </c>
    </row>
    <row r="28" spans="1:29" s="1118" customFormat="1" ht="15">
      <c r="A28" s="547"/>
      <c r="B28" s="565"/>
      <c r="C28" s="2199"/>
      <c r="D28" s="525"/>
      <c r="E28" s="549"/>
      <c r="F28" s="525"/>
      <c r="G28" s="549"/>
      <c r="H28" s="525"/>
      <c r="I28" s="549"/>
      <c r="J28" s="525"/>
      <c r="K28" s="501"/>
      <c r="L28" s="1857"/>
      <c r="M28" s="1858"/>
      <c r="N28" s="1858"/>
      <c r="O28" s="1859"/>
      <c r="P28" s="3929"/>
      <c r="Q28" s="2191"/>
      <c r="R28" s="1381"/>
      <c r="S28" s="1382"/>
      <c r="T28" s="1381"/>
      <c r="U28" s="1382"/>
      <c r="V28" s="1381"/>
      <c r="W28" s="1382"/>
      <c r="X28" s="1383"/>
      <c r="Y28" s="3929"/>
      <c r="Z28" s="2190"/>
      <c r="AA28" s="1384">
        <v>1</v>
      </c>
      <c r="AB28" s="1384">
        <v>1</v>
      </c>
      <c r="AC28" s="1384">
        <v>1</v>
      </c>
    </row>
    <row r="29" spans="1:29" ht="15">
      <c r="A29" s="502"/>
      <c r="B29" s="565" t="s">
        <v>495</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29"/>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9"/>
      <c r="Z29" s="1388" t="str">
        <f t="shared" ref="Z29:Z42" si="12">Q29</f>
        <v>临街状况</v>
      </c>
      <c r="AA29" s="1389">
        <f t="shared" si="3"/>
        <v>1</v>
      </c>
      <c r="AB29" s="1389">
        <f t="shared" si="4"/>
        <v>1</v>
      </c>
      <c r="AC29" s="1389">
        <f t="shared" si="5"/>
        <v>1</v>
      </c>
    </row>
    <row r="30" spans="1:29" ht="27">
      <c r="A30" s="502"/>
      <c r="B30" s="885" t="s">
        <v>496</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29"/>
      <c r="Q30" s="1385" t="str">
        <f t="shared" si="8"/>
        <v>毗邻道路的类型与等级</v>
      </c>
      <c r="R30" s="1386" t="s">
        <v>5</v>
      </c>
      <c r="S30" s="1387">
        <f t="shared" si="9"/>
        <v>100</v>
      </c>
      <c r="T30" s="1386" t="s">
        <v>5</v>
      </c>
      <c r="U30" s="1387">
        <f t="shared" si="10"/>
        <v>100</v>
      </c>
      <c r="V30" s="1386" t="s">
        <v>5</v>
      </c>
      <c r="W30" s="1387">
        <f t="shared" si="11"/>
        <v>100</v>
      </c>
      <c r="X30" s="1380"/>
      <c r="Y30" s="3929"/>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929"/>
      <c r="Q31" s="1385"/>
      <c r="R31" s="1386"/>
      <c r="S31" s="1387"/>
      <c r="T31" s="1386"/>
      <c r="U31" s="1387"/>
      <c r="V31" s="1386"/>
      <c r="W31" s="1387"/>
      <c r="X31" s="1380"/>
      <c r="Y31" s="3929"/>
      <c r="Z31" s="1388"/>
      <c r="AA31" s="1389">
        <v>1</v>
      </c>
      <c r="AB31" s="1389">
        <v>1</v>
      </c>
      <c r="AC31" s="1389">
        <v>1</v>
      </c>
    </row>
    <row r="32" spans="1:29" ht="15">
      <c r="A32" s="502"/>
      <c r="B32" s="497" t="s">
        <v>497</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29"/>
      <c r="Q32" s="1385" t="str">
        <f t="shared" si="8"/>
        <v>土地级别</v>
      </c>
      <c r="R32" s="1386" t="s">
        <v>5</v>
      </c>
      <c r="S32" s="1387">
        <f t="shared" si="9"/>
        <v>100</v>
      </c>
      <c r="T32" s="1386" t="s">
        <v>5</v>
      </c>
      <c r="U32" s="1387">
        <f t="shared" si="10"/>
        <v>100</v>
      </c>
      <c r="V32" s="1386" t="s">
        <v>5</v>
      </c>
      <c r="W32" s="1387">
        <f t="shared" si="11"/>
        <v>100</v>
      </c>
      <c r="X32" s="1380"/>
      <c r="Y32" s="3929"/>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29"/>
      <c r="Q33" s="1385">
        <f t="shared" si="8"/>
        <v>111</v>
      </c>
      <c r="R33" s="1386" t="s">
        <v>5</v>
      </c>
      <c r="S33" s="1387">
        <f t="shared" si="9"/>
        <v>100</v>
      </c>
      <c r="T33" s="1386" t="s">
        <v>5</v>
      </c>
      <c r="U33" s="1387">
        <f t="shared" si="10"/>
        <v>100</v>
      </c>
      <c r="V33" s="1386" t="s">
        <v>5</v>
      </c>
      <c r="W33" s="1387">
        <f t="shared" si="11"/>
        <v>100</v>
      </c>
      <c r="X33" s="1380"/>
      <c r="Y33" s="3929"/>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30" t="s">
        <v>498</v>
      </c>
      <c r="Q34" s="1385">
        <f t="shared" si="8"/>
        <v>111</v>
      </c>
      <c r="R34" s="1386" t="s">
        <v>5</v>
      </c>
      <c r="S34" s="1387">
        <f t="shared" si="9"/>
        <v>100</v>
      </c>
      <c r="T34" s="1386" t="s">
        <v>5</v>
      </c>
      <c r="U34" s="1387">
        <f t="shared" si="10"/>
        <v>100</v>
      </c>
      <c r="V34" s="1386" t="s">
        <v>5</v>
      </c>
      <c r="W34" s="1387">
        <f t="shared" si="11"/>
        <v>100</v>
      </c>
      <c r="X34" s="1380"/>
      <c r="Y34" s="3931" t="s">
        <v>498</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1"/>
      <c r="Q35" s="1385">
        <f t="shared" si="8"/>
        <v>111</v>
      </c>
      <c r="R35" s="1390" t="s">
        <v>5</v>
      </c>
      <c r="S35" s="1391">
        <f t="shared" si="9"/>
        <v>100</v>
      </c>
      <c r="T35" s="1390" t="s">
        <v>5</v>
      </c>
      <c r="U35" s="1391">
        <f t="shared" si="10"/>
        <v>100</v>
      </c>
      <c r="V35" s="1390" t="s">
        <v>5</v>
      </c>
      <c r="W35" s="1391">
        <f t="shared" si="11"/>
        <v>100</v>
      </c>
      <c r="X35" s="1392"/>
      <c r="Y35" s="3931"/>
      <c r="Z35" s="1393">
        <f t="shared" si="12"/>
        <v>111</v>
      </c>
      <c r="AA35" s="1389">
        <f t="shared" si="3"/>
        <v>1</v>
      </c>
      <c r="AB35" s="1389">
        <f t="shared" si="4"/>
        <v>1</v>
      </c>
      <c r="AC35" s="1389">
        <f t="shared" si="5"/>
        <v>1</v>
      </c>
    </row>
    <row r="36" spans="1:29" ht="15">
      <c r="A36" s="2386" t="s">
        <v>2034</v>
      </c>
      <c r="B36" s="565" t="s">
        <v>500</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31"/>
      <c r="Q36" s="1385" t="str">
        <f>B36</f>
        <v>宗地面积</v>
      </c>
      <c r="R36" s="1386" t="s">
        <v>5</v>
      </c>
      <c r="S36" s="1387" t="e">
        <f t="shared" si="9"/>
        <v>#N/A</v>
      </c>
      <c r="T36" s="1386" t="s">
        <v>5</v>
      </c>
      <c r="U36" s="1387" t="e">
        <f t="shared" si="10"/>
        <v>#N/A</v>
      </c>
      <c r="V36" s="1386" t="s">
        <v>5</v>
      </c>
      <c r="W36" s="1387" t="e">
        <f t="shared" si="11"/>
        <v>#N/A</v>
      </c>
      <c r="X36" s="1380"/>
      <c r="Y36" s="3931"/>
      <c r="Z36" s="1388" t="str">
        <f t="shared" si="12"/>
        <v>宗地面积</v>
      </c>
      <c r="AA36" s="1389" t="e">
        <f t="shared" si="3"/>
        <v>#N/A</v>
      </c>
      <c r="AB36" s="1389" t="e">
        <f t="shared" si="4"/>
        <v>#N/A</v>
      </c>
      <c r="AC36" s="1389" t="e">
        <f t="shared" si="5"/>
        <v>#N/A</v>
      </c>
    </row>
    <row r="37" spans="1:29" ht="15">
      <c r="A37" s="564"/>
      <c r="B37" s="497" t="s">
        <v>501</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31"/>
      <c r="Q37" s="1385" t="str">
        <f t="shared" ref="Q37:Q42" si="13">B37</f>
        <v>宗地形状</v>
      </c>
      <c r="R37" s="1386" t="s">
        <v>5</v>
      </c>
      <c r="S37" s="1387">
        <f t="shared" si="9"/>
        <v>100</v>
      </c>
      <c r="T37" s="1386" t="s">
        <v>5</v>
      </c>
      <c r="U37" s="1387">
        <f t="shared" si="10"/>
        <v>100</v>
      </c>
      <c r="V37" s="1386" t="s">
        <v>5</v>
      </c>
      <c r="W37" s="1387">
        <f t="shared" si="11"/>
        <v>100</v>
      </c>
      <c r="X37" s="1380"/>
      <c r="Y37" s="3931"/>
      <c r="Z37" s="1388" t="str">
        <f t="shared" si="12"/>
        <v>宗地形状</v>
      </c>
      <c r="AA37" s="1389">
        <f t="shared" si="3"/>
        <v>1</v>
      </c>
      <c r="AB37" s="1389">
        <f t="shared" si="4"/>
        <v>1</v>
      </c>
      <c r="AC37" s="1389">
        <f t="shared" si="5"/>
        <v>1</v>
      </c>
    </row>
    <row r="38" spans="1:29" s="1118" customFormat="1" ht="15">
      <c r="A38" s="570"/>
      <c r="B38" s="1650" t="s">
        <v>1773</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1"/>
      <c r="Q38" s="1385" t="str">
        <f t="shared" si="13"/>
        <v>宗地开发程度</v>
      </c>
      <c r="R38" s="1381" t="s">
        <v>5</v>
      </c>
      <c r="S38" s="1382">
        <f t="shared" si="9"/>
        <v>100</v>
      </c>
      <c r="T38" s="1381" t="s">
        <v>5</v>
      </c>
      <c r="U38" s="1382">
        <f t="shared" si="10"/>
        <v>100</v>
      </c>
      <c r="V38" s="1381" t="s">
        <v>5</v>
      </c>
      <c r="W38" s="1382">
        <f t="shared" si="11"/>
        <v>100</v>
      </c>
      <c r="X38" s="1383"/>
      <c r="Y38" s="3931"/>
      <c r="Z38" s="1049" t="str">
        <f t="shared" si="12"/>
        <v>宗地开发程度</v>
      </c>
      <c r="AA38" s="1384">
        <f t="shared" si="3"/>
        <v>1</v>
      </c>
      <c r="AB38" s="1384">
        <f t="shared" si="4"/>
        <v>1</v>
      </c>
      <c r="AC38" s="1384">
        <f t="shared" si="5"/>
        <v>1</v>
      </c>
    </row>
    <row r="39" spans="1:29" ht="15">
      <c r="A39" s="564"/>
      <c r="B39" s="497" t="s">
        <v>503</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1" t="s">
        <v>548</v>
      </c>
      <c r="Q39" s="1385" t="str">
        <f t="shared" si="13"/>
        <v>工程地质条件</v>
      </c>
      <c r="R39" s="1386" t="s">
        <v>5</v>
      </c>
      <c r="S39" s="1387">
        <f t="shared" si="9"/>
        <v>100</v>
      </c>
      <c r="T39" s="1386" t="s">
        <v>5</v>
      </c>
      <c r="U39" s="1387">
        <f t="shared" si="10"/>
        <v>100</v>
      </c>
      <c r="V39" s="1386" t="s">
        <v>5</v>
      </c>
      <c r="W39" s="1387">
        <f t="shared" si="11"/>
        <v>100</v>
      </c>
      <c r="X39" s="1380"/>
      <c r="Y39" s="3931" t="s">
        <v>548</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1"/>
      <c r="Q40" s="1385">
        <f t="shared" si="13"/>
        <v>111</v>
      </c>
      <c r="R40" s="1386" t="s">
        <v>5</v>
      </c>
      <c r="S40" s="1387">
        <f t="shared" si="9"/>
        <v>100</v>
      </c>
      <c r="T40" s="1386" t="s">
        <v>5</v>
      </c>
      <c r="U40" s="1387">
        <f t="shared" si="10"/>
        <v>100</v>
      </c>
      <c r="V40" s="1386" t="s">
        <v>5</v>
      </c>
      <c r="W40" s="1387">
        <f t="shared" si="11"/>
        <v>100</v>
      </c>
      <c r="X40" s="1380"/>
      <c r="Y40" s="3931"/>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1"/>
      <c r="Q41" s="1385">
        <f t="shared" si="13"/>
        <v>111</v>
      </c>
      <c r="R41" s="1386" t="s">
        <v>5</v>
      </c>
      <c r="S41" s="1387">
        <f t="shared" si="9"/>
        <v>100</v>
      </c>
      <c r="T41" s="1386" t="s">
        <v>5</v>
      </c>
      <c r="U41" s="1387">
        <f t="shared" si="10"/>
        <v>100</v>
      </c>
      <c r="V41" s="1386" t="s">
        <v>5</v>
      </c>
      <c r="W41" s="1387">
        <f t="shared" si="11"/>
        <v>100</v>
      </c>
      <c r="X41" s="1380"/>
      <c r="Y41" s="3931"/>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1"/>
      <c r="Q42" s="1385">
        <f t="shared" si="13"/>
        <v>111</v>
      </c>
      <c r="R42" s="1390" t="s">
        <v>5</v>
      </c>
      <c r="S42" s="1391">
        <f t="shared" si="9"/>
        <v>100</v>
      </c>
      <c r="T42" s="1390" t="s">
        <v>5</v>
      </c>
      <c r="U42" s="1391">
        <f t="shared" si="10"/>
        <v>100</v>
      </c>
      <c r="V42" s="1390" t="s">
        <v>5</v>
      </c>
      <c r="W42" s="1391">
        <f t="shared" si="11"/>
        <v>100</v>
      </c>
      <c r="X42" s="1392"/>
      <c r="Y42" s="3931"/>
      <c r="Z42" s="1393">
        <f t="shared" si="12"/>
        <v>111</v>
      </c>
      <c r="AA42" s="1389">
        <f t="shared" si="3"/>
        <v>1</v>
      </c>
      <c r="AB42" s="1389">
        <f t="shared" si="4"/>
        <v>1</v>
      </c>
      <c r="AC42" s="1389">
        <f t="shared" si="5"/>
        <v>1</v>
      </c>
    </row>
    <row r="43" spans="1:29" ht="15">
      <c r="A43" s="577" t="s">
        <v>504</v>
      </c>
      <c r="B43" s="578" t="s">
        <v>2193</v>
      </c>
      <c r="C43" s="579" t="s">
        <v>0</v>
      </c>
      <c r="D43" s="580"/>
      <c r="E43" s="581"/>
      <c r="F43" s="582"/>
      <c r="G43" s="583"/>
      <c r="H43" s="584"/>
      <c r="I43" s="581"/>
      <c r="J43" s="584"/>
      <c r="K43" s="1201"/>
      <c r="L43" s="1866"/>
      <c r="M43" s="1856"/>
      <c r="N43" s="1856"/>
      <c r="O43" s="1867"/>
      <c r="P43" s="3895" t="str">
        <f>A43</f>
        <v>成交单价</v>
      </c>
      <c r="Q43" s="3895"/>
      <c r="R43" s="3896">
        <f>E43</f>
        <v>0</v>
      </c>
      <c r="S43" s="3896"/>
      <c r="T43" s="3896">
        <f>G43</f>
        <v>0</v>
      </c>
      <c r="U43" s="3896"/>
      <c r="V43" s="3896">
        <f>I43</f>
        <v>0</v>
      </c>
      <c r="W43" s="3896"/>
      <c r="X43" s="1375"/>
      <c r="Y43" s="1394"/>
      <c r="Z43" s="1375"/>
      <c r="AA43" s="1375"/>
      <c r="AB43" s="1375"/>
      <c r="AC43" s="1375"/>
    </row>
    <row r="44" spans="1:29" ht="15.75" thickBot="1">
      <c r="A44" s="585" t="s">
        <v>1972</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895" t="str">
        <f>A44</f>
        <v>比较价格（元/平方米）</v>
      </c>
      <c r="Q44" s="3895"/>
      <c r="R44" s="3897" t="e">
        <f>ROUND(PRODUCT(R43,AA9:AA42),0)</f>
        <v>#DIV/0!</v>
      </c>
      <c r="S44" s="3897"/>
      <c r="T44" s="3897" t="e">
        <f>ROUND(PRODUCT(T43,AB9:AB42),0)</f>
        <v>#DIV/0!</v>
      </c>
      <c r="U44" s="3897"/>
      <c r="V44" s="3897" t="e">
        <f>ROUND(PRODUCT(V43,AC9:AC42),0)</f>
        <v>#DIV/0!</v>
      </c>
      <c r="W44" s="3897"/>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6"/>
      <c r="M45" s="1856"/>
      <c r="N45" s="1856"/>
      <c r="O45" s="1867"/>
      <c r="P45" s="3932" t="str">
        <f>A45</f>
        <v>估价对象XX用房的比较价格（楼面单价，元/平方米）</v>
      </c>
      <c r="Q45" s="3933"/>
      <c r="R45" s="3944" t="e">
        <f>ROUND(IF(D44="简单平均",AVERAGE(R44:W44),R44*F44+T44*H44+V44*J44),0)</f>
        <v>#DIV/0!</v>
      </c>
      <c r="S45" s="3944"/>
      <c r="T45" s="3944"/>
      <c r="U45" s="3944"/>
      <c r="V45" s="3944"/>
      <c r="W45" s="3944"/>
      <c r="X45" s="1375"/>
      <c r="Y45" s="1375"/>
      <c r="Z45" s="1375"/>
      <c r="AA45" s="1375"/>
      <c r="AB45" s="1375"/>
      <c r="AC45" s="1375"/>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505</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506</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7"/>
      <c r="B50" s="2957"/>
      <c r="C50" s="592" t="s">
        <v>507</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508</v>
      </c>
      <c r="B52" s="598" t="s">
        <v>509</v>
      </c>
      <c r="C52" s="1376" t="s">
        <v>1252</v>
      </c>
      <c r="D52" s="1945" t="s">
        <v>1647</v>
      </c>
      <c r="E52" s="599" t="s">
        <v>510</v>
      </c>
      <c r="F52" s="1706" t="s">
        <v>511</v>
      </c>
      <c r="G52" s="3940" t="s">
        <v>1639</v>
      </c>
      <c r="H52" s="3941"/>
      <c r="I52" s="1707" t="s">
        <v>1464</v>
      </c>
      <c r="J52" s="1372">
        <f>项目基本情况!F41</f>
        <v>0</v>
      </c>
      <c r="K52" s="1875" t="s">
        <v>1251</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512</v>
      </c>
      <c r="B53" s="602" t="e">
        <f>C45</f>
        <v>#DIV/0!</v>
      </c>
      <c r="C53" s="603">
        <v>1</v>
      </c>
      <c r="D53" s="1946">
        <v>1</v>
      </c>
      <c r="E53" s="603">
        <f>'数据-汇总表'!E8+'数据-汇总表'!E9</f>
        <v>35564.46</v>
      </c>
      <c r="F53" s="1705" t="e">
        <f t="shared" ref="F53:F61" si="14">ROUND(B53*E53/10000,0)</f>
        <v>#DIV/0!</v>
      </c>
      <c r="G53" s="3942"/>
      <c r="H53" s="3943"/>
      <c r="I53" s="1708">
        <v>1</v>
      </c>
      <c r="J53" s="1373">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513</v>
      </c>
      <c r="B54" s="606" t="e">
        <f>ROUND($C$45*C54*D54,0)</f>
        <v>#DIV/0!</v>
      </c>
      <c r="C54" s="365">
        <f t="shared" ref="C54:C61" si="15">IF($C$52="北京市系数",I54,J54)</f>
        <v>0</v>
      </c>
      <c r="D54" s="1947">
        <v>0.25</v>
      </c>
      <c r="E54" s="607"/>
      <c r="F54" s="1705" t="e">
        <f t="shared" si="14"/>
        <v>#DIV/0!</v>
      </c>
      <c r="G54" s="3278" t="s">
        <v>1640</v>
      </c>
      <c r="H54" s="1709">
        <f>项目基本情况!B43</f>
        <v>0</v>
      </c>
      <c r="I54" s="1708">
        <f>SUMIF(修正!$A$57:$A$68,H54,修正!B57:B68)</f>
        <v>0</v>
      </c>
      <c r="J54" s="1374"/>
      <c r="K54" s="2961"/>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514</v>
      </c>
      <c r="B55" s="606" t="e">
        <f t="shared" ref="B55:B61" si="16">ROUND($C$45*C55*D55,0)</f>
        <v>#DIV/0!</v>
      </c>
      <c r="C55" s="365">
        <f t="shared" si="15"/>
        <v>0</v>
      </c>
      <c r="D55" s="1947">
        <v>0.25</v>
      </c>
      <c r="E55" s="607"/>
      <c r="F55" s="1705" t="e">
        <f t="shared" si="14"/>
        <v>#DIV/0!</v>
      </c>
      <c r="G55" s="3279"/>
      <c r="H55" s="1710">
        <f>项目基本情况!B43</f>
        <v>0</v>
      </c>
      <c r="I55" s="1708">
        <f>SUMIF(修正!$A$57:$A$68,H55,修正!C57:C68)</f>
        <v>0</v>
      </c>
      <c r="J55" s="1374"/>
      <c r="K55" s="2961"/>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515</v>
      </c>
      <c r="B56" s="606" t="e">
        <f t="shared" si="16"/>
        <v>#DIV/0!</v>
      </c>
      <c r="C56" s="365">
        <f t="shared" si="15"/>
        <v>0</v>
      </c>
      <c r="D56" s="1947">
        <v>0.25</v>
      </c>
      <c r="E56" s="607"/>
      <c r="F56" s="1705" t="e">
        <f t="shared" si="14"/>
        <v>#DIV/0!</v>
      </c>
      <c r="G56" s="3279"/>
      <c r="H56" s="1710">
        <f>项目基本情况!B43</f>
        <v>0</v>
      </c>
      <c r="I56" s="1708">
        <f>SUMIF(修正!$A$57:$A$68,H56,修正!D57:D68)</f>
        <v>0</v>
      </c>
      <c r="J56" s="1374"/>
      <c r="K56" s="2961"/>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1682</v>
      </c>
      <c r="B57" s="606" t="e">
        <f t="shared" si="16"/>
        <v>#DIV/0!</v>
      </c>
      <c r="C57" s="365">
        <f t="shared" si="15"/>
        <v>0</v>
      </c>
      <c r="D57" s="1947">
        <v>0.25</v>
      </c>
      <c r="E57" s="609">
        <f>'数据-汇总表'!E11</f>
        <v>0</v>
      </c>
      <c r="F57" s="1705" t="e">
        <f t="shared" si="14"/>
        <v>#DIV/0!</v>
      </c>
      <c r="G57" s="1711" t="s">
        <v>1641</v>
      </c>
      <c r="H57" s="1710">
        <f>项目基本情况!C43</f>
        <v>0</v>
      </c>
      <c r="I57" s="1708">
        <f>SUMIF(修正!$A$57:$A$68,H57,修正!E57:E68)</f>
        <v>0</v>
      </c>
      <c r="J57" s="1374"/>
      <c r="K57" s="2961"/>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516</v>
      </c>
      <c r="B58" s="606" t="e">
        <f t="shared" si="16"/>
        <v>#DIV/0!</v>
      </c>
      <c r="C58" s="365">
        <f t="shared" si="15"/>
        <v>0</v>
      </c>
      <c r="D58" s="1947">
        <v>0.25</v>
      </c>
      <c r="E58" s="609">
        <f>'数据-汇总表'!E12</f>
        <v>0</v>
      </c>
      <c r="F58" s="1705" t="e">
        <f t="shared" si="14"/>
        <v>#DIV/0!</v>
      </c>
      <c r="G58" s="1701" t="s">
        <v>1211</v>
      </c>
      <c r="H58" s="1709">
        <f>IF(G58="商业",项目基本情况!B43,IF(G58="办公",项目基本情况!C43,IF(G58="住宅",项目基本情况!D43,项目基本情况!E43)))</f>
        <v>0</v>
      </c>
      <c r="I58" s="1708">
        <f>SUMIF(修正!$A$57:$A$68,H58,修正!F57:F68)</f>
        <v>0</v>
      </c>
      <c r="J58" s="1374"/>
      <c r="K58" s="2961"/>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517</v>
      </c>
      <c r="B59" s="606" t="e">
        <f t="shared" si="16"/>
        <v>#DIV/0!</v>
      </c>
      <c r="C59" s="365">
        <f t="shared" si="15"/>
        <v>0</v>
      </c>
      <c r="D59" s="1947">
        <v>0.25</v>
      </c>
      <c r="E59" s="609">
        <f>'数据-汇总表'!E13</f>
        <v>5705</v>
      </c>
      <c r="F59" s="1705" t="e">
        <f t="shared" si="14"/>
        <v>#DIV/0!</v>
      </c>
      <c r="G59" s="1701" t="s">
        <v>850</v>
      </c>
      <c r="H59" s="1709">
        <f>IF(G59="商业",项目基本情况!B43,IF(G59="办公",项目基本情况!C43,IF(G59="住宅",项目基本情况!D43,项目基本情况!E43)))</f>
        <v>0</v>
      </c>
      <c r="I59" s="1708">
        <f>SUMIF(修正!$A$57:$A$68,H59,修正!G57:G68)</f>
        <v>0</v>
      </c>
      <c r="J59" s="1374"/>
      <c r="K59" s="2961"/>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518</v>
      </c>
      <c r="B60" s="606" t="e">
        <f t="shared" si="16"/>
        <v>#DIV/0!</v>
      </c>
      <c r="C60" s="365">
        <f t="shared" si="15"/>
        <v>0</v>
      </c>
      <c r="D60" s="1947">
        <v>0.25</v>
      </c>
      <c r="E60" s="609">
        <f>'数据-汇总表'!E14</f>
        <v>0</v>
      </c>
      <c r="F60" s="1705" t="e">
        <f t="shared" si="14"/>
        <v>#DIV/0!</v>
      </c>
      <c r="G60" s="1711" t="s">
        <v>1640</v>
      </c>
      <c r="H60" s="1710">
        <f>项目基本情况!B43</f>
        <v>0</v>
      </c>
      <c r="I60" s="1708">
        <f>SUMIF(修正!$A$57:$A$68,H60,修正!G57:G68)</f>
        <v>0</v>
      </c>
      <c r="J60" s="1374"/>
      <c r="K60" s="2961"/>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519</v>
      </c>
      <c r="B61" s="606" t="e">
        <f t="shared" si="16"/>
        <v>#DIV/0!</v>
      </c>
      <c r="C61" s="365">
        <f t="shared" si="15"/>
        <v>0</v>
      </c>
      <c r="D61" s="1947">
        <v>0.25</v>
      </c>
      <c r="E61" s="609">
        <f>'数据-汇总表'!E15</f>
        <v>0</v>
      </c>
      <c r="F61" s="1705" t="e">
        <f t="shared" si="14"/>
        <v>#DIV/0!</v>
      </c>
      <c r="G61" s="1712" t="s">
        <v>1641</v>
      </c>
      <c r="H61" s="1713">
        <f>项目基本情况!C43</f>
        <v>0</v>
      </c>
      <c r="I61" s="1708">
        <f>SUMIF(修正!$A$57:$A$68,H61,修正!G57:G68)</f>
        <v>0</v>
      </c>
      <c r="J61" s="1374"/>
      <c r="K61" s="2961"/>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520</v>
      </c>
      <c r="B62" s="611" t="s">
        <v>11</v>
      </c>
      <c r="C62" s="611" t="s">
        <v>12</v>
      </c>
      <c r="D62" s="611" t="s">
        <v>1648</v>
      </c>
      <c r="E62" s="611">
        <f>IF(B43="楼面地价",SUM(E53:E61),'数据-汇总表'!D3)</f>
        <v>22454.65</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7" t="s">
        <v>521</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1813</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1928</v>
      </c>
      <c r="B67" s="465" t="str">
        <f>"北京市平均增长率"&amp;TEXT(基准地价!P28,"0.00%")</f>
        <v>北京市平均增长率1.07%</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522</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479</v>
      </c>
      <c r="B69" s="616"/>
      <c r="C69" s="628" t="s">
        <v>523</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524</v>
      </c>
      <c r="B71" s="633" t="s">
        <v>482</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485</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486</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487</v>
      </c>
      <c r="B84" s="633" t="s">
        <v>549</v>
      </c>
      <c r="C84" s="671" t="s">
        <v>526</v>
      </c>
      <c r="D84" s="671" t="s">
        <v>527</v>
      </c>
      <c r="E84" s="671" t="s">
        <v>528</v>
      </c>
      <c r="F84" s="671" t="s">
        <v>529</v>
      </c>
      <c r="G84" s="671" t="s">
        <v>530</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533</v>
      </c>
      <c r="C86" s="676" t="s">
        <v>526</v>
      </c>
      <c r="D86" s="676" t="s">
        <v>527</v>
      </c>
      <c r="E86" s="676" t="s">
        <v>528</v>
      </c>
      <c r="F86" s="676" t="s">
        <v>529</v>
      </c>
      <c r="G86" s="676" t="s">
        <v>530</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534</v>
      </c>
      <c r="C88" s="676" t="s">
        <v>526</v>
      </c>
      <c r="D88" s="676" t="s">
        <v>527</v>
      </c>
      <c r="E88" s="676" t="s">
        <v>528</v>
      </c>
      <c r="F88" s="676" t="s">
        <v>529</v>
      </c>
      <c r="G88" s="676" t="s">
        <v>530</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535</v>
      </c>
      <c r="C90" s="671" t="s">
        <v>526</v>
      </c>
      <c r="D90" s="671" t="s">
        <v>527</v>
      </c>
      <c r="E90" s="671" t="s">
        <v>528</v>
      </c>
      <c r="F90" s="671" t="s">
        <v>529</v>
      </c>
      <c r="G90" s="671" t="s">
        <v>530</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1828</v>
      </c>
      <c r="C92" s="671" t="s">
        <v>526</v>
      </c>
      <c r="D92" s="671" t="s">
        <v>527</v>
      </c>
      <c r="E92" s="671" t="s">
        <v>528</v>
      </c>
      <c r="F92" s="671" t="s">
        <v>529</v>
      </c>
      <c r="G92" s="671" t="s">
        <v>530</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1830</v>
      </c>
      <c r="C94" s="2205" t="s">
        <v>1831</v>
      </c>
      <c r="D94" s="2205" t="s">
        <v>1832</v>
      </c>
      <c r="E94" s="2205" t="s">
        <v>1833</v>
      </c>
      <c r="F94" s="2205" t="s">
        <v>1834</v>
      </c>
      <c r="G94" s="2205" t="s">
        <v>1835</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536</v>
      </c>
      <c r="D96" s="642" t="s">
        <v>537</v>
      </c>
      <c r="E96" s="642" t="s">
        <v>538</v>
      </c>
      <c r="F96" s="642" t="s">
        <v>539</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496</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497</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499</v>
      </c>
      <c r="B108" s="633" t="s">
        <v>540</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541</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1774</v>
      </c>
      <c r="C113" s="1233"/>
      <c r="D113" s="1233"/>
      <c r="E113" s="1233"/>
      <c r="F113" s="1233"/>
      <c r="G113" s="1233"/>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543</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989</v>
      </c>
      <c r="C1" s="1013" t="s">
        <v>1030</v>
      </c>
      <c r="D1" s="1013" t="s">
        <v>1144</v>
      </c>
      <c r="E1" s="1013" t="s">
        <v>852</v>
      </c>
      <c r="F1" s="1013" t="s">
        <v>1151</v>
      </c>
      <c r="G1" s="1013" t="s">
        <v>1152</v>
      </c>
      <c r="H1" s="1013" t="s">
        <v>1153</v>
      </c>
      <c r="I1" s="1013" t="s">
        <v>1154</v>
      </c>
      <c r="J1" s="1013" t="s">
        <v>1155</v>
      </c>
      <c r="K1" s="1013" t="s">
        <v>1156</v>
      </c>
      <c r="L1" s="1013" t="s">
        <v>2761</v>
      </c>
      <c r="M1" s="1014" t="s">
        <v>2762</v>
      </c>
    </row>
    <row r="2" spans="1:13">
      <c r="A2" s="3233" t="s">
        <v>2737</v>
      </c>
      <c r="B2" s="3234">
        <v>3.5</v>
      </c>
      <c r="C2" s="3234">
        <v>3.5</v>
      </c>
      <c r="D2" s="3235">
        <v>2.5</v>
      </c>
      <c r="E2" s="3235">
        <v>2.5</v>
      </c>
      <c r="F2" s="3235">
        <v>2.5</v>
      </c>
      <c r="G2" s="3235">
        <v>2.5</v>
      </c>
      <c r="H2" s="3235">
        <v>2.5</v>
      </c>
      <c r="I2" s="3234">
        <v>2</v>
      </c>
      <c r="J2" s="3234">
        <v>2</v>
      </c>
      <c r="K2" s="3234">
        <v>2</v>
      </c>
      <c r="L2" s="3234">
        <v>2</v>
      </c>
      <c r="M2" s="3236">
        <v>2</v>
      </c>
    </row>
    <row r="3" spans="1:13">
      <c r="A3" s="3237" t="s">
        <v>1211</v>
      </c>
      <c r="B3" s="3238">
        <v>3.5</v>
      </c>
      <c r="C3" s="3238">
        <v>3.5</v>
      </c>
      <c r="D3" s="3239">
        <v>2.5</v>
      </c>
      <c r="E3" s="3239">
        <v>2.5</v>
      </c>
      <c r="F3" s="3239">
        <v>2.5</v>
      </c>
      <c r="G3" s="3239">
        <v>2.5</v>
      </c>
      <c r="H3" s="3239">
        <v>2.5</v>
      </c>
      <c r="I3" s="3238">
        <v>2</v>
      </c>
      <c r="J3" s="3238">
        <v>2</v>
      </c>
      <c r="K3" s="3238">
        <v>2</v>
      </c>
      <c r="L3" s="3238">
        <v>2</v>
      </c>
      <c r="M3" s="3240">
        <v>2</v>
      </c>
    </row>
    <row r="4" spans="1:13">
      <c r="A4" s="3237" t="s">
        <v>850</v>
      </c>
      <c r="B4" s="3239">
        <v>2.5</v>
      </c>
      <c r="C4" s="3239">
        <v>2.5</v>
      </c>
      <c r="D4" s="3239">
        <v>2.5</v>
      </c>
      <c r="E4" s="3239">
        <v>2.5</v>
      </c>
      <c r="F4" s="3239">
        <v>2.5</v>
      </c>
      <c r="G4" s="3239">
        <v>2.5</v>
      </c>
      <c r="H4" s="3239">
        <v>2.5</v>
      </c>
      <c r="I4" s="3238">
        <v>1.5</v>
      </c>
      <c r="J4" s="3238">
        <v>1.5</v>
      </c>
      <c r="K4" s="3238">
        <v>1.5</v>
      </c>
      <c r="L4" s="3238">
        <v>1.5</v>
      </c>
      <c r="M4" s="3240">
        <v>1.5</v>
      </c>
    </row>
    <row r="5" spans="1:13">
      <c r="A5" s="3241" t="s">
        <v>904</v>
      </c>
      <c r="B5" s="3238">
        <v>1.5</v>
      </c>
      <c r="C5" s="3238">
        <v>1.5</v>
      </c>
      <c r="D5" s="3238">
        <v>1.5</v>
      </c>
      <c r="E5" s="3238">
        <v>1.5</v>
      </c>
      <c r="F5" s="3238">
        <v>1.5</v>
      </c>
      <c r="G5" s="3238">
        <v>1.2</v>
      </c>
      <c r="H5" s="3238">
        <v>1.2</v>
      </c>
      <c r="I5" s="3238">
        <v>1</v>
      </c>
      <c r="J5" s="3238">
        <v>1</v>
      </c>
      <c r="K5" s="3238">
        <v>1</v>
      </c>
      <c r="L5" s="3238">
        <v>1</v>
      </c>
      <c r="M5" s="3240">
        <v>1</v>
      </c>
    </row>
    <row r="6" spans="1:13">
      <c r="A6" s="3242" t="s">
        <v>2763</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2735</v>
      </c>
      <c r="B7" s="3247">
        <v>2.5</v>
      </c>
      <c r="C7" s="3247">
        <v>2.5</v>
      </c>
      <c r="D7" s="3247">
        <v>2</v>
      </c>
      <c r="E7" s="3247">
        <v>2</v>
      </c>
      <c r="F7" s="3247">
        <v>2</v>
      </c>
      <c r="G7" s="3247">
        <v>2</v>
      </c>
      <c r="H7" s="3247">
        <v>2</v>
      </c>
      <c r="I7" s="3248">
        <v>1.5</v>
      </c>
      <c r="J7" s="3248">
        <v>1.5</v>
      </c>
      <c r="K7" s="3248">
        <v>1.5</v>
      </c>
      <c r="L7" s="3248">
        <v>1.5</v>
      </c>
      <c r="M7" s="3249">
        <v>1.5</v>
      </c>
    </row>
    <row r="8" spans="1:13">
      <c r="A8" s="1027" t="s">
        <v>2764</v>
      </c>
      <c r="B8" s="3250">
        <v>80</v>
      </c>
      <c r="C8" s="3250">
        <v>80</v>
      </c>
      <c r="D8" s="3250">
        <v>70</v>
      </c>
      <c r="E8" s="3250">
        <v>70</v>
      </c>
      <c r="F8" s="3250">
        <v>70</v>
      </c>
      <c r="G8" s="3250">
        <v>70</v>
      </c>
      <c r="H8" s="3250">
        <v>70</v>
      </c>
      <c r="I8" s="3250">
        <v>60</v>
      </c>
      <c r="J8" s="3250">
        <v>60</v>
      </c>
      <c r="K8" s="3250">
        <v>60</v>
      </c>
      <c r="L8" s="3250">
        <v>60</v>
      </c>
      <c r="M8" s="3251">
        <v>60</v>
      </c>
    </row>
    <row r="9" spans="1:13">
      <c r="A9" s="1009" t="s">
        <v>2765</v>
      </c>
      <c r="B9" s="3252">
        <v>70</v>
      </c>
      <c r="C9" s="3252">
        <v>70</v>
      </c>
      <c r="D9" s="3252">
        <v>60</v>
      </c>
      <c r="E9" s="3252">
        <v>60</v>
      </c>
      <c r="F9" s="3252">
        <v>60</v>
      </c>
      <c r="G9" s="3252">
        <v>60</v>
      </c>
      <c r="H9" s="3252">
        <v>60</v>
      </c>
      <c r="I9" s="3252">
        <v>50</v>
      </c>
      <c r="J9" s="3252">
        <v>50</v>
      </c>
      <c r="K9" s="3252">
        <v>50</v>
      </c>
      <c r="L9" s="3252">
        <v>50</v>
      </c>
      <c r="M9" s="3253">
        <v>50</v>
      </c>
    </row>
    <row r="10" spans="1:13">
      <c r="A10" s="1009" t="s">
        <v>2766</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2767</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2768</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2769</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2770</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2771</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1159</v>
      </c>
      <c r="B18" s="1030"/>
      <c r="C18" s="1031"/>
      <c r="D18" s="1031"/>
      <c r="E18" s="1030"/>
      <c r="F18" s="1031"/>
      <c r="G18" s="1031"/>
    </row>
    <row r="19" spans="1:13" ht="14.25" thickBot="1">
      <c r="A19" s="3254" t="s">
        <v>2454</v>
      </c>
      <c r="B19" s="3256" t="s">
        <v>2455</v>
      </c>
      <c r="C19" s="3257" t="s">
        <v>2456</v>
      </c>
      <c r="D19" s="3258"/>
      <c r="E19" s="3252" t="s">
        <v>2457</v>
      </c>
      <c r="F19" s="1033"/>
      <c r="G19" s="1033"/>
    </row>
    <row r="20" spans="1:13" s="1408" customFormat="1">
      <c r="A20" s="3945" t="s">
        <v>2448</v>
      </c>
      <c r="B20" s="3948" t="s">
        <v>2458</v>
      </c>
      <c r="C20" s="3259" t="s">
        <v>2459</v>
      </c>
      <c r="D20" s="3260"/>
      <c r="E20" s="3261">
        <v>1</v>
      </c>
      <c r="F20" s="3262" t="s">
        <v>2460</v>
      </c>
      <c r="G20" s="1035"/>
      <c r="H20" s="1025"/>
      <c r="I20" s="1025"/>
    </row>
    <row r="21" spans="1:13" s="1408" customFormat="1">
      <c r="A21" s="3946"/>
      <c r="B21" s="3949"/>
      <c r="C21" s="3263" t="s">
        <v>2461</v>
      </c>
      <c r="D21" s="3264"/>
      <c r="E21" s="3265">
        <v>1</v>
      </c>
      <c r="F21" s="3262" t="s">
        <v>2462</v>
      </c>
      <c r="G21" s="1035"/>
      <c r="H21" s="1025"/>
      <c r="I21" s="1025"/>
    </row>
    <row r="22" spans="1:13" s="1408" customFormat="1">
      <c r="A22" s="3946"/>
      <c r="B22" s="3949"/>
      <c r="C22" s="3263" t="s">
        <v>2463</v>
      </c>
      <c r="D22" s="3264"/>
      <c r="E22" s="3265">
        <v>0.9</v>
      </c>
      <c r="F22" s="3262" t="s">
        <v>2464</v>
      </c>
      <c r="G22" s="1035"/>
      <c r="H22" s="1025"/>
      <c r="I22" s="1025"/>
    </row>
    <row r="23" spans="1:13" s="1408" customFormat="1">
      <c r="A23" s="3946"/>
      <c r="B23" s="3949"/>
      <c r="C23" s="3263" t="s">
        <v>2465</v>
      </c>
      <c r="D23" s="3264"/>
      <c r="E23" s="3265">
        <v>0.9</v>
      </c>
      <c r="F23" s="3262" t="s">
        <v>2466</v>
      </c>
      <c r="G23" s="1035"/>
      <c r="H23" s="1025"/>
      <c r="I23" s="1025"/>
    </row>
    <row r="24" spans="1:13" s="1408" customFormat="1">
      <c r="A24" s="3946"/>
      <c r="B24" s="3949"/>
      <c r="C24" s="3263" t="s">
        <v>2467</v>
      </c>
      <c r="D24" s="3264"/>
      <c r="E24" s="3265">
        <v>0.8</v>
      </c>
      <c r="F24" s="3262" t="s">
        <v>2468</v>
      </c>
      <c r="G24" s="1035"/>
      <c r="H24" s="1025"/>
      <c r="I24" s="1025"/>
    </row>
    <row r="25" spans="1:13" s="1408" customFormat="1" ht="14.25" thickBot="1">
      <c r="A25" s="3947"/>
      <c r="B25" s="3950"/>
      <c r="C25" s="3266" t="s">
        <v>2469</v>
      </c>
      <c r="D25" s="3267"/>
      <c r="E25" s="3268">
        <v>0.8</v>
      </c>
      <c r="F25" s="3262" t="s">
        <v>2470</v>
      </c>
      <c r="G25" s="1035"/>
      <c r="H25" s="1025"/>
      <c r="I25" s="1025"/>
    </row>
    <row r="26" spans="1:13" s="1408" customFormat="1" ht="14.25" thickBot="1">
      <c r="A26" s="3269" t="s">
        <v>2449</v>
      </c>
      <c r="B26" s="3270" t="s">
        <v>2458</v>
      </c>
      <c r="C26" s="3271" t="s">
        <v>2471</v>
      </c>
      <c r="D26" s="3272"/>
      <c r="E26" s="3273">
        <v>1</v>
      </c>
      <c r="F26" s="3262" t="s">
        <v>2472</v>
      </c>
      <c r="G26" s="1035"/>
      <c r="H26" s="1025"/>
      <c r="I26" s="1025"/>
    </row>
    <row r="27" spans="1:13" s="1408" customFormat="1">
      <c r="A27" s="3951" t="s">
        <v>2453</v>
      </c>
      <c r="B27" s="3948" t="s">
        <v>2453</v>
      </c>
      <c r="C27" s="3259" t="s">
        <v>2473</v>
      </c>
      <c r="D27" s="3260"/>
      <c r="E27" s="3261">
        <v>1</v>
      </c>
      <c r="F27" s="3262" t="s">
        <v>2474</v>
      </c>
      <c r="G27" s="1035"/>
      <c r="H27" s="1025"/>
      <c r="I27" s="1025"/>
    </row>
    <row r="28" spans="1:13" s="1408" customFormat="1">
      <c r="A28" s="3952"/>
      <c r="B28" s="3949"/>
      <c r="C28" s="3263" t="s">
        <v>2475</v>
      </c>
      <c r="D28" s="3264"/>
      <c r="E28" s="3265">
        <v>1</v>
      </c>
      <c r="F28" s="3262" t="s">
        <v>2476</v>
      </c>
      <c r="G28" s="1035"/>
      <c r="H28" s="1025"/>
      <c r="I28" s="1025"/>
    </row>
    <row r="29" spans="1:13" s="1408" customFormat="1">
      <c r="A29" s="3952"/>
      <c r="B29" s="3949"/>
      <c r="C29" s="3263" t="s">
        <v>2477</v>
      </c>
      <c r="D29" s="3264"/>
      <c r="E29" s="3265">
        <v>0.8</v>
      </c>
      <c r="F29" s="3262" t="s">
        <v>2478</v>
      </c>
      <c r="G29" s="1035"/>
      <c r="H29" s="1025"/>
      <c r="I29" s="1025"/>
    </row>
    <row r="30" spans="1:13" s="1408" customFormat="1">
      <c r="A30" s="3952"/>
      <c r="B30" s="3949"/>
      <c r="C30" s="3263" t="s">
        <v>2479</v>
      </c>
      <c r="D30" s="3264"/>
      <c r="E30" s="3265">
        <v>0.8</v>
      </c>
      <c r="F30" s="3262" t="s">
        <v>2480</v>
      </c>
      <c r="G30" s="1035"/>
      <c r="H30" s="1025"/>
      <c r="I30" s="1025"/>
    </row>
    <row r="31" spans="1:13" s="1408" customFormat="1">
      <c r="A31" s="3952"/>
      <c r="B31" s="3949"/>
      <c r="C31" s="3263" t="s">
        <v>2481</v>
      </c>
      <c r="D31" s="3264"/>
      <c r="E31" s="3265">
        <v>0.8</v>
      </c>
      <c r="F31" s="3262" t="s">
        <v>2482</v>
      </c>
      <c r="G31" s="1035"/>
      <c r="H31" s="1025"/>
      <c r="I31" s="1025"/>
    </row>
    <row r="32" spans="1:13" s="1408" customFormat="1">
      <c r="A32" s="3952"/>
      <c r="B32" s="3949"/>
      <c r="C32" s="3263" t="s">
        <v>2483</v>
      </c>
      <c r="D32" s="3264"/>
      <c r="E32" s="3265">
        <v>0.7</v>
      </c>
      <c r="F32" s="3262" t="s">
        <v>2484</v>
      </c>
      <c r="G32" s="1035"/>
      <c r="H32" s="1025"/>
      <c r="I32" s="1025"/>
    </row>
    <row r="33" spans="1:9" s="1408" customFormat="1">
      <c r="A33" s="3952"/>
      <c r="B33" s="3949"/>
      <c r="C33" s="3263" t="s">
        <v>2485</v>
      </c>
      <c r="D33" s="3264"/>
      <c r="E33" s="3265">
        <v>0.8</v>
      </c>
      <c r="F33" s="3262" t="s">
        <v>2486</v>
      </c>
      <c r="G33" s="1035"/>
      <c r="H33" s="1025"/>
      <c r="I33" s="1025"/>
    </row>
    <row r="34" spans="1:9" s="1408" customFormat="1">
      <c r="A34" s="3952"/>
      <c r="B34" s="3949"/>
      <c r="C34" s="3263" t="s">
        <v>2487</v>
      </c>
      <c r="D34" s="3264"/>
      <c r="E34" s="3265">
        <v>0.6</v>
      </c>
      <c r="F34" s="3262" t="s">
        <v>2488</v>
      </c>
      <c r="G34" s="1035"/>
      <c r="H34" s="1025"/>
      <c r="I34" s="1025"/>
    </row>
    <row r="35" spans="1:9" s="1408" customFormat="1">
      <c r="A35" s="3952"/>
      <c r="B35" s="3949"/>
      <c r="C35" s="3263" t="s">
        <v>2489</v>
      </c>
      <c r="D35" s="3264"/>
      <c r="E35" s="3265">
        <v>0.2</v>
      </c>
      <c r="F35" s="3262" t="s">
        <v>2490</v>
      </c>
      <c r="G35" s="1035"/>
      <c r="H35" s="1025"/>
      <c r="I35" s="1025"/>
    </row>
    <row r="36" spans="1:9" s="1408" customFormat="1">
      <c r="A36" s="3952"/>
      <c r="B36" s="3949"/>
      <c r="C36" s="3263" t="s">
        <v>2491</v>
      </c>
      <c r="D36" s="3264"/>
      <c r="E36" s="3265">
        <v>0.2</v>
      </c>
      <c r="F36" s="3262" t="s">
        <v>2492</v>
      </c>
      <c r="G36" s="1035"/>
      <c r="H36" s="1025"/>
      <c r="I36" s="1025"/>
    </row>
    <row r="37" spans="1:9" s="1408" customFormat="1">
      <c r="A37" s="3952"/>
      <c r="B37" s="3954" t="s">
        <v>2493</v>
      </c>
      <c r="C37" s="3263" t="s">
        <v>2494</v>
      </c>
      <c r="D37" s="3264"/>
      <c r="E37" s="3265">
        <v>0.6</v>
      </c>
      <c r="F37" s="3262" t="s">
        <v>2495</v>
      </c>
      <c r="G37" s="1035"/>
      <c r="H37" s="1025"/>
      <c r="I37" s="1025"/>
    </row>
    <row r="38" spans="1:9" s="1408" customFormat="1">
      <c r="A38" s="3952"/>
      <c r="B38" s="3949"/>
      <c r="C38" s="3263" t="s">
        <v>2496</v>
      </c>
      <c r="D38" s="3264"/>
      <c r="E38" s="3265">
        <v>0.6</v>
      </c>
      <c r="F38" s="3262" t="s">
        <v>2497</v>
      </c>
      <c r="G38" s="1035"/>
      <c r="H38" s="1025"/>
      <c r="I38" s="1025"/>
    </row>
    <row r="39" spans="1:9" s="1408" customFormat="1" ht="14.25" thickBot="1">
      <c r="A39" s="3953"/>
      <c r="B39" s="3950"/>
      <c r="C39" s="3266" t="s">
        <v>2498</v>
      </c>
      <c r="D39" s="3267"/>
      <c r="E39" s="3268">
        <v>0.6</v>
      </c>
      <c r="F39" s="3262" t="s">
        <v>2499</v>
      </c>
      <c r="G39" s="1035"/>
      <c r="H39" s="1025"/>
      <c r="I39" s="1025"/>
    </row>
    <row r="40" spans="1:9" s="1408" customFormat="1" ht="14.25" thickBot="1">
      <c r="A40" s="3269" t="s">
        <v>2450</v>
      </c>
      <c r="B40" s="3270" t="s">
        <v>2450</v>
      </c>
      <c r="C40" s="3271" t="s">
        <v>2500</v>
      </c>
      <c r="D40" s="3272"/>
      <c r="E40" s="3273">
        <v>1</v>
      </c>
      <c r="F40" s="3262" t="s">
        <v>2501</v>
      </c>
      <c r="G40" s="1035"/>
      <c r="H40" s="1025"/>
      <c r="I40" s="1025"/>
    </row>
    <row r="41" spans="1:9" s="1408" customFormat="1">
      <c r="A41" s="3945" t="s">
        <v>2451</v>
      </c>
      <c r="B41" s="3948" t="s">
        <v>2502</v>
      </c>
      <c r="C41" s="3259" t="s">
        <v>2503</v>
      </c>
      <c r="D41" s="3260"/>
      <c r="E41" s="3261">
        <v>1</v>
      </c>
      <c r="F41" s="3262" t="s">
        <v>2504</v>
      </c>
      <c r="G41" s="1035"/>
      <c r="H41" s="1025"/>
      <c r="I41" s="1025"/>
    </row>
    <row r="42" spans="1:9" s="1408" customFormat="1">
      <c r="A42" s="3946"/>
      <c r="B42" s="3949"/>
      <c r="C42" s="3263" t="s">
        <v>2505</v>
      </c>
      <c r="D42" s="3264"/>
      <c r="E42" s="3265">
        <v>1</v>
      </c>
      <c r="F42" s="3262" t="s">
        <v>2506</v>
      </c>
      <c r="G42" s="1035"/>
      <c r="H42" s="1025"/>
      <c r="I42" s="1025"/>
    </row>
    <row r="43" spans="1:9" s="1408" customFormat="1">
      <c r="A43" s="3946"/>
      <c r="B43" s="3955"/>
      <c r="C43" s="3263" t="s">
        <v>2507</v>
      </c>
      <c r="D43" s="3264"/>
      <c r="E43" s="3265">
        <v>1.5</v>
      </c>
      <c r="F43" s="3262" t="s">
        <v>2508</v>
      </c>
      <c r="G43" s="1035"/>
      <c r="H43" s="1025"/>
      <c r="I43" s="1025"/>
    </row>
    <row r="44" spans="1:9" s="1408" customFormat="1">
      <c r="A44" s="3946"/>
      <c r="B44" s="3274" t="s">
        <v>2453</v>
      </c>
      <c r="C44" s="3263" t="s">
        <v>2452</v>
      </c>
      <c r="D44" s="3264"/>
      <c r="E44" s="3265">
        <v>2</v>
      </c>
      <c r="F44" s="3262" t="s">
        <v>2509</v>
      </c>
      <c r="G44" s="1035"/>
      <c r="H44" s="1025"/>
      <c r="I44" s="1025"/>
    </row>
    <row r="45" spans="1:9" s="1408" customFormat="1">
      <c r="A45" s="3946"/>
      <c r="B45" s="3954" t="s">
        <v>2510</v>
      </c>
      <c r="C45" s="3263" t="s">
        <v>2511</v>
      </c>
      <c r="D45" s="3264"/>
      <c r="E45" s="3265">
        <v>1</v>
      </c>
      <c r="F45" s="3262" t="s">
        <v>2512</v>
      </c>
      <c r="G45" s="1035"/>
      <c r="H45" s="1025"/>
      <c r="I45" s="1025"/>
    </row>
    <row r="46" spans="1:9" s="1408" customFormat="1">
      <c r="A46" s="3946"/>
      <c r="B46" s="3949"/>
      <c r="C46" s="3263" t="s">
        <v>2513</v>
      </c>
      <c r="D46" s="3264"/>
      <c r="E46" s="3265">
        <v>1</v>
      </c>
      <c r="F46" s="3262" t="s">
        <v>2514</v>
      </c>
      <c r="G46" s="1035"/>
      <c r="H46" s="1025"/>
      <c r="I46" s="1025"/>
    </row>
    <row r="47" spans="1:9" s="1408" customFormat="1">
      <c r="A47" s="3946"/>
      <c r="B47" s="3949"/>
      <c r="C47" s="3263" t="s">
        <v>2515</v>
      </c>
      <c r="D47" s="3264"/>
      <c r="E47" s="3265">
        <v>1</v>
      </c>
      <c r="F47" s="3262" t="s">
        <v>2516</v>
      </c>
      <c r="G47" s="1035"/>
      <c r="H47" s="1025"/>
      <c r="I47" s="1025"/>
    </row>
    <row r="48" spans="1:9" s="1408" customFormat="1">
      <c r="A48" s="3946"/>
      <c r="B48" s="3949"/>
      <c r="C48" s="3263" t="s">
        <v>2517</v>
      </c>
      <c r="D48" s="3264"/>
      <c r="E48" s="3265">
        <v>1</v>
      </c>
      <c r="F48" s="3262" t="s">
        <v>2518</v>
      </c>
      <c r="G48" s="1035"/>
      <c r="H48" s="1025"/>
      <c r="I48" s="1025"/>
    </row>
    <row r="49" spans="1:9" s="1408" customFormat="1">
      <c r="A49" s="3946"/>
      <c r="B49" s="3949"/>
      <c r="C49" s="3263" t="s">
        <v>2519</v>
      </c>
      <c r="D49" s="3264"/>
      <c r="E49" s="3265">
        <v>1</v>
      </c>
      <c r="F49" s="3262" t="s">
        <v>2520</v>
      </c>
      <c r="G49" s="1035"/>
      <c r="H49" s="1025"/>
      <c r="I49" s="1025"/>
    </row>
    <row r="50" spans="1:9" s="1408" customFormat="1">
      <c r="A50" s="3946"/>
      <c r="B50" s="3949"/>
      <c r="C50" s="3263" t="s">
        <v>2521</v>
      </c>
      <c r="D50" s="3264"/>
      <c r="E50" s="3265">
        <v>1</v>
      </c>
      <c r="F50" s="3262" t="s">
        <v>2522</v>
      </c>
      <c r="G50" s="1035"/>
      <c r="H50" s="1025"/>
      <c r="I50" s="1025"/>
    </row>
    <row r="51" spans="1:9" s="1408" customFormat="1" ht="14.25" thickBot="1">
      <c r="A51" s="3947"/>
      <c r="B51" s="3950"/>
      <c r="C51" s="3266" t="s">
        <v>2523</v>
      </c>
      <c r="D51" s="3267"/>
      <c r="E51" s="3268">
        <v>1</v>
      </c>
      <c r="F51" s="3262" t="s">
        <v>2524</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2773</v>
      </c>
      <c r="F56" s="1032" t="s">
        <v>2773</v>
      </c>
      <c r="G56" s="1032" t="s">
        <v>2773</v>
      </c>
      <c r="I56" s="1008"/>
    </row>
    <row r="57" spans="1:9">
      <c r="A57" s="1051" t="s">
        <v>835</v>
      </c>
      <c r="B57" s="3252">
        <v>0.7</v>
      </c>
      <c r="C57" s="3252">
        <v>0.4</v>
      </c>
      <c r="D57" s="3252">
        <v>0.3</v>
      </c>
      <c r="E57" s="3258">
        <v>0.3</v>
      </c>
      <c r="F57" s="3252">
        <v>0.3</v>
      </c>
      <c r="G57" s="3252">
        <v>0.2</v>
      </c>
      <c r="I57" s="1008"/>
    </row>
    <row r="58" spans="1:9">
      <c r="A58" s="1051" t="s">
        <v>836</v>
      </c>
      <c r="B58" s="3252">
        <v>0.7</v>
      </c>
      <c r="C58" s="3252">
        <v>0.4</v>
      </c>
      <c r="D58" s="3252">
        <v>0.3</v>
      </c>
      <c r="E58" s="3252">
        <v>0.3</v>
      </c>
      <c r="F58" s="3252">
        <v>0.3</v>
      </c>
      <c r="G58" s="3252">
        <v>0.2</v>
      </c>
      <c r="I58" s="1008"/>
    </row>
    <row r="59" spans="1:9">
      <c r="A59" s="1051" t="s">
        <v>837</v>
      </c>
      <c r="B59" s="3252">
        <v>0.6</v>
      </c>
      <c r="C59" s="3252">
        <v>0.3</v>
      </c>
      <c r="D59" s="3252">
        <v>0.25</v>
      </c>
      <c r="E59" s="3252">
        <v>0.25</v>
      </c>
      <c r="F59" s="3252">
        <v>0.25</v>
      </c>
      <c r="G59" s="3252">
        <v>0.15</v>
      </c>
      <c r="I59" s="1008"/>
    </row>
    <row r="60" spans="1:9">
      <c r="A60" s="1051" t="s">
        <v>838</v>
      </c>
      <c r="B60" s="3252">
        <v>0.6</v>
      </c>
      <c r="C60" s="3252">
        <v>0.3</v>
      </c>
      <c r="D60" s="3252">
        <v>0.25</v>
      </c>
      <c r="E60" s="3252">
        <v>0.25</v>
      </c>
      <c r="F60" s="3252">
        <v>0.25</v>
      </c>
      <c r="G60" s="3252">
        <v>0.15</v>
      </c>
      <c r="I60" s="1008"/>
    </row>
    <row r="61" spans="1:9" s="1025" customFormat="1">
      <c r="A61" s="1051" t="s">
        <v>839</v>
      </c>
      <c r="B61" s="3252">
        <v>0.6</v>
      </c>
      <c r="C61" s="3252">
        <v>0.3</v>
      </c>
      <c r="D61" s="3252">
        <v>0.25</v>
      </c>
      <c r="E61" s="3252">
        <v>0.25</v>
      </c>
      <c r="F61" s="3252">
        <v>0.25</v>
      </c>
      <c r="G61" s="3252">
        <v>0.15</v>
      </c>
    </row>
    <row r="62" spans="1:9" s="1025" customFormat="1">
      <c r="A62" s="1051" t="s">
        <v>840</v>
      </c>
      <c r="B62" s="3252">
        <v>0.6</v>
      </c>
      <c r="C62" s="3252">
        <v>0.3</v>
      </c>
      <c r="D62" s="3252">
        <v>0.25</v>
      </c>
      <c r="E62" s="3252">
        <v>0.25</v>
      </c>
      <c r="F62" s="3252">
        <v>0.25</v>
      </c>
      <c r="G62" s="3252">
        <v>0.15</v>
      </c>
    </row>
    <row r="63" spans="1:9" s="1025" customFormat="1">
      <c r="A63" s="1051" t="s">
        <v>841</v>
      </c>
      <c r="B63" s="3252">
        <v>0.6</v>
      </c>
      <c r="C63" s="3252">
        <v>0.3</v>
      </c>
      <c r="D63" s="3252">
        <v>0.25</v>
      </c>
      <c r="E63" s="3252">
        <v>0.25</v>
      </c>
      <c r="F63" s="3252">
        <v>0.25</v>
      </c>
      <c r="G63" s="3252">
        <v>0.15</v>
      </c>
    </row>
    <row r="64" spans="1:9" s="1025" customFormat="1">
      <c r="A64" s="1051" t="s">
        <v>842</v>
      </c>
      <c r="B64" s="3252">
        <v>0.5</v>
      </c>
      <c r="C64" s="3252">
        <v>0.2</v>
      </c>
      <c r="D64" s="3252">
        <v>0.2</v>
      </c>
      <c r="E64" s="3252">
        <v>0.2</v>
      </c>
      <c r="F64" s="3252">
        <v>0.2</v>
      </c>
      <c r="G64" s="3252">
        <v>0.1</v>
      </c>
    </row>
    <row r="65" spans="1:8" s="1025" customFormat="1">
      <c r="A65" s="1051" t="s">
        <v>843</v>
      </c>
      <c r="B65" s="3252">
        <v>0.5</v>
      </c>
      <c r="C65" s="3252">
        <v>0.2</v>
      </c>
      <c r="D65" s="3252">
        <v>0.2</v>
      </c>
      <c r="E65" s="3252">
        <v>0.2</v>
      </c>
      <c r="F65" s="3252">
        <v>0.2</v>
      </c>
      <c r="G65" s="3252">
        <v>0.1</v>
      </c>
    </row>
    <row r="66" spans="1:8" s="1025" customFormat="1">
      <c r="A66" s="1051" t="s">
        <v>844</v>
      </c>
      <c r="B66" s="3252">
        <v>0.5</v>
      </c>
      <c r="C66" s="3252">
        <v>0.2</v>
      </c>
      <c r="D66" s="3252">
        <v>0.2</v>
      </c>
      <c r="E66" s="3252">
        <v>0.2</v>
      </c>
      <c r="F66" s="3252">
        <v>0.2</v>
      </c>
      <c r="G66" s="3252">
        <v>0.1</v>
      </c>
    </row>
    <row r="67" spans="1:8" s="1025" customFormat="1">
      <c r="A67" s="1051" t="s">
        <v>845</v>
      </c>
      <c r="B67" s="3252">
        <v>0.5</v>
      </c>
      <c r="C67" s="3252">
        <v>0.2</v>
      </c>
      <c r="D67" s="3252">
        <v>0.2</v>
      </c>
      <c r="E67" s="3252">
        <v>0.2</v>
      </c>
      <c r="F67" s="3252">
        <v>0.2</v>
      </c>
      <c r="G67" s="3252">
        <v>0.1</v>
      </c>
    </row>
    <row r="68" spans="1:8" s="1025" customFormat="1">
      <c r="A68" s="1051" t="s">
        <v>846</v>
      </c>
      <c r="B68" s="3252">
        <v>0.5</v>
      </c>
      <c r="C68" s="3252">
        <v>0.2</v>
      </c>
      <c r="D68" s="3252">
        <v>0.2</v>
      </c>
      <c r="E68" s="3252">
        <v>0.2</v>
      </c>
      <c r="F68" s="3252">
        <v>0.2</v>
      </c>
      <c r="G68" s="3252">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2525</v>
      </c>
      <c r="D72" s="1053"/>
      <c r="E72" s="1040" t="s">
        <v>1158</v>
      </c>
      <c r="F72" s="1053" t="s">
        <v>1158</v>
      </c>
    </row>
    <row r="73" spans="1:8" s="1025" customFormat="1">
      <c r="A73" s="3274">
        <v>1</v>
      </c>
      <c r="B73" s="3954" t="s">
        <v>2526</v>
      </c>
      <c r="C73" s="3252" t="s">
        <v>2527</v>
      </c>
      <c r="D73" s="3252" t="s">
        <v>2528</v>
      </c>
      <c r="E73" s="3275">
        <v>0.2</v>
      </c>
      <c r="F73" s="3274">
        <v>25</v>
      </c>
      <c r="H73" s="1025">
        <f>SUMIF(C71:C139,基准地价!C8,E71:E139)</f>
        <v>0</v>
      </c>
    </row>
    <row r="74" spans="1:8" s="1025" customFormat="1" ht="24">
      <c r="A74" s="3274">
        <v>2</v>
      </c>
      <c r="B74" s="3949"/>
      <c r="C74" s="3252" t="s">
        <v>2529</v>
      </c>
      <c r="D74" s="3252" t="s">
        <v>2530</v>
      </c>
      <c r="E74" s="3275">
        <v>0.2</v>
      </c>
      <c r="F74" s="3274">
        <v>25</v>
      </c>
    </row>
    <row r="75" spans="1:8" s="1025" customFormat="1" ht="24">
      <c r="A75" s="3274">
        <v>3</v>
      </c>
      <c r="B75" s="3949"/>
      <c r="C75" s="3252" t="s">
        <v>2531</v>
      </c>
      <c r="D75" s="3252" t="s">
        <v>2532</v>
      </c>
      <c r="E75" s="3275">
        <v>0.2</v>
      </c>
      <c r="F75" s="3274">
        <v>25</v>
      </c>
    </row>
    <row r="76" spans="1:8" s="1025" customFormat="1">
      <c r="A76" s="3274">
        <v>4</v>
      </c>
      <c r="B76" s="3949"/>
      <c r="C76" s="3252" t="s">
        <v>2533</v>
      </c>
      <c r="D76" s="3252" t="s">
        <v>2534</v>
      </c>
      <c r="E76" s="3275">
        <v>0.15</v>
      </c>
      <c r="F76" s="3274">
        <v>20</v>
      </c>
    </row>
    <row r="77" spans="1:8" s="1025" customFormat="1" ht="24">
      <c r="A77" s="3274">
        <v>5</v>
      </c>
      <c r="B77" s="3949"/>
      <c r="C77" s="3252" t="s">
        <v>2535</v>
      </c>
      <c r="D77" s="3252" t="s">
        <v>2536</v>
      </c>
      <c r="E77" s="3275">
        <v>0.15</v>
      </c>
      <c r="F77" s="3274">
        <v>20</v>
      </c>
    </row>
    <row r="78" spans="1:8" s="1025" customFormat="1" ht="24">
      <c r="A78" s="3274">
        <v>6</v>
      </c>
      <c r="B78" s="3949"/>
      <c r="C78" s="3252" t="s">
        <v>2537</v>
      </c>
      <c r="D78" s="3252" t="s">
        <v>2538</v>
      </c>
      <c r="E78" s="3275">
        <v>0.15</v>
      </c>
      <c r="F78" s="3274">
        <v>20</v>
      </c>
    </row>
    <row r="79" spans="1:8" s="1025" customFormat="1" ht="24">
      <c r="A79" s="3274">
        <v>7</v>
      </c>
      <c r="B79" s="3949"/>
      <c r="C79" s="3252" t="s">
        <v>2539</v>
      </c>
      <c r="D79" s="3252" t="s">
        <v>2540</v>
      </c>
      <c r="E79" s="3275">
        <v>0.15</v>
      </c>
      <c r="F79" s="3274">
        <v>20</v>
      </c>
    </row>
    <row r="80" spans="1:8" s="1025" customFormat="1" ht="24">
      <c r="A80" s="3274">
        <v>8</v>
      </c>
      <c r="B80" s="3949"/>
      <c r="C80" s="3252" t="s">
        <v>2541</v>
      </c>
      <c r="D80" s="3252" t="s">
        <v>2542</v>
      </c>
      <c r="E80" s="3275">
        <v>0.1</v>
      </c>
      <c r="F80" s="3274">
        <v>15</v>
      </c>
    </row>
    <row r="81" spans="1:6" s="1025" customFormat="1" ht="24">
      <c r="A81" s="3274">
        <v>9</v>
      </c>
      <c r="B81" s="3949"/>
      <c r="C81" s="3252" t="s">
        <v>2543</v>
      </c>
      <c r="D81" s="3252" t="s">
        <v>2544</v>
      </c>
      <c r="E81" s="3275">
        <v>0.1</v>
      </c>
      <c r="F81" s="3274">
        <v>15</v>
      </c>
    </row>
    <row r="82" spans="1:6" s="1025" customFormat="1" ht="24">
      <c r="A82" s="3274">
        <v>10</v>
      </c>
      <c r="B82" s="3949"/>
      <c r="C82" s="3252" t="s">
        <v>2545</v>
      </c>
      <c r="D82" s="3252" t="s">
        <v>2546</v>
      </c>
      <c r="E82" s="3275">
        <v>0.1</v>
      </c>
      <c r="F82" s="3274">
        <v>15</v>
      </c>
    </row>
    <row r="83" spans="1:6" s="1025" customFormat="1" ht="24">
      <c r="A83" s="3274">
        <v>11</v>
      </c>
      <c r="B83" s="3949"/>
      <c r="C83" s="3252" t="s">
        <v>2547</v>
      </c>
      <c r="D83" s="3252" t="s">
        <v>2548</v>
      </c>
      <c r="E83" s="3275">
        <v>0.1</v>
      </c>
      <c r="F83" s="3274">
        <v>15</v>
      </c>
    </row>
    <row r="84" spans="1:6" s="1025" customFormat="1" ht="24">
      <c r="A84" s="3274">
        <v>12</v>
      </c>
      <c r="B84" s="3949"/>
      <c r="C84" s="3252" t="s">
        <v>2549</v>
      </c>
      <c r="D84" s="3252" t="s">
        <v>2550</v>
      </c>
      <c r="E84" s="3275">
        <v>0.1</v>
      </c>
      <c r="F84" s="3274">
        <v>15</v>
      </c>
    </row>
    <row r="85" spans="1:6" s="1025" customFormat="1">
      <c r="A85" s="3274">
        <v>13</v>
      </c>
      <c r="B85" s="3949"/>
      <c r="C85" s="3252" t="s">
        <v>2551</v>
      </c>
      <c r="D85" s="3252" t="s">
        <v>2552</v>
      </c>
      <c r="E85" s="3275">
        <v>0.1</v>
      </c>
      <c r="F85" s="3274">
        <v>15</v>
      </c>
    </row>
    <row r="86" spans="1:6" s="1025" customFormat="1">
      <c r="A86" s="3274">
        <v>14</v>
      </c>
      <c r="B86" s="3949"/>
      <c r="C86" s="3252" t="s">
        <v>2553</v>
      </c>
      <c r="D86" s="3252" t="s">
        <v>2554</v>
      </c>
      <c r="E86" s="3275">
        <v>0.1</v>
      </c>
      <c r="F86" s="3274">
        <v>15</v>
      </c>
    </row>
    <row r="87" spans="1:6" s="1025" customFormat="1">
      <c r="A87" s="3274">
        <v>15</v>
      </c>
      <c r="B87" s="3949"/>
      <c r="C87" s="3252" t="s">
        <v>2555</v>
      </c>
      <c r="D87" s="3252" t="s">
        <v>2556</v>
      </c>
      <c r="E87" s="3275">
        <v>0.1</v>
      </c>
      <c r="F87" s="3274">
        <v>15</v>
      </c>
    </row>
    <row r="88" spans="1:6" s="1025" customFormat="1" ht="24">
      <c r="A88" s="3274">
        <v>16</v>
      </c>
      <c r="B88" s="3949"/>
      <c r="C88" s="3252" t="s">
        <v>2557</v>
      </c>
      <c r="D88" s="3252" t="s">
        <v>2558</v>
      </c>
      <c r="E88" s="3275">
        <v>0.1</v>
      </c>
      <c r="F88" s="3274">
        <v>15</v>
      </c>
    </row>
    <row r="89" spans="1:6" s="1025" customFormat="1" ht="24">
      <c r="A89" s="3274">
        <v>17</v>
      </c>
      <c r="B89" s="3955"/>
      <c r="C89" s="3252" t="s">
        <v>2559</v>
      </c>
      <c r="D89" s="3252" t="s">
        <v>2560</v>
      </c>
      <c r="E89" s="3275">
        <v>0.1</v>
      </c>
      <c r="F89" s="3274">
        <v>15</v>
      </c>
    </row>
    <row r="90" spans="1:6" s="1025" customFormat="1">
      <c r="A90" s="3274">
        <v>18</v>
      </c>
      <c r="B90" s="3954" t="s">
        <v>2561</v>
      </c>
      <c r="C90" s="3252" t="s">
        <v>2562</v>
      </c>
      <c r="D90" s="3252" t="s">
        <v>2563</v>
      </c>
      <c r="E90" s="3275">
        <v>0.2</v>
      </c>
      <c r="F90" s="3274">
        <v>25</v>
      </c>
    </row>
    <row r="91" spans="1:6" s="1025" customFormat="1" ht="24">
      <c r="A91" s="3274">
        <v>19</v>
      </c>
      <c r="B91" s="3949"/>
      <c r="C91" s="3252" t="s">
        <v>2564</v>
      </c>
      <c r="D91" s="3252" t="s">
        <v>2565</v>
      </c>
      <c r="E91" s="3275">
        <v>0.2</v>
      </c>
      <c r="F91" s="3274">
        <v>25</v>
      </c>
    </row>
    <row r="92" spans="1:6" s="1025" customFormat="1">
      <c r="A92" s="3274">
        <v>20</v>
      </c>
      <c r="B92" s="3949"/>
      <c r="C92" s="3252" t="s">
        <v>2566</v>
      </c>
      <c r="D92" s="3252" t="s">
        <v>2567</v>
      </c>
      <c r="E92" s="3275">
        <v>0.15</v>
      </c>
      <c r="F92" s="3274">
        <v>20</v>
      </c>
    </row>
    <row r="93" spans="1:6" s="1025" customFormat="1" ht="24">
      <c r="A93" s="3274">
        <v>21</v>
      </c>
      <c r="B93" s="3949"/>
      <c r="C93" s="3252" t="s">
        <v>2568</v>
      </c>
      <c r="D93" s="3252" t="s">
        <v>2569</v>
      </c>
      <c r="E93" s="3275">
        <v>0.15</v>
      </c>
      <c r="F93" s="3274">
        <v>20</v>
      </c>
    </row>
    <row r="94" spans="1:6" s="1025" customFormat="1" ht="24">
      <c r="A94" s="3274">
        <v>22</v>
      </c>
      <c r="B94" s="3949"/>
      <c r="C94" s="3252" t="s">
        <v>2570</v>
      </c>
      <c r="D94" s="3252" t="s">
        <v>2571</v>
      </c>
      <c r="E94" s="3275">
        <v>0.15</v>
      </c>
      <c r="F94" s="3274">
        <v>20</v>
      </c>
    </row>
    <row r="95" spans="1:6" s="1025" customFormat="1" ht="36">
      <c r="A95" s="3274">
        <v>23</v>
      </c>
      <c r="B95" s="3949"/>
      <c r="C95" s="3252" t="s">
        <v>2572</v>
      </c>
      <c r="D95" s="3252" t="s">
        <v>2573</v>
      </c>
      <c r="E95" s="3275">
        <v>0.15</v>
      </c>
      <c r="F95" s="3274">
        <v>20</v>
      </c>
    </row>
    <row r="96" spans="1:6" s="1025" customFormat="1">
      <c r="A96" s="3274">
        <v>24</v>
      </c>
      <c r="B96" s="3949"/>
      <c r="C96" s="3252" t="s">
        <v>2574</v>
      </c>
      <c r="D96" s="3252" t="s">
        <v>2575</v>
      </c>
      <c r="E96" s="3275">
        <v>0.1</v>
      </c>
      <c r="F96" s="3274">
        <v>15</v>
      </c>
    </row>
    <row r="97" spans="1:6" s="1025" customFormat="1" ht="24">
      <c r="A97" s="3274">
        <v>25</v>
      </c>
      <c r="B97" s="3949"/>
      <c r="C97" s="3252" t="s">
        <v>2576</v>
      </c>
      <c r="D97" s="3252" t="s">
        <v>2577</v>
      </c>
      <c r="E97" s="3275">
        <v>0.1</v>
      </c>
      <c r="F97" s="3274">
        <v>15</v>
      </c>
    </row>
    <row r="98" spans="1:6" s="1025" customFormat="1" ht="24">
      <c r="A98" s="3274">
        <v>26</v>
      </c>
      <c r="B98" s="3949"/>
      <c r="C98" s="3252" t="s">
        <v>2578</v>
      </c>
      <c r="D98" s="3252" t="s">
        <v>2579</v>
      </c>
      <c r="E98" s="3275">
        <v>0.1</v>
      </c>
      <c r="F98" s="3274">
        <v>15</v>
      </c>
    </row>
    <row r="99" spans="1:6" s="1025" customFormat="1" ht="24">
      <c r="A99" s="3274">
        <v>27</v>
      </c>
      <c r="B99" s="3949"/>
      <c r="C99" s="3252" t="s">
        <v>2580</v>
      </c>
      <c r="D99" s="3252" t="s">
        <v>2581</v>
      </c>
      <c r="E99" s="3275">
        <v>0.1</v>
      </c>
      <c r="F99" s="3274">
        <v>15</v>
      </c>
    </row>
    <row r="100" spans="1:6" s="1025" customFormat="1" ht="24">
      <c r="A100" s="3274">
        <v>28</v>
      </c>
      <c r="B100" s="3949"/>
      <c r="C100" s="3252" t="s">
        <v>2582</v>
      </c>
      <c r="D100" s="3252" t="s">
        <v>2583</v>
      </c>
      <c r="E100" s="3275">
        <v>0.1</v>
      </c>
      <c r="F100" s="3274">
        <v>15</v>
      </c>
    </row>
    <row r="101" spans="1:6" s="1025" customFormat="1" ht="24">
      <c r="A101" s="3274">
        <v>29</v>
      </c>
      <c r="B101" s="3949"/>
      <c r="C101" s="3252" t="s">
        <v>2584</v>
      </c>
      <c r="D101" s="3252" t="s">
        <v>2585</v>
      </c>
      <c r="E101" s="3275">
        <v>0.1</v>
      </c>
      <c r="F101" s="3274">
        <v>15</v>
      </c>
    </row>
    <row r="102" spans="1:6" s="1025" customFormat="1" ht="24">
      <c r="A102" s="3274">
        <v>30</v>
      </c>
      <c r="B102" s="3949"/>
      <c r="C102" s="3252" t="s">
        <v>2586</v>
      </c>
      <c r="D102" s="3252" t="s">
        <v>2587</v>
      </c>
      <c r="E102" s="3275">
        <v>0.1</v>
      </c>
      <c r="F102" s="3274">
        <v>15</v>
      </c>
    </row>
    <row r="103" spans="1:6" s="1025" customFormat="1" ht="24">
      <c r="A103" s="3274">
        <v>31</v>
      </c>
      <c r="B103" s="3949"/>
      <c r="C103" s="3252" t="s">
        <v>2588</v>
      </c>
      <c r="D103" s="3252" t="s">
        <v>2589</v>
      </c>
      <c r="E103" s="3275">
        <v>0.1</v>
      </c>
      <c r="F103" s="3274">
        <v>15</v>
      </c>
    </row>
    <row r="104" spans="1:6" s="1025" customFormat="1" ht="24">
      <c r="A104" s="3274">
        <v>32</v>
      </c>
      <c r="B104" s="3949"/>
      <c r="C104" s="3252" t="s">
        <v>2590</v>
      </c>
      <c r="D104" s="3252" t="s">
        <v>2591</v>
      </c>
      <c r="E104" s="3275">
        <v>0.1</v>
      </c>
      <c r="F104" s="3274">
        <v>15</v>
      </c>
    </row>
    <row r="105" spans="1:6" s="1025" customFormat="1" ht="24">
      <c r="A105" s="3274">
        <v>33</v>
      </c>
      <c r="B105" s="3949"/>
      <c r="C105" s="3252" t="s">
        <v>2592</v>
      </c>
      <c r="D105" s="3252" t="s">
        <v>2593</v>
      </c>
      <c r="E105" s="3275">
        <v>0.1</v>
      </c>
      <c r="F105" s="3274">
        <v>15</v>
      </c>
    </row>
    <row r="106" spans="1:6" s="1025" customFormat="1" ht="24">
      <c r="A106" s="3274">
        <v>34</v>
      </c>
      <c r="B106" s="3955"/>
      <c r="C106" s="3252" t="s">
        <v>2594</v>
      </c>
      <c r="D106" s="3252" t="s">
        <v>2595</v>
      </c>
      <c r="E106" s="3275">
        <v>0.1</v>
      </c>
      <c r="F106" s="3274">
        <v>15</v>
      </c>
    </row>
    <row r="107" spans="1:6" s="1025" customFormat="1" ht="24">
      <c r="A107" s="3274">
        <v>35</v>
      </c>
      <c r="B107" s="3954" t="s">
        <v>2596</v>
      </c>
      <c r="C107" s="3274" t="s">
        <v>2597</v>
      </c>
      <c r="D107" s="3252" t="s">
        <v>2598</v>
      </c>
      <c r="E107" s="3275">
        <v>0.15</v>
      </c>
      <c r="F107" s="3274">
        <v>20</v>
      </c>
    </row>
    <row r="108" spans="1:6" s="1025" customFormat="1" ht="24">
      <c r="A108" s="3274">
        <v>36</v>
      </c>
      <c r="B108" s="3949"/>
      <c r="C108" s="3274" t="s">
        <v>2599</v>
      </c>
      <c r="D108" s="3252" t="s">
        <v>2600</v>
      </c>
      <c r="E108" s="3275">
        <v>0.15</v>
      </c>
      <c r="F108" s="3274">
        <v>20</v>
      </c>
    </row>
    <row r="109" spans="1:6" s="1025" customFormat="1" ht="24">
      <c r="A109" s="3274">
        <v>37</v>
      </c>
      <c r="B109" s="3949"/>
      <c r="C109" s="3274" t="s">
        <v>2601</v>
      </c>
      <c r="D109" s="3252" t="s">
        <v>2602</v>
      </c>
      <c r="E109" s="3275">
        <v>0.15</v>
      </c>
      <c r="F109" s="3274">
        <v>20</v>
      </c>
    </row>
    <row r="110" spans="1:6" s="1025" customFormat="1">
      <c r="A110" s="3274">
        <v>38</v>
      </c>
      <c r="B110" s="3949"/>
      <c r="C110" s="3274" t="s">
        <v>2603</v>
      </c>
      <c r="D110" s="3252" t="s">
        <v>2604</v>
      </c>
      <c r="E110" s="3275">
        <v>0.1</v>
      </c>
      <c r="F110" s="3274">
        <v>15</v>
      </c>
    </row>
    <row r="111" spans="1:6" s="1025" customFormat="1" ht="24">
      <c r="A111" s="3274">
        <v>39</v>
      </c>
      <c r="B111" s="3949"/>
      <c r="C111" s="3274" t="s">
        <v>2605</v>
      </c>
      <c r="D111" s="3252" t="s">
        <v>2606</v>
      </c>
      <c r="E111" s="3275">
        <v>0.1</v>
      </c>
      <c r="F111" s="3274">
        <v>15</v>
      </c>
    </row>
    <row r="112" spans="1:6" s="1025" customFormat="1" ht="24">
      <c r="A112" s="3274">
        <v>40</v>
      </c>
      <c r="B112" s="3955"/>
      <c r="C112" s="3274" t="s">
        <v>2607</v>
      </c>
      <c r="D112" s="3252" t="s">
        <v>2608</v>
      </c>
      <c r="E112" s="3275">
        <v>0.1</v>
      </c>
      <c r="F112" s="3274">
        <v>15</v>
      </c>
    </row>
    <row r="113" spans="1:6" s="1025" customFormat="1" ht="24">
      <c r="A113" s="3274">
        <v>41</v>
      </c>
      <c r="B113" s="3956" t="s">
        <v>2609</v>
      </c>
      <c r="C113" s="3274" t="s">
        <v>2610</v>
      </c>
      <c r="D113" s="3252" t="s">
        <v>2611</v>
      </c>
      <c r="E113" s="3275">
        <v>0.1</v>
      </c>
      <c r="F113" s="3274">
        <v>15</v>
      </c>
    </row>
    <row r="114" spans="1:6" s="1025" customFormat="1">
      <c r="A114" s="3274">
        <v>42</v>
      </c>
      <c r="B114" s="3956"/>
      <c r="C114" s="3274" t="s">
        <v>2612</v>
      </c>
      <c r="D114" s="3252" t="s">
        <v>2613</v>
      </c>
      <c r="E114" s="3275">
        <v>0.1</v>
      </c>
      <c r="F114" s="3274">
        <v>15</v>
      </c>
    </row>
    <row r="115" spans="1:6" s="1025" customFormat="1" ht="24">
      <c r="A115" s="3274">
        <v>43</v>
      </c>
      <c r="B115" s="3956"/>
      <c r="C115" s="3274" t="s">
        <v>2614</v>
      </c>
      <c r="D115" s="3252" t="s">
        <v>2615</v>
      </c>
      <c r="E115" s="3275">
        <v>0.1</v>
      </c>
      <c r="F115" s="3274">
        <v>15</v>
      </c>
    </row>
    <row r="116" spans="1:6" s="1025" customFormat="1" ht="24">
      <c r="A116" s="3274">
        <v>44</v>
      </c>
      <c r="B116" s="3954" t="s">
        <v>2616</v>
      </c>
      <c r="C116" s="3274" t="s">
        <v>2617</v>
      </c>
      <c r="D116" s="3252" t="s">
        <v>2618</v>
      </c>
      <c r="E116" s="3275">
        <v>0.1</v>
      </c>
      <c r="F116" s="3274">
        <v>15</v>
      </c>
    </row>
    <row r="117" spans="1:6" s="1025" customFormat="1" ht="24">
      <c r="A117" s="3274">
        <v>45</v>
      </c>
      <c r="B117" s="3955"/>
      <c r="C117" s="3252" t="s">
        <v>2619</v>
      </c>
      <c r="D117" s="3252" t="s">
        <v>2620</v>
      </c>
      <c r="E117" s="3275">
        <v>0.1</v>
      </c>
      <c r="F117" s="3274">
        <v>15</v>
      </c>
    </row>
    <row r="118" spans="1:6" s="1025" customFormat="1" ht="24">
      <c r="A118" s="3274">
        <v>46</v>
      </c>
      <c r="B118" s="3954" t="s">
        <v>2621</v>
      </c>
      <c r="C118" s="3274" t="s">
        <v>2622</v>
      </c>
      <c r="D118" s="3252" t="s">
        <v>2623</v>
      </c>
      <c r="E118" s="3275">
        <v>0.1</v>
      </c>
      <c r="F118" s="3274">
        <v>15</v>
      </c>
    </row>
    <row r="119" spans="1:6" s="1025" customFormat="1" ht="24">
      <c r="A119" s="3274">
        <v>47</v>
      </c>
      <c r="B119" s="3955"/>
      <c r="C119" s="3274" t="s">
        <v>2624</v>
      </c>
      <c r="D119" s="3252" t="s">
        <v>2625</v>
      </c>
      <c r="E119" s="3275">
        <v>0.1</v>
      </c>
      <c r="F119" s="3274">
        <v>15</v>
      </c>
    </row>
    <row r="120" spans="1:6" s="1025" customFormat="1" ht="24">
      <c r="A120" s="3274">
        <v>48</v>
      </c>
      <c r="B120" s="3954" t="s">
        <v>2626</v>
      </c>
      <c r="C120" s="3274" t="s">
        <v>2627</v>
      </c>
      <c r="D120" s="3252" t="s">
        <v>2628</v>
      </c>
      <c r="E120" s="3275">
        <v>0.1</v>
      </c>
      <c r="F120" s="3274">
        <v>15</v>
      </c>
    </row>
    <row r="121" spans="1:6" s="1025" customFormat="1">
      <c r="A121" s="3274">
        <v>49</v>
      </c>
      <c r="B121" s="3955"/>
      <c r="C121" s="3274" t="s">
        <v>2629</v>
      </c>
      <c r="D121" s="3252" t="s">
        <v>2630</v>
      </c>
      <c r="E121" s="3275">
        <v>0.1</v>
      </c>
      <c r="F121" s="3274">
        <v>15</v>
      </c>
    </row>
    <row r="122" spans="1:6" s="1025" customFormat="1" ht="24">
      <c r="A122" s="3274">
        <v>50</v>
      </c>
      <c r="B122" s="3956" t="s">
        <v>2631</v>
      </c>
      <c r="C122" s="3274" t="s">
        <v>2632</v>
      </c>
      <c r="D122" s="3252" t="s">
        <v>2633</v>
      </c>
      <c r="E122" s="3275">
        <v>0.1</v>
      </c>
      <c r="F122" s="3274">
        <v>15</v>
      </c>
    </row>
    <row r="123" spans="1:6" s="1025" customFormat="1" ht="24">
      <c r="A123" s="3274">
        <v>51</v>
      </c>
      <c r="B123" s="3956"/>
      <c r="C123" s="3274" t="s">
        <v>2634</v>
      </c>
      <c r="D123" s="3252" t="s">
        <v>2635</v>
      </c>
      <c r="E123" s="3275">
        <v>0.1</v>
      </c>
      <c r="F123" s="3274">
        <v>15</v>
      </c>
    </row>
    <row r="124" spans="1:6" s="1025" customFormat="1" ht="24">
      <c r="A124" s="3274">
        <v>52</v>
      </c>
      <c r="B124" s="3956" t="s">
        <v>2636</v>
      </c>
      <c r="C124" s="3274" t="s">
        <v>2637</v>
      </c>
      <c r="D124" s="3252" t="s">
        <v>2638</v>
      </c>
      <c r="E124" s="3275">
        <v>0.1</v>
      </c>
      <c r="F124" s="3274">
        <v>15</v>
      </c>
    </row>
    <row r="125" spans="1:6" s="1025" customFormat="1" ht="24">
      <c r="A125" s="3274">
        <v>53</v>
      </c>
      <c r="B125" s="3956"/>
      <c r="C125" s="3274" t="s">
        <v>2639</v>
      </c>
      <c r="D125" s="3252" t="s">
        <v>2640</v>
      </c>
      <c r="E125" s="3275">
        <v>0.1</v>
      </c>
      <c r="F125" s="3274">
        <v>15</v>
      </c>
    </row>
    <row r="126" spans="1:6" ht="24">
      <c r="A126" s="3274">
        <v>54</v>
      </c>
      <c r="B126" s="3274" t="s">
        <v>2641</v>
      </c>
      <c r="C126" s="3274" t="s">
        <v>2642</v>
      </c>
      <c r="D126" s="3252" t="s">
        <v>2643</v>
      </c>
      <c r="E126" s="3275">
        <v>0.1</v>
      </c>
      <c r="F126" s="3274">
        <v>15</v>
      </c>
    </row>
    <row r="127" spans="1:6">
      <c r="A127" s="3274">
        <v>55</v>
      </c>
      <c r="B127" s="3956" t="s">
        <v>2644</v>
      </c>
      <c r="C127" s="3274" t="s">
        <v>2645</v>
      </c>
      <c r="D127" s="3252" t="s">
        <v>2646</v>
      </c>
      <c r="E127" s="3275">
        <v>0.1</v>
      </c>
      <c r="F127" s="3274">
        <v>15</v>
      </c>
    </row>
    <row r="128" spans="1:6">
      <c r="A128" s="3274">
        <v>56</v>
      </c>
      <c r="B128" s="3956"/>
      <c r="C128" s="3274" t="s">
        <v>2647</v>
      </c>
      <c r="D128" s="3252" t="s">
        <v>2648</v>
      </c>
      <c r="E128" s="3275">
        <v>0.1</v>
      </c>
      <c r="F128" s="3274">
        <v>15</v>
      </c>
    </row>
    <row r="129" spans="1:14" ht="24">
      <c r="A129" s="3274">
        <v>57</v>
      </c>
      <c r="B129" s="3956"/>
      <c r="C129" s="3274" t="s">
        <v>2649</v>
      </c>
      <c r="D129" s="3252" t="s">
        <v>2650</v>
      </c>
      <c r="E129" s="3275">
        <v>0.1</v>
      </c>
      <c r="F129" s="3274">
        <v>15</v>
      </c>
    </row>
    <row r="130" spans="1:14" ht="24">
      <c r="A130" s="3274">
        <v>58</v>
      </c>
      <c r="B130" s="3956" t="s">
        <v>2651</v>
      </c>
      <c r="C130" s="3274" t="s">
        <v>2652</v>
      </c>
      <c r="D130" s="3252" t="s">
        <v>2653</v>
      </c>
      <c r="E130" s="3275">
        <v>0.1</v>
      </c>
      <c r="F130" s="3274">
        <v>15</v>
      </c>
    </row>
    <row r="131" spans="1:14" ht="24">
      <c r="A131" s="3274">
        <v>59</v>
      </c>
      <c r="B131" s="3956"/>
      <c r="C131" s="3274" t="s">
        <v>2654</v>
      </c>
      <c r="D131" s="3252" t="s">
        <v>2655</v>
      </c>
      <c r="E131" s="3275">
        <v>0.1</v>
      </c>
      <c r="F131" s="3274">
        <v>15</v>
      </c>
    </row>
    <row r="132" spans="1:14" ht="24">
      <c r="A132" s="3274">
        <v>60</v>
      </c>
      <c r="B132" s="3954" t="s">
        <v>2656</v>
      </c>
      <c r="C132" s="3274" t="s">
        <v>2657</v>
      </c>
      <c r="D132" s="3252" t="s">
        <v>2658</v>
      </c>
      <c r="E132" s="3275">
        <v>0.1</v>
      </c>
      <c r="F132" s="3274">
        <v>15</v>
      </c>
    </row>
    <row r="133" spans="1:14" ht="24">
      <c r="A133" s="3274">
        <v>61</v>
      </c>
      <c r="B133" s="3955"/>
      <c r="C133" s="3274" t="s">
        <v>2659</v>
      </c>
      <c r="D133" s="3252" t="s">
        <v>2660</v>
      </c>
      <c r="E133" s="3275">
        <v>0.1</v>
      </c>
      <c r="F133" s="3274">
        <v>15</v>
      </c>
    </row>
    <row r="134" spans="1:14" ht="24">
      <c r="A134" s="3274">
        <v>62</v>
      </c>
      <c r="B134" s="3274" t="s">
        <v>2661</v>
      </c>
      <c r="C134" s="3274" t="s">
        <v>2662</v>
      </c>
      <c r="D134" s="3252" t="s">
        <v>2663</v>
      </c>
      <c r="E134" s="3275">
        <v>0.1</v>
      </c>
      <c r="F134" s="3274">
        <v>15</v>
      </c>
    </row>
    <row r="135" spans="1:14" ht="24">
      <c r="A135" s="3274">
        <v>63</v>
      </c>
      <c r="B135" s="3956" t="s">
        <v>2664</v>
      </c>
      <c r="C135" s="3274" t="s">
        <v>2665</v>
      </c>
      <c r="D135" s="3252" t="s">
        <v>2666</v>
      </c>
      <c r="E135" s="3275">
        <v>0.1</v>
      </c>
      <c r="F135" s="3274">
        <v>15</v>
      </c>
    </row>
    <row r="136" spans="1:14">
      <c r="A136" s="3274">
        <v>64</v>
      </c>
      <c r="B136" s="3956"/>
      <c r="C136" s="3274" t="s">
        <v>2667</v>
      </c>
      <c r="D136" s="3252" t="s">
        <v>2668</v>
      </c>
      <c r="E136" s="3275">
        <v>0.1</v>
      </c>
      <c r="F136" s="3274">
        <v>15</v>
      </c>
    </row>
    <row r="137" spans="1:14" ht="24">
      <c r="A137" s="3274">
        <v>65</v>
      </c>
      <c r="B137" s="3274" t="s">
        <v>2669</v>
      </c>
      <c r="C137" s="3274" t="s">
        <v>2670</v>
      </c>
      <c r="D137" s="3252" t="s">
        <v>2671</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57" t="s">
        <v>2813</v>
      </c>
      <c r="B1" s="3957"/>
      <c r="C1" s="3957"/>
      <c r="D1" s="3957"/>
      <c r="E1" s="3957"/>
      <c r="F1" s="3957"/>
      <c r="G1" s="3958"/>
      <c r="I1" s="1012"/>
      <c r="J1" s="3456" t="s">
        <v>960</v>
      </c>
      <c r="K1" s="3457" t="s">
        <v>961</v>
      </c>
      <c r="L1" s="3457" t="s">
        <v>962</v>
      </c>
      <c r="M1" s="3457" t="s">
        <v>963</v>
      </c>
      <c r="N1" s="3457" t="s">
        <v>964</v>
      </c>
      <c r="O1" s="3457" t="s">
        <v>965</v>
      </c>
      <c r="P1" s="3457" t="s">
        <v>966</v>
      </c>
      <c r="Q1" s="3457" t="s">
        <v>967</v>
      </c>
      <c r="R1" s="3457" t="s">
        <v>968</v>
      </c>
      <c r="S1" s="3457" t="s">
        <v>969</v>
      </c>
      <c r="T1" s="3457" t="s">
        <v>970</v>
      </c>
      <c r="U1" s="3458" t="s">
        <v>971</v>
      </c>
    </row>
    <row r="2" spans="1:21" ht="14.25" thickBot="1">
      <c r="A2" s="3419" t="s">
        <v>2814</v>
      </c>
      <c r="B2" s="3419"/>
      <c r="C2" s="3419"/>
      <c r="D2" s="3419"/>
      <c r="E2" s="3419"/>
      <c r="F2" s="3419"/>
      <c r="G2" s="3414" t="s">
        <v>2815</v>
      </c>
      <c r="J2" s="3443" t="s">
        <v>2821</v>
      </c>
      <c r="K2" s="3423" t="s">
        <v>2823</v>
      </c>
      <c r="L2" s="3423" t="s">
        <v>2825</v>
      </c>
      <c r="M2" s="3423" t="s">
        <v>2831</v>
      </c>
      <c r="N2" s="3423" t="s">
        <v>2841</v>
      </c>
      <c r="O2" s="3423" t="s">
        <v>2856</v>
      </c>
      <c r="P2" s="3423" t="s">
        <v>2893</v>
      </c>
      <c r="Q2" s="3423" t="s">
        <v>2924</v>
      </c>
      <c r="R2" s="3423" t="s">
        <v>2952</v>
      </c>
      <c r="S2" s="3423" t="s">
        <v>2987</v>
      </c>
      <c r="T2" s="3423" t="s">
        <v>3007</v>
      </c>
      <c r="U2" s="3423" t="s">
        <v>3019</v>
      </c>
    </row>
    <row r="3" spans="1:21" s="1012" customFormat="1" ht="19.5" customHeight="1">
      <c r="A3" s="3959" t="s">
        <v>2816</v>
      </c>
      <c r="B3" s="3415"/>
      <c r="C3" s="3416" t="s">
        <v>2793</v>
      </c>
      <c r="D3" s="3416" t="s">
        <v>2817</v>
      </c>
      <c r="E3" s="3416" t="s">
        <v>2795</v>
      </c>
      <c r="F3" s="3416" t="s">
        <v>2818</v>
      </c>
      <c r="G3" s="3416" t="s">
        <v>2736</v>
      </c>
      <c r="H3" s="1015"/>
      <c r="J3" s="3443" t="s">
        <v>2822</v>
      </c>
      <c r="K3" s="3423" t="s">
        <v>972</v>
      </c>
      <c r="L3" s="3423" t="s">
        <v>973</v>
      </c>
      <c r="M3" s="3423" t="s">
        <v>974</v>
      </c>
      <c r="N3" s="3423" t="s">
        <v>975</v>
      </c>
      <c r="O3" s="3423" t="s">
        <v>976</v>
      </c>
      <c r="P3" s="3423" t="s">
        <v>977</v>
      </c>
      <c r="Q3" s="3423" t="s">
        <v>978</v>
      </c>
      <c r="R3" s="3423" t="s">
        <v>979</v>
      </c>
      <c r="S3" s="3423" t="s">
        <v>980</v>
      </c>
      <c r="T3" s="3423" t="s">
        <v>3008</v>
      </c>
      <c r="U3" s="3423" t="s">
        <v>3020</v>
      </c>
    </row>
    <row r="4" spans="1:21" s="1012" customFormat="1" ht="19.5" customHeight="1" thickBot="1">
      <c r="A4" s="3960"/>
      <c r="B4" s="3417" t="s">
        <v>2819</v>
      </c>
      <c r="C4" s="3417" t="s">
        <v>2820</v>
      </c>
      <c r="D4" s="3417" t="s">
        <v>2820</v>
      </c>
      <c r="E4" s="3417" t="s">
        <v>2820</v>
      </c>
      <c r="F4" s="3418" t="s">
        <v>2820</v>
      </c>
      <c r="G4" s="3418" t="s">
        <v>2820</v>
      </c>
      <c r="H4" s="1015"/>
      <c r="J4" s="3443" t="s">
        <v>981</v>
      </c>
      <c r="K4" s="3423" t="s">
        <v>982</v>
      </c>
      <c r="L4" s="3423" t="s">
        <v>983</v>
      </c>
      <c r="M4" s="3423" t="s">
        <v>984</v>
      </c>
      <c r="N4" s="3423" t="s">
        <v>985</v>
      </c>
      <c r="O4" s="3423" t="s">
        <v>986</v>
      </c>
      <c r="P4" s="3423" t="s">
        <v>987</v>
      </c>
      <c r="Q4" s="3423" t="s">
        <v>988</v>
      </c>
      <c r="R4" s="3423" t="s">
        <v>2953</v>
      </c>
      <c r="S4" s="3423" t="s">
        <v>2988</v>
      </c>
      <c r="T4" s="3423" t="s">
        <v>3009</v>
      </c>
      <c r="U4" s="3423" t="s">
        <v>3021</v>
      </c>
    </row>
    <row r="5" spans="1:21" ht="14.25" customHeight="1">
      <c r="A5" s="3420" t="s">
        <v>989</v>
      </c>
      <c r="B5" s="3421" t="s">
        <v>2821</v>
      </c>
      <c r="C5" s="3421">
        <v>34550</v>
      </c>
      <c r="D5" s="3421">
        <v>34470</v>
      </c>
      <c r="E5" s="3421">
        <v>34330</v>
      </c>
      <c r="F5" s="3422">
        <v>13400</v>
      </c>
      <c r="G5" s="3422">
        <v>25450</v>
      </c>
      <c r="H5" s="1016" t="s">
        <v>960</v>
      </c>
      <c r="I5" s="1017">
        <f>SUMPRODUCT((B5:B9=基准地价!I2)*(C3:G3=基准地价!E2)*(C5:G9))</f>
        <v>0</v>
      </c>
      <c r="J5" s="3443" t="s">
        <v>990</v>
      </c>
      <c r="K5" s="3423" t="s">
        <v>991</v>
      </c>
      <c r="L5" s="3423" t="s">
        <v>992</v>
      </c>
      <c r="M5" s="3423" t="s">
        <v>993</v>
      </c>
      <c r="N5" s="3423" t="s">
        <v>994</v>
      </c>
      <c r="O5" s="3423" t="s">
        <v>995</v>
      </c>
      <c r="P5" s="3423" t="s">
        <v>996</v>
      </c>
      <c r="Q5" s="3423" t="s">
        <v>997</v>
      </c>
      <c r="R5" s="3423" t="s">
        <v>2954</v>
      </c>
      <c r="S5" s="3423" t="s">
        <v>2989</v>
      </c>
      <c r="T5" s="3423" t="s">
        <v>998</v>
      </c>
      <c r="U5" s="3423" t="s">
        <v>3022</v>
      </c>
    </row>
    <row r="6" spans="1:21" ht="14.25" customHeight="1">
      <c r="A6" s="3423" t="s">
        <v>989</v>
      </c>
      <c r="B6" s="3423" t="s">
        <v>2822</v>
      </c>
      <c r="C6" s="3423">
        <v>36990</v>
      </c>
      <c r="D6" s="3423">
        <v>36850</v>
      </c>
      <c r="E6" s="3423">
        <v>36700</v>
      </c>
      <c r="F6" s="3424">
        <v>14590</v>
      </c>
      <c r="G6" s="3424">
        <v>27450</v>
      </c>
      <c r="H6" s="1018" t="s">
        <v>999</v>
      </c>
      <c r="I6" s="1019">
        <f>SUMPRODUCT((B10:B29=基准地价!I2)*(C3:G3=基准地价!E2)*(C10:G29))</f>
        <v>0</v>
      </c>
      <c r="J6" s="3443" t="s">
        <v>1000</v>
      </c>
      <c r="K6" s="3423" t="s">
        <v>1001</v>
      </c>
      <c r="L6" s="3423" t="s">
        <v>1002</v>
      </c>
      <c r="M6" s="3423" t="s">
        <v>1003</v>
      </c>
      <c r="N6" s="3423" t="s">
        <v>1004</v>
      </c>
      <c r="O6" s="3423" t="s">
        <v>1005</v>
      </c>
      <c r="P6" s="3423" t="s">
        <v>1006</v>
      </c>
      <c r="Q6" s="3423" t="s">
        <v>2925</v>
      </c>
      <c r="R6" s="3423" t="s">
        <v>2955</v>
      </c>
      <c r="S6" s="3423" t="s">
        <v>1007</v>
      </c>
      <c r="T6" s="3423" t="s">
        <v>3010</v>
      </c>
      <c r="U6" s="3423" t="s">
        <v>3023</v>
      </c>
    </row>
    <row r="7" spans="1:21" ht="14.25" customHeight="1">
      <c r="A7" s="3423" t="s">
        <v>989</v>
      </c>
      <c r="B7" s="1289" t="s">
        <v>981</v>
      </c>
      <c r="C7" s="3423">
        <v>34850</v>
      </c>
      <c r="D7" s="3423">
        <v>34690</v>
      </c>
      <c r="E7" s="3423">
        <v>34550</v>
      </c>
      <c r="F7" s="3424">
        <v>14360</v>
      </c>
      <c r="G7" s="3424">
        <v>25620</v>
      </c>
      <c r="H7" s="1018" t="s">
        <v>837</v>
      </c>
      <c r="I7" s="1019">
        <f>SUMPRODUCT((B30:B54=基准地价!I2)*(C3:G3=基准地价!E2)*(C30:G54))</f>
        <v>0</v>
      </c>
      <c r="K7" s="3423" t="s">
        <v>1008</v>
      </c>
      <c r="L7" s="3423" t="s">
        <v>1009</v>
      </c>
      <c r="M7" s="3423" t="s">
        <v>1010</v>
      </c>
      <c r="N7" s="3423" t="s">
        <v>1011</v>
      </c>
      <c r="O7" s="3423" t="s">
        <v>1012</v>
      </c>
      <c r="P7" s="3423" t="s">
        <v>1013</v>
      </c>
      <c r="Q7" s="3423" t="s">
        <v>2926</v>
      </c>
      <c r="R7" s="3423" t="s">
        <v>2956</v>
      </c>
      <c r="S7" s="3423" t="s">
        <v>2990</v>
      </c>
      <c r="T7" s="3423" t="s">
        <v>3011</v>
      </c>
      <c r="U7" s="1289" t="s">
        <v>3024</v>
      </c>
    </row>
    <row r="8" spans="1:21" ht="14.25" customHeight="1">
      <c r="A8" s="3423" t="s">
        <v>989</v>
      </c>
      <c r="B8" s="3423" t="s">
        <v>990</v>
      </c>
      <c r="C8" s="3423">
        <v>32630</v>
      </c>
      <c r="D8" s="3423">
        <v>32510</v>
      </c>
      <c r="E8" s="3423">
        <v>32420</v>
      </c>
      <c r="F8" s="3424">
        <v>13300</v>
      </c>
      <c r="G8" s="3424">
        <v>24010</v>
      </c>
      <c r="H8" s="1018" t="s">
        <v>838</v>
      </c>
      <c r="I8" s="1019">
        <f>SUMPRODUCT((B55:B86=基准地价!I2)*(C3:G3=基准地价!E2)*(C55:G86))</f>
        <v>0</v>
      </c>
      <c r="K8" s="3423" t="s">
        <v>1014</v>
      </c>
      <c r="L8" s="3423" t="s">
        <v>1015</v>
      </c>
      <c r="M8" s="3423" t="s">
        <v>1016</v>
      </c>
      <c r="N8" s="3423" t="s">
        <v>1017</v>
      </c>
      <c r="O8" s="3423" t="s">
        <v>1018</v>
      </c>
      <c r="P8" s="3423" t="s">
        <v>1019</v>
      </c>
      <c r="Q8" s="3423" t="s">
        <v>2927</v>
      </c>
      <c r="R8" s="3423" t="s">
        <v>1020</v>
      </c>
      <c r="S8" s="3423" t="s">
        <v>2991</v>
      </c>
      <c r="T8" s="3423" t="s">
        <v>3012</v>
      </c>
      <c r="U8" s="3423" t="s">
        <v>3025</v>
      </c>
    </row>
    <row r="9" spans="1:21" ht="14.25" customHeight="1" thickBot="1">
      <c r="A9" s="3437" t="s">
        <v>989</v>
      </c>
      <c r="B9" s="3425" t="s">
        <v>1000</v>
      </c>
      <c r="C9" s="3426">
        <v>36370</v>
      </c>
      <c r="D9" s="3426">
        <v>36210</v>
      </c>
      <c r="E9" s="3426">
        <v>36050</v>
      </c>
      <c r="F9" s="3427"/>
      <c r="G9" s="3428">
        <v>26740</v>
      </c>
      <c r="H9" s="1018" t="s">
        <v>839</v>
      </c>
      <c r="I9" s="1019">
        <f>SUMPRODUCT((B87:B126=基准地价!I2)*(C3:G3=基准地价!E2)*(C87:G126))</f>
        <v>8620</v>
      </c>
      <c r="K9" s="3423" t="s">
        <v>1021</v>
      </c>
      <c r="L9" s="3423" t="s">
        <v>1022</v>
      </c>
      <c r="M9" s="3423" t="s">
        <v>1023</v>
      </c>
      <c r="N9" s="3423" t="s">
        <v>1024</v>
      </c>
      <c r="O9" s="3423" t="s">
        <v>1025</v>
      </c>
      <c r="P9" s="3423" t="s">
        <v>1026</v>
      </c>
      <c r="Q9" s="3423" t="s">
        <v>2928</v>
      </c>
      <c r="R9" s="3423" t="s">
        <v>1028</v>
      </c>
      <c r="S9" s="3423" t="s">
        <v>1029</v>
      </c>
      <c r="T9" s="3423" t="s">
        <v>1046</v>
      </c>
    </row>
    <row r="10" spans="1:21" ht="14.25" customHeight="1">
      <c r="A10" s="3420" t="s">
        <v>1030</v>
      </c>
      <c r="B10" s="3421" t="s">
        <v>2823</v>
      </c>
      <c r="C10" s="3421">
        <v>32350</v>
      </c>
      <c r="D10" s="3421">
        <v>31430</v>
      </c>
      <c r="E10" s="3421">
        <v>31320</v>
      </c>
      <c r="F10" s="3422">
        <v>10850</v>
      </c>
      <c r="G10" s="3422">
        <v>22860</v>
      </c>
      <c r="H10" s="1018" t="s">
        <v>840</v>
      </c>
      <c r="I10" s="1019">
        <f>SUMPRODUCT((B127:B189=基准地价!I2)*(C3:G3=基准地价!E2)*(C127:G189))</f>
        <v>0</v>
      </c>
      <c r="K10" s="3423" t="s">
        <v>1031</v>
      </c>
      <c r="L10" s="3423" t="s">
        <v>1032</v>
      </c>
      <c r="M10" s="3423" t="s">
        <v>1033</v>
      </c>
      <c r="N10" s="3423" t="s">
        <v>1034</v>
      </c>
      <c r="O10" s="3423" t="s">
        <v>1035</v>
      </c>
      <c r="P10" s="3423" t="s">
        <v>1036</v>
      </c>
      <c r="Q10" s="3423" t="s">
        <v>1027</v>
      </c>
      <c r="R10" s="3423" t="s">
        <v>1038</v>
      </c>
      <c r="S10" s="3423" t="s">
        <v>1039</v>
      </c>
      <c r="T10" s="3423" t="s">
        <v>3013</v>
      </c>
    </row>
    <row r="11" spans="1:21" ht="14.25" customHeight="1">
      <c r="A11" s="3423" t="s">
        <v>1030</v>
      </c>
      <c r="B11" s="1289" t="s">
        <v>972</v>
      </c>
      <c r="C11" s="3423">
        <v>31590</v>
      </c>
      <c r="D11" s="3423">
        <v>29490</v>
      </c>
      <c r="E11" s="3423">
        <v>28700</v>
      </c>
      <c r="F11" s="3429">
        <v>10410</v>
      </c>
      <c r="G11" s="3429">
        <v>21460</v>
      </c>
      <c r="H11" s="1018" t="s">
        <v>841</v>
      </c>
      <c r="I11" s="1019">
        <f>SUMPRODUCT((B190:B233=基准地价!I2)*(C3:G3=基准地价!E2)*(C190:G233))</f>
        <v>0</v>
      </c>
      <c r="K11" s="3423" t="s">
        <v>1040</v>
      </c>
      <c r="L11" s="3423" t="s">
        <v>1041</v>
      </c>
      <c r="M11" s="3423" t="s">
        <v>1042</v>
      </c>
      <c r="N11" s="3423" t="s">
        <v>1043</v>
      </c>
      <c r="O11" s="3423" t="s">
        <v>1044</v>
      </c>
      <c r="P11" s="3423" t="s">
        <v>2894</v>
      </c>
      <c r="Q11" s="3423" t="s">
        <v>1037</v>
      </c>
      <c r="R11" s="3423" t="s">
        <v>1045</v>
      </c>
      <c r="S11" s="3423" t="s">
        <v>2992</v>
      </c>
      <c r="T11" s="3423" t="s">
        <v>3014</v>
      </c>
    </row>
    <row r="12" spans="1:21" ht="14.25" customHeight="1">
      <c r="A12" s="3423" t="s">
        <v>1030</v>
      </c>
      <c r="B12" s="1289" t="s">
        <v>982</v>
      </c>
      <c r="C12" s="3423">
        <v>29640</v>
      </c>
      <c r="D12" s="3423">
        <v>27550</v>
      </c>
      <c r="E12" s="3423">
        <v>28010</v>
      </c>
      <c r="F12" s="3429">
        <v>8730</v>
      </c>
      <c r="G12" s="3429">
        <v>20050</v>
      </c>
      <c r="H12" s="1018" t="s">
        <v>842</v>
      </c>
      <c r="I12" s="1019">
        <f>SUMPRODUCT((B234:B276=基准地价!I2)*(C3:G3=基准地价!E2)*(C234:G276))</f>
        <v>0</v>
      </c>
      <c r="K12" s="3423" t="s">
        <v>1047</v>
      </c>
      <c r="L12" s="3423" t="s">
        <v>1048</v>
      </c>
      <c r="M12" s="3423" t="s">
        <v>1049</v>
      </c>
      <c r="N12" s="3423" t="s">
        <v>1050</v>
      </c>
      <c r="O12" s="3423" t="s">
        <v>1051</v>
      </c>
      <c r="P12" s="3423" t="s">
        <v>2895</v>
      </c>
      <c r="Q12" s="3423" t="s">
        <v>2929</v>
      </c>
      <c r="R12" s="3423" t="s">
        <v>2957</v>
      </c>
      <c r="S12" s="3423" t="s">
        <v>2993</v>
      </c>
      <c r="T12" s="3423" t="s">
        <v>3015</v>
      </c>
    </row>
    <row r="13" spans="1:21" ht="14.25" customHeight="1">
      <c r="A13" s="3423" t="s">
        <v>1030</v>
      </c>
      <c r="B13" s="1289" t="s">
        <v>991</v>
      </c>
      <c r="C13" s="3423">
        <v>29680</v>
      </c>
      <c r="D13" s="3423">
        <v>27660</v>
      </c>
      <c r="E13" s="3423">
        <v>28210</v>
      </c>
      <c r="F13" s="3429">
        <v>9590</v>
      </c>
      <c r="G13" s="3429">
        <v>20120</v>
      </c>
      <c r="H13" s="1018" t="s">
        <v>843</v>
      </c>
      <c r="I13" s="1019">
        <f>SUMPRODUCT((B277:B326=基准地价!I2)*(C3:G3=基准地价!E2)*(C277:G326))</f>
        <v>0</v>
      </c>
      <c r="K13" s="3423" t="s">
        <v>1054</v>
      </c>
      <c r="L13" s="3423" t="s">
        <v>1055</v>
      </c>
      <c r="M13" s="3423" t="s">
        <v>1056</v>
      </c>
      <c r="N13" s="3423" t="s">
        <v>1057</v>
      </c>
      <c r="O13" s="3423" t="s">
        <v>1058</v>
      </c>
      <c r="P13" s="3423" t="s">
        <v>2896</v>
      </c>
      <c r="Q13" s="3423" t="s">
        <v>1052</v>
      </c>
      <c r="R13" s="3423" t="s">
        <v>1066</v>
      </c>
      <c r="S13" s="3423" t="s">
        <v>1067</v>
      </c>
      <c r="T13" s="3423" t="s">
        <v>1060</v>
      </c>
    </row>
    <row r="14" spans="1:21" ht="14.25" customHeight="1">
      <c r="A14" s="3423" t="s">
        <v>1030</v>
      </c>
      <c r="B14" s="1289" t="s">
        <v>1001</v>
      </c>
      <c r="C14" s="3423">
        <v>30520</v>
      </c>
      <c r="D14" s="3423">
        <v>29510</v>
      </c>
      <c r="E14" s="3423">
        <v>29400</v>
      </c>
      <c r="F14" s="3429">
        <v>9630</v>
      </c>
      <c r="G14" s="3429">
        <v>21480</v>
      </c>
      <c r="H14" s="1018" t="s">
        <v>844</v>
      </c>
      <c r="I14" s="1019">
        <f>SUMPRODUCT((B327:B357=基准地价!I2)*(C3:G3=基准地价!E2)*(C327:G357))</f>
        <v>0</v>
      </c>
      <c r="K14" s="3423" t="s">
        <v>1061</v>
      </c>
      <c r="L14" s="3423" t="s">
        <v>1062</v>
      </c>
      <c r="M14" s="3423" t="s">
        <v>1063</v>
      </c>
      <c r="N14" s="3423" t="s">
        <v>1064</v>
      </c>
      <c r="O14" s="3423" t="s">
        <v>1065</v>
      </c>
      <c r="P14" s="3423" t="s">
        <v>1087</v>
      </c>
      <c r="Q14" s="3423" t="s">
        <v>1059</v>
      </c>
      <c r="R14" s="3423" t="s">
        <v>2958</v>
      </c>
      <c r="S14" s="3423" t="s">
        <v>1075</v>
      </c>
      <c r="T14" s="3423" t="s">
        <v>1068</v>
      </c>
    </row>
    <row r="15" spans="1:21" ht="14.25" customHeight="1">
      <c r="A15" s="3423" t="s">
        <v>1030</v>
      </c>
      <c r="B15" s="1289" t="s">
        <v>1008</v>
      </c>
      <c r="C15" s="3423">
        <v>29090</v>
      </c>
      <c r="D15" s="3423">
        <v>27590</v>
      </c>
      <c r="E15" s="3423">
        <v>28120</v>
      </c>
      <c r="F15" s="3429">
        <v>9110</v>
      </c>
      <c r="G15" s="3429">
        <v>20070</v>
      </c>
      <c r="H15" s="1018" t="s">
        <v>845</v>
      </c>
      <c r="I15" s="1019">
        <f>SUMPRODUCT((B358:B377=基准地价!I2)*(C3:G3=基准地价!E2)*(C358:G377))</f>
        <v>0</v>
      </c>
      <c r="K15" s="3423" t="s">
        <v>1069</v>
      </c>
      <c r="L15" s="3423" t="s">
        <v>1070</v>
      </c>
      <c r="M15" s="3423" t="s">
        <v>1071</v>
      </c>
      <c r="N15" s="3423" t="s">
        <v>1072</v>
      </c>
      <c r="O15" s="3423" t="s">
        <v>1073</v>
      </c>
      <c r="P15" s="3423" t="s">
        <v>2897</v>
      </c>
      <c r="Q15" s="3423" t="s">
        <v>2930</v>
      </c>
      <c r="R15" s="3423" t="s">
        <v>1089</v>
      </c>
      <c r="S15" s="3423" t="s">
        <v>2994</v>
      </c>
      <c r="T15" s="3423" t="s">
        <v>1076</v>
      </c>
    </row>
    <row r="16" spans="1:21" ht="14.25" customHeight="1" thickBot="1">
      <c r="A16" s="3423" t="s">
        <v>1030</v>
      </c>
      <c r="B16" s="1289" t="s">
        <v>1014</v>
      </c>
      <c r="C16" s="3423">
        <v>26790</v>
      </c>
      <c r="D16" s="3423">
        <v>30370</v>
      </c>
      <c r="E16" s="3423">
        <v>30240</v>
      </c>
      <c r="F16" s="3429">
        <v>11590</v>
      </c>
      <c r="G16" s="3429">
        <v>22090</v>
      </c>
      <c r="H16" s="1020" t="s">
        <v>846</v>
      </c>
      <c r="I16" s="1021">
        <f>SUMPRODUCT((B378:B384=基准地价!I2)*(C3:G3=基准地价!E2)*(C378:G384))</f>
        <v>0</v>
      </c>
      <c r="K16" s="3423" t="s">
        <v>1077</v>
      </c>
      <c r="L16" s="3423" t="s">
        <v>1078</v>
      </c>
      <c r="M16" s="3423" t="s">
        <v>1079</v>
      </c>
      <c r="N16" s="3423" t="s">
        <v>1080</v>
      </c>
      <c r="O16" s="3423" t="s">
        <v>1081</v>
      </c>
      <c r="P16" s="3423" t="s">
        <v>2898</v>
      </c>
      <c r="Q16" s="3423" t="s">
        <v>1074</v>
      </c>
      <c r="R16" s="3423" t="s">
        <v>1097</v>
      </c>
      <c r="S16" s="3423" t="s">
        <v>1053</v>
      </c>
      <c r="T16" s="3423" t="s">
        <v>3016</v>
      </c>
    </row>
    <row r="17" spans="1:20" ht="14.25" customHeight="1">
      <c r="A17" s="3423" t="s">
        <v>1030</v>
      </c>
      <c r="B17" s="1289" t="s">
        <v>1021</v>
      </c>
      <c r="C17" s="3423">
        <v>29180</v>
      </c>
      <c r="D17" s="3423">
        <v>27620</v>
      </c>
      <c r="E17" s="3423">
        <v>28180</v>
      </c>
      <c r="F17" s="3429">
        <v>10790</v>
      </c>
      <c r="G17" s="3430">
        <v>20090</v>
      </c>
      <c r="I17" s="1022"/>
      <c r="K17" s="3423" t="s">
        <v>1082</v>
      </c>
      <c r="L17" s="3423" t="s">
        <v>1083</v>
      </c>
      <c r="M17" s="3423" t="s">
        <v>1084</v>
      </c>
      <c r="N17" s="3423" t="s">
        <v>1085</v>
      </c>
      <c r="O17" s="3423" t="s">
        <v>1086</v>
      </c>
      <c r="P17" s="3423" t="s">
        <v>2899</v>
      </c>
      <c r="Q17" s="3423" t="s">
        <v>2931</v>
      </c>
      <c r="R17" s="3423" t="s">
        <v>1103</v>
      </c>
      <c r="S17" s="3423" t="s">
        <v>2995</v>
      </c>
      <c r="T17" s="3423" t="s">
        <v>1105</v>
      </c>
    </row>
    <row r="18" spans="1:20" ht="14.25" customHeight="1">
      <c r="A18" s="3423" t="s">
        <v>1030</v>
      </c>
      <c r="B18" s="1289" t="s">
        <v>1031</v>
      </c>
      <c r="C18" s="3423">
        <v>26840</v>
      </c>
      <c r="D18" s="3423">
        <v>28930</v>
      </c>
      <c r="E18" s="3423">
        <v>28820</v>
      </c>
      <c r="F18" s="3429"/>
      <c r="G18" s="3430">
        <v>21050</v>
      </c>
      <c r="I18" s="1022"/>
      <c r="K18" s="3423" t="s">
        <v>1091</v>
      </c>
      <c r="L18" s="3423" t="s">
        <v>1092</v>
      </c>
      <c r="M18" s="3423" t="s">
        <v>1093</v>
      </c>
      <c r="N18" s="3423" t="s">
        <v>1094</v>
      </c>
      <c r="O18" s="3423" t="s">
        <v>1095</v>
      </c>
      <c r="P18" s="3423" t="s">
        <v>2900</v>
      </c>
      <c r="Q18" s="3423" t="s">
        <v>1088</v>
      </c>
      <c r="R18" s="3423" t="s">
        <v>2959</v>
      </c>
      <c r="S18" s="3423" t="s">
        <v>1104</v>
      </c>
      <c r="T18" s="3423" t="s">
        <v>1113</v>
      </c>
    </row>
    <row r="19" spans="1:20" ht="14.25" customHeight="1">
      <c r="A19" s="3423" t="s">
        <v>1030</v>
      </c>
      <c r="B19" s="1289" t="s">
        <v>1040</v>
      </c>
      <c r="C19" s="3423">
        <v>27750</v>
      </c>
      <c r="D19" s="3423">
        <v>26680</v>
      </c>
      <c r="E19" s="3423">
        <v>26590</v>
      </c>
      <c r="F19" s="3429"/>
      <c r="G19" s="3430">
        <v>19420</v>
      </c>
      <c r="I19" s="1022"/>
      <c r="K19" s="3423" t="s">
        <v>1098</v>
      </c>
      <c r="L19" s="3423" t="s">
        <v>1099</v>
      </c>
      <c r="M19" s="3423" t="s">
        <v>1100</v>
      </c>
      <c r="N19" s="3423" t="s">
        <v>1101</v>
      </c>
      <c r="O19" s="3423" t="s">
        <v>1102</v>
      </c>
      <c r="P19" s="3423" t="s">
        <v>2901</v>
      </c>
      <c r="Q19" s="3423" t="s">
        <v>1096</v>
      </c>
      <c r="R19" s="3423" t="s">
        <v>2960</v>
      </c>
      <c r="S19" s="3423" t="s">
        <v>1112</v>
      </c>
      <c r="T19" s="3423" t="s">
        <v>3017</v>
      </c>
    </row>
    <row r="20" spans="1:20" ht="14.25" customHeight="1">
      <c r="A20" s="3423" t="s">
        <v>1030</v>
      </c>
      <c r="B20" s="1289" t="s">
        <v>1047</v>
      </c>
      <c r="C20" s="3423">
        <v>27050</v>
      </c>
      <c r="D20" s="3423">
        <v>29010</v>
      </c>
      <c r="E20" s="3423">
        <v>28910</v>
      </c>
      <c r="F20" s="3429"/>
      <c r="G20" s="3430">
        <v>21110</v>
      </c>
      <c r="K20" s="3423" t="s">
        <v>1106</v>
      </c>
      <c r="L20" s="3423" t="s">
        <v>1107</v>
      </c>
      <c r="M20" s="3423" t="s">
        <v>1108</v>
      </c>
      <c r="N20" s="3423" t="s">
        <v>1109</v>
      </c>
      <c r="O20" s="3423" t="s">
        <v>1110</v>
      </c>
      <c r="P20" s="3423" t="s">
        <v>2902</v>
      </c>
      <c r="Q20" s="3423" t="s">
        <v>2932</v>
      </c>
      <c r="R20" s="3423" t="s">
        <v>1138</v>
      </c>
      <c r="S20" s="3423" t="s">
        <v>2996</v>
      </c>
      <c r="T20" s="3423" t="s">
        <v>1125</v>
      </c>
    </row>
    <row r="21" spans="1:20" ht="14.25" customHeight="1">
      <c r="A21" s="3423" t="s">
        <v>1030</v>
      </c>
      <c r="B21" s="1289" t="s">
        <v>1054</v>
      </c>
      <c r="C21" s="3423">
        <v>32370</v>
      </c>
      <c r="D21" s="3423">
        <v>26730</v>
      </c>
      <c r="E21" s="3423">
        <v>26640</v>
      </c>
      <c r="F21" s="3429"/>
      <c r="G21" s="3430">
        <v>19440</v>
      </c>
      <c r="K21" s="3432" t="s">
        <v>2824</v>
      </c>
      <c r="L21" s="3423" t="s">
        <v>1114</v>
      </c>
      <c r="M21" s="3423" t="s">
        <v>1115</v>
      </c>
      <c r="N21" s="3423" t="s">
        <v>1116</v>
      </c>
      <c r="O21" s="3423" t="s">
        <v>1117</v>
      </c>
      <c r="P21" s="3423" t="s">
        <v>1111</v>
      </c>
      <c r="Q21" s="3423" t="s">
        <v>1131</v>
      </c>
      <c r="R21" s="3423" t="s">
        <v>1141</v>
      </c>
      <c r="S21" s="3423" t="s">
        <v>2997</v>
      </c>
      <c r="T21" s="3423" t="s">
        <v>3018</v>
      </c>
    </row>
    <row r="22" spans="1:20" ht="14.25" customHeight="1">
      <c r="A22" s="3423" t="s">
        <v>1030</v>
      </c>
      <c r="B22" s="1289" t="s">
        <v>1061</v>
      </c>
      <c r="C22" s="3423">
        <v>29830</v>
      </c>
      <c r="D22" s="3423">
        <v>27600</v>
      </c>
      <c r="E22" s="3423">
        <v>28150</v>
      </c>
      <c r="F22" s="3429"/>
      <c r="G22" s="3430">
        <v>20080</v>
      </c>
      <c r="L22" s="3432" t="s">
        <v>2826</v>
      </c>
      <c r="M22" s="3423" t="s">
        <v>1119</v>
      </c>
      <c r="N22" s="3423" t="s">
        <v>1120</v>
      </c>
      <c r="O22" s="3423" t="s">
        <v>1121</v>
      </c>
      <c r="P22" s="3423" t="s">
        <v>2903</v>
      </c>
      <c r="Q22" s="3423" t="s">
        <v>1134</v>
      </c>
      <c r="R22" s="3423" t="s">
        <v>1143</v>
      </c>
      <c r="S22" s="3423" t="s">
        <v>1090</v>
      </c>
      <c r="T22" s="1289"/>
    </row>
    <row r="23" spans="1:20" ht="14.25" customHeight="1">
      <c r="A23" s="3423" t="s">
        <v>1030</v>
      </c>
      <c r="B23" s="1289" t="s">
        <v>1069</v>
      </c>
      <c r="C23" s="3423">
        <v>27800</v>
      </c>
      <c r="D23" s="3423">
        <v>26900</v>
      </c>
      <c r="E23" s="3423">
        <v>27170</v>
      </c>
      <c r="F23" s="3429"/>
      <c r="G23" s="3430">
        <v>19570</v>
      </c>
      <c r="L23" s="3432" t="s">
        <v>2827</v>
      </c>
      <c r="M23" s="3423" t="s">
        <v>1126</v>
      </c>
      <c r="N23" s="3423" t="s">
        <v>1127</v>
      </c>
      <c r="O23" s="3423" t="s">
        <v>2857</v>
      </c>
      <c r="P23" s="3423" t="s">
        <v>2904</v>
      </c>
      <c r="Q23" s="3423" t="s">
        <v>1137</v>
      </c>
      <c r="R23" s="3423" t="s">
        <v>1146</v>
      </c>
      <c r="S23" s="3423" t="s">
        <v>2998</v>
      </c>
    </row>
    <row r="24" spans="1:20" ht="14.25" customHeight="1">
      <c r="A24" s="3423" t="s">
        <v>1030</v>
      </c>
      <c r="B24" s="1289" t="s">
        <v>1077</v>
      </c>
      <c r="C24" s="3423">
        <v>27930</v>
      </c>
      <c r="D24" s="3423">
        <v>32260</v>
      </c>
      <c r="E24" s="3423">
        <v>32120</v>
      </c>
      <c r="F24" s="3429"/>
      <c r="G24" s="3430">
        <v>23470</v>
      </c>
      <c r="L24" s="3432" t="s">
        <v>2828</v>
      </c>
      <c r="M24" s="3423" t="s">
        <v>1129</v>
      </c>
      <c r="N24" s="3423" t="s">
        <v>1130</v>
      </c>
      <c r="O24" s="3423" t="s">
        <v>2858</v>
      </c>
      <c r="P24" s="3423" t="s">
        <v>1133</v>
      </c>
      <c r="Q24" s="3423" t="s">
        <v>2933</v>
      </c>
      <c r="R24" s="3423" t="s">
        <v>2961</v>
      </c>
      <c r="S24" s="3423" t="s">
        <v>2999</v>
      </c>
    </row>
    <row r="25" spans="1:20" ht="14.25" customHeight="1">
      <c r="A25" s="3423" t="s">
        <v>1030</v>
      </c>
      <c r="B25" s="1289" t="s">
        <v>1082</v>
      </c>
      <c r="C25" s="3423">
        <v>32230</v>
      </c>
      <c r="D25" s="3423">
        <v>29640</v>
      </c>
      <c r="E25" s="3423">
        <v>29510</v>
      </c>
      <c r="F25" s="3429"/>
      <c r="G25" s="3430">
        <v>21560</v>
      </c>
      <c r="L25" s="3432" t="s">
        <v>2829</v>
      </c>
      <c r="M25" s="3423" t="s">
        <v>2832</v>
      </c>
      <c r="N25" s="3423" t="s">
        <v>1132</v>
      </c>
      <c r="O25" s="3423" t="s">
        <v>1140</v>
      </c>
      <c r="P25" s="3423" t="s">
        <v>1136</v>
      </c>
      <c r="Q25" s="3423" t="s">
        <v>1123</v>
      </c>
      <c r="R25" s="3423" t="s">
        <v>1118</v>
      </c>
      <c r="S25" s="3423" t="s">
        <v>3000</v>
      </c>
    </row>
    <row r="26" spans="1:20" ht="14.25" customHeight="1">
      <c r="A26" s="3423" t="s">
        <v>1030</v>
      </c>
      <c r="B26" s="1289" t="s">
        <v>1091</v>
      </c>
      <c r="C26" s="3423">
        <v>31690</v>
      </c>
      <c r="D26" s="3423">
        <v>27650</v>
      </c>
      <c r="E26" s="3423">
        <v>28200</v>
      </c>
      <c r="F26" s="3429"/>
      <c r="G26" s="3430">
        <v>20110</v>
      </c>
      <c r="L26" s="3432" t="s">
        <v>2830</v>
      </c>
      <c r="M26" s="3423" t="s">
        <v>2833</v>
      </c>
      <c r="N26" s="3423" t="s">
        <v>1135</v>
      </c>
      <c r="O26" s="3423" t="s">
        <v>1142</v>
      </c>
      <c r="P26" s="3423" t="s">
        <v>2905</v>
      </c>
      <c r="Q26" s="3423" t="s">
        <v>2934</v>
      </c>
      <c r="R26" s="3423" t="s">
        <v>1124</v>
      </c>
      <c r="S26" s="3423" t="s">
        <v>3001</v>
      </c>
    </row>
    <row r="27" spans="1:20" ht="14.25" customHeight="1">
      <c r="A27" s="3423" t="s">
        <v>1030</v>
      </c>
      <c r="B27" s="1289" t="s">
        <v>1098</v>
      </c>
      <c r="C27" s="3423">
        <v>29610</v>
      </c>
      <c r="D27" s="3423">
        <v>27770</v>
      </c>
      <c r="E27" s="3423">
        <v>28300</v>
      </c>
      <c r="F27" s="3429"/>
      <c r="G27" s="3430">
        <v>20210</v>
      </c>
      <c r="M27" s="3423" t="s">
        <v>2834</v>
      </c>
      <c r="N27" s="3423" t="s">
        <v>1139</v>
      </c>
      <c r="O27" s="3423" t="s">
        <v>1145</v>
      </c>
      <c r="P27" s="3423" t="s">
        <v>1122</v>
      </c>
      <c r="Q27" s="3423" t="s">
        <v>2935</v>
      </c>
      <c r="R27" s="3423" t="s">
        <v>2962</v>
      </c>
      <c r="S27" s="3423" t="s">
        <v>3002</v>
      </c>
    </row>
    <row r="28" spans="1:20" ht="14.25" customHeight="1">
      <c r="A28" s="3437" t="s">
        <v>1030</v>
      </c>
      <c r="B28" s="2600" t="s">
        <v>1106</v>
      </c>
      <c r="C28" s="1287"/>
      <c r="D28" s="1287">
        <v>31520</v>
      </c>
      <c r="E28" s="1287">
        <v>31410</v>
      </c>
      <c r="F28" s="3434"/>
      <c r="G28" s="3435">
        <v>22940</v>
      </c>
      <c r="M28" s="3423" t="s">
        <v>2835</v>
      </c>
      <c r="N28" s="3423" t="s">
        <v>2842</v>
      </c>
      <c r="O28" s="3423" t="s">
        <v>2859</v>
      </c>
      <c r="P28" s="3423" t="s">
        <v>2906</v>
      </c>
      <c r="Q28" s="3423" t="s">
        <v>2936</v>
      </c>
      <c r="R28" s="3423" t="s">
        <v>2963</v>
      </c>
      <c r="S28" s="3432" t="s">
        <v>3003</v>
      </c>
    </row>
    <row r="29" spans="1:20" ht="14.25" customHeight="1" thickBot="1">
      <c r="A29" s="3438" t="s">
        <v>1030</v>
      </c>
      <c r="B29" s="3426" t="s">
        <v>2824</v>
      </c>
      <c r="C29" s="3426"/>
      <c r="D29" s="3426">
        <v>29460</v>
      </c>
      <c r="E29" s="3426">
        <v>28640</v>
      </c>
      <c r="F29" s="3427"/>
      <c r="G29" s="3439">
        <v>21430</v>
      </c>
      <c r="M29" s="3432" t="s">
        <v>2836</v>
      </c>
      <c r="N29" s="3423" t="s">
        <v>2843</v>
      </c>
      <c r="O29" s="3423" t="s">
        <v>2860</v>
      </c>
      <c r="P29" s="3423" t="s">
        <v>2907</v>
      </c>
      <c r="Q29" s="3423" t="s">
        <v>2937</v>
      </c>
      <c r="R29" s="3423" t="s">
        <v>2964</v>
      </c>
      <c r="S29" s="3432" t="s">
        <v>1128</v>
      </c>
    </row>
    <row r="30" spans="1:20" ht="14.25" customHeight="1">
      <c r="A30" s="3437" t="s">
        <v>1144</v>
      </c>
      <c r="B30" s="1289" t="s">
        <v>2825</v>
      </c>
      <c r="C30" s="1289">
        <v>26890</v>
      </c>
      <c r="D30" s="1289">
        <v>26770</v>
      </c>
      <c r="E30" s="1289">
        <v>25700</v>
      </c>
      <c r="F30" s="3424">
        <v>8180</v>
      </c>
      <c r="G30" s="3424">
        <v>18740</v>
      </c>
      <c r="I30" s="1022"/>
      <c r="M30" s="3432" t="s">
        <v>2837</v>
      </c>
      <c r="N30" s="3423" t="s">
        <v>2844</v>
      </c>
      <c r="O30" s="3423" t="s">
        <v>2861</v>
      </c>
      <c r="P30" s="3423" t="s">
        <v>2908</v>
      </c>
      <c r="Q30" s="3423" t="s">
        <v>2938</v>
      </c>
      <c r="R30" s="3423" t="s">
        <v>2965</v>
      </c>
      <c r="S30" s="3432" t="s">
        <v>3004</v>
      </c>
    </row>
    <row r="31" spans="1:20" ht="14.25" customHeight="1">
      <c r="A31" s="3423" t="s">
        <v>1144</v>
      </c>
      <c r="B31" s="1289" t="s">
        <v>973</v>
      </c>
      <c r="C31" s="3423">
        <v>24550</v>
      </c>
      <c r="D31" s="3423">
        <v>23990</v>
      </c>
      <c r="E31" s="3423">
        <v>22930</v>
      </c>
      <c r="F31" s="3429">
        <v>7470</v>
      </c>
      <c r="G31" s="3429">
        <v>16790</v>
      </c>
      <c r="I31" s="1022"/>
      <c r="M31" s="3432" t="s">
        <v>2838</v>
      </c>
      <c r="N31" s="3423" t="s">
        <v>2845</v>
      </c>
      <c r="O31" s="3423" t="s">
        <v>2862</v>
      </c>
      <c r="P31" s="3423" t="s">
        <v>2909</v>
      </c>
      <c r="Q31" s="3423" t="s">
        <v>2939</v>
      </c>
      <c r="R31" s="3423" t="s">
        <v>2966</v>
      </c>
      <c r="S31" s="3432" t="s">
        <v>3005</v>
      </c>
    </row>
    <row r="32" spans="1:20" ht="14.25" customHeight="1">
      <c r="A32" s="3423" t="s">
        <v>1144</v>
      </c>
      <c r="B32" s="1289" t="s">
        <v>983</v>
      </c>
      <c r="C32" s="3423">
        <v>27210</v>
      </c>
      <c r="D32" s="3423">
        <v>23240</v>
      </c>
      <c r="E32" s="3423">
        <v>23260</v>
      </c>
      <c r="F32" s="3429">
        <v>7130</v>
      </c>
      <c r="G32" s="3429">
        <v>16270</v>
      </c>
      <c r="I32" s="1022"/>
      <c r="M32" s="3432" t="s">
        <v>2839</v>
      </c>
      <c r="N32" s="3423" t="s">
        <v>2846</v>
      </c>
      <c r="O32" s="3423" t="s">
        <v>1148</v>
      </c>
      <c r="P32" s="3423" t="s">
        <v>2910</v>
      </c>
      <c r="Q32" s="3423" t="s">
        <v>1147</v>
      </c>
      <c r="R32" s="3423" t="s">
        <v>2967</v>
      </c>
      <c r="S32" s="3432" t="s">
        <v>3006</v>
      </c>
    </row>
    <row r="33" spans="1:18" ht="14.25" customHeight="1">
      <c r="A33" s="3423" t="s">
        <v>1144</v>
      </c>
      <c r="B33" s="1289" t="s">
        <v>992</v>
      </c>
      <c r="C33" s="3423">
        <v>27300</v>
      </c>
      <c r="D33" s="3423">
        <v>22980</v>
      </c>
      <c r="E33" s="3423">
        <v>24260</v>
      </c>
      <c r="F33" s="3429">
        <v>5860</v>
      </c>
      <c r="G33" s="3429">
        <v>16090</v>
      </c>
      <c r="I33" s="1022"/>
      <c r="M33" s="3432" t="s">
        <v>2840</v>
      </c>
      <c r="N33" s="3423" t="s">
        <v>2847</v>
      </c>
      <c r="O33" s="3423" t="s">
        <v>1149</v>
      </c>
      <c r="P33" s="3423" t="s">
        <v>2911</v>
      </c>
      <c r="Q33" s="3423" t="s">
        <v>2940</v>
      </c>
      <c r="R33" s="3423" t="s">
        <v>2968</v>
      </c>
    </row>
    <row r="34" spans="1:18" ht="14.25" customHeight="1">
      <c r="A34" s="3423" t="s">
        <v>1144</v>
      </c>
      <c r="B34" s="1289" t="s">
        <v>1002</v>
      </c>
      <c r="C34" s="3423">
        <v>23090</v>
      </c>
      <c r="D34" s="3423">
        <v>23390</v>
      </c>
      <c r="E34" s="3423">
        <v>23510</v>
      </c>
      <c r="F34" s="3429">
        <v>6700</v>
      </c>
      <c r="G34" s="3429">
        <v>16370</v>
      </c>
      <c r="I34" s="1022"/>
      <c r="N34" s="3423" t="s">
        <v>2848</v>
      </c>
      <c r="O34" s="3423" t="s">
        <v>1150</v>
      </c>
      <c r="P34" s="3423" t="s">
        <v>2912</v>
      </c>
      <c r="Q34" s="3423" t="s">
        <v>2941</v>
      </c>
      <c r="R34" s="3423" t="s">
        <v>2969</v>
      </c>
    </row>
    <row r="35" spans="1:18" ht="14.25" customHeight="1">
      <c r="A35" s="3423" t="s">
        <v>1144</v>
      </c>
      <c r="B35" s="1289" t="s">
        <v>1009</v>
      </c>
      <c r="C35" s="3423">
        <v>27270</v>
      </c>
      <c r="D35" s="3423">
        <v>24270</v>
      </c>
      <c r="E35" s="3423">
        <v>24950</v>
      </c>
      <c r="F35" s="3429">
        <v>6600</v>
      </c>
      <c r="G35" s="3429">
        <v>16990</v>
      </c>
      <c r="I35" s="1022"/>
      <c r="N35" s="3423" t="s">
        <v>2849</v>
      </c>
      <c r="O35" s="3423" t="s">
        <v>2863</v>
      </c>
      <c r="P35" s="3423" t="s">
        <v>2913</v>
      </c>
      <c r="Q35" s="3423" t="s">
        <v>2942</v>
      </c>
      <c r="R35" s="3423" t="s">
        <v>2970</v>
      </c>
    </row>
    <row r="36" spans="1:18" ht="14.25" customHeight="1">
      <c r="A36" s="3423" t="s">
        <v>1144</v>
      </c>
      <c r="B36" s="1289" t="s">
        <v>1015</v>
      </c>
      <c r="C36" s="3423">
        <v>23490</v>
      </c>
      <c r="D36" s="3423">
        <v>23020</v>
      </c>
      <c r="E36" s="3423">
        <v>25230</v>
      </c>
      <c r="F36" s="3429">
        <v>6780</v>
      </c>
      <c r="G36" s="3429">
        <v>16120</v>
      </c>
      <c r="I36" s="1022"/>
      <c r="N36" s="3432" t="s">
        <v>2850</v>
      </c>
      <c r="O36" s="3460" t="s">
        <v>2864</v>
      </c>
      <c r="P36" s="3423" t="s">
        <v>2914</v>
      </c>
      <c r="Q36" s="3423" t="s">
        <v>2943</v>
      </c>
      <c r="R36" s="3423" t="s">
        <v>2971</v>
      </c>
    </row>
    <row r="37" spans="1:18" ht="14.25" customHeight="1">
      <c r="A37" s="3423" t="s">
        <v>1144</v>
      </c>
      <c r="B37" s="1289" t="s">
        <v>1022</v>
      </c>
      <c r="C37" s="3423">
        <v>24380</v>
      </c>
      <c r="D37" s="3423">
        <v>22240</v>
      </c>
      <c r="E37" s="3423">
        <v>25980</v>
      </c>
      <c r="F37" s="3429">
        <v>8160</v>
      </c>
      <c r="G37" s="3429">
        <v>15570</v>
      </c>
      <c r="I37" s="1023"/>
      <c r="N37" s="3432" t="s">
        <v>2851</v>
      </c>
      <c r="O37" s="3460" t="s">
        <v>2865</v>
      </c>
      <c r="P37" s="3423" t="s">
        <v>2915</v>
      </c>
      <c r="Q37" s="3423" t="s">
        <v>2944</v>
      </c>
      <c r="R37" s="3423" t="s">
        <v>2972</v>
      </c>
    </row>
    <row r="38" spans="1:18" ht="14.25" customHeight="1">
      <c r="A38" s="3423" t="s">
        <v>1144</v>
      </c>
      <c r="B38" s="1289" t="s">
        <v>1032</v>
      </c>
      <c r="C38" s="3423">
        <v>23120</v>
      </c>
      <c r="D38" s="3423">
        <v>24630</v>
      </c>
      <c r="E38" s="3423">
        <v>25030</v>
      </c>
      <c r="F38" s="3429">
        <v>7710</v>
      </c>
      <c r="G38" s="3429">
        <v>17240</v>
      </c>
      <c r="I38" s="1024"/>
      <c r="N38" s="3432" t="s">
        <v>2852</v>
      </c>
      <c r="O38" s="3460" t="s">
        <v>2866</v>
      </c>
      <c r="P38" s="3423" t="s">
        <v>2916</v>
      </c>
      <c r="Q38" s="3423" t="s">
        <v>2945</v>
      </c>
      <c r="R38" s="3423" t="s">
        <v>2973</v>
      </c>
    </row>
    <row r="39" spans="1:18" ht="14.25" customHeight="1">
      <c r="A39" s="3423" t="s">
        <v>1144</v>
      </c>
      <c r="B39" s="1289" t="s">
        <v>1041</v>
      </c>
      <c r="C39" s="3423">
        <v>22330</v>
      </c>
      <c r="D39" s="3423">
        <v>21140</v>
      </c>
      <c r="E39" s="3423">
        <v>23970</v>
      </c>
      <c r="F39" s="3429">
        <v>7940</v>
      </c>
      <c r="G39" s="3429">
        <v>14790</v>
      </c>
      <c r="I39" s="1024"/>
      <c r="N39" s="3432" t="s">
        <v>2853</v>
      </c>
      <c r="O39" s="3460" t="s">
        <v>2867</v>
      </c>
      <c r="P39" s="3423" t="s">
        <v>2917</v>
      </c>
      <c r="Q39" s="3423" t="s">
        <v>2946</v>
      </c>
      <c r="R39" s="3423" t="s">
        <v>2974</v>
      </c>
    </row>
    <row r="40" spans="1:18" ht="14.25" customHeight="1">
      <c r="A40" s="3423" t="s">
        <v>1144</v>
      </c>
      <c r="B40" s="1289" t="s">
        <v>1048</v>
      </c>
      <c r="C40" s="3423">
        <v>24740</v>
      </c>
      <c r="D40" s="3423">
        <v>24690</v>
      </c>
      <c r="E40" s="3423">
        <v>22610</v>
      </c>
      <c r="F40" s="3429"/>
      <c r="G40" s="3429">
        <v>17280</v>
      </c>
      <c r="I40" s="1024"/>
      <c r="N40" s="3432" t="s">
        <v>2854</v>
      </c>
      <c r="O40" s="3460" t="s">
        <v>2868</v>
      </c>
      <c r="P40" s="3423" t="s">
        <v>2918</v>
      </c>
      <c r="Q40" s="3423" t="s">
        <v>2947</v>
      </c>
      <c r="R40" s="3423" t="s">
        <v>2975</v>
      </c>
    </row>
    <row r="41" spans="1:18" ht="14.25" customHeight="1">
      <c r="A41" s="3423" t="s">
        <v>1144</v>
      </c>
      <c r="B41" s="1289" t="s">
        <v>1055</v>
      </c>
      <c r="C41" s="3423">
        <v>21220</v>
      </c>
      <c r="D41" s="3423">
        <v>21120</v>
      </c>
      <c r="E41" s="3423">
        <v>22590</v>
      </c>
      <c r="F41" s="3429"/>
      <c r="G41" s="3429">
        <v>14780</v>
      </c>
      <c r="I41" s="1024"/>
      <c r="N41" s="3432" t="s">
        <v>2855</v>
      </c>
      <c r="O41" s="3461" t="s">
        <v>2869</v>
      </c>
      <c r="P41" s="1289" t="s">
        <v>2919</v>
      </c>
      <c r="Q41" s="3432" t="s">
        <v>2948</v>
      </c>
      <c r="R41" s="1289" t="s">
        <v>2976</v>
      </c>
    </row>
    <row r="42" spans="1:18" ht="14.25" customHeight="1">
      <c r="A42" s="3423" t="s">
        <v>1144</v>
      </c>
      <c r="B42" s="1289" t="s">
        <v>1062</v>
      </c>
      <c r="C42" s="3423">
        <v>24800</v>
      </c>
      <c r="D42" s="3423">
        <v>22280</v>
      </c>
      <c r="E42" s="3423">
        <v>24350</v>
      </c>
      <c r="F42" s="3429"/>
      <c r="G42" s="3429">
        <v>15590</v>
      </c>
      <c r="I42" s="1024"/>
      <c r="O42" s="3423" t="s">
        <v>2870</v>
      </c>
      <c r="P42" s="3423" t="s">
        <v>2920</v>
      </c>
      <c r="Q42" s="3432" t="s">
        <v>2949</v>
      </c>
      <c r="R42" s="3423" t="s">
        <v>2977</v>
      </c>
    </row>
    <row r="43" spans="1:18" ht="14.25" customHeight="1">
      <c r="A43" s="3423" t="s">
        <v>1144</v>
      </c>
      <c r="B43" s="1289" t="s">
        <v>1070</v>
      </c>
      <c r="C43" s="3423">
        <v>21210</v>
      </c>
      <c r="D43" s="3423">
        <v>21160</v>
      </c>
      <c r="E43" s="3423">
        <v>22650</v>
      </c>
      <c r="F43" s="3429"/>
      <c r="G43" s="3429">
        <v>14800</v>
      </c>
      <c r="I43" s="1024"/>
      <c r="O43" s="3423" t="s">
        <v>2871</v>
      </c>
      <c r="P43" s="3423" t="s">
        <v>2921</v>
      </c>
      <c r="Q43" s="3432" t="s">
        <v>2950</v>
      </c>
      <c r="R43" s="3423" t="s">
        <v>2978</v>
      </c>
    </row>
    <row r="44" spans="1:18" ht="14.25" customHeight="1">
      <c r="A44" s="3423" t="s">
        <v>1144</v>
      </c>
      <c r="B44" s="1289" t="s">
        <v>1078</v>
      </c>
      <c r="C44" s="3423">
        <v>22370</v>
      </c>
      <c r="D44" s="3423">
        <v>23140</v>
      </c>
      <c r="E44" s="3423">
        <v>25090</v>
      </c>
      <c r="F44" s="3429"/>
      <c r="G44" s="3429">
        <v>16190</v>
      </c>
      <c r="I44" s="1024"/>
      <c r="O44" s="3423" t="s">
        <v>2872</v>
      </c>
      <c r="P44" s="3423" t="s">
        <v>2922</v>
      </c>
      <c r="Q44" s="3432" t="s">
        <v>2951</v>
      </c>
      <c r="R44" s="3423" t="s">
        <v>2979</v>
      </c>
    </row>
    <row r="45" spans="1:18" ht="14.25" customHeight="1">
      <c r="A45" s="3423" t="s">
        <v>1144</v>
      </c>
      <c r="B45" s="1289" t="s">
        <v>1083</v>
      </c>
      <c r="C45" s="3423">
        <v>21240</v>
      </c>
      <c r="D45" s="3423">
        <v>27050</v>
      </c>
      <c r="E45" s="3423">
        <v>28000</v>
      </c>
      <c r="F45" s="3429"/>
      <c r="G45" s="3429">
        <v>18940</v>
      </c>
      <c r="I45" s="1022"/>
      <c r="O45" s="3423" t="s">
        <v>2873</v>
      </c>
      <c r="P45" s="3423" t="s">
        <v>2923</v>
      </c>
      <c r="R45" s="3423" t="s">
        <v>2980</v>
      </c>
    </row>
    <row r="46" spans="1:18" ht="14.25" customHeight="1">
      <c r="A46" s="3423" t="s">
        <v>1144</v>
      </c>
      <c r="B46" s="1289" t="s">
        <v>1092</v>
      </c>
      <c r="C46" s="3423">
        <v>23240</v>
      </c>
      <c r="D46" s="3423">
        <v>23000</v>
      </c>
      <c r="E46" s="3423">
        <v>24980</v>
      </c>
      <c r="F46" s="3429"/>
      <c r="G46" s="3429">
        <v>16100</v>
      </c>
      <c r="I46" s="1024"/>
      <c r="O46" s="3423" t="s">
        <v>2874</v>
      </c>
      <c r="P46" s="3423"/>
      <c r="R46" s="3423" t="s">
        <v>2981</v>
      </c>
    </row>
    <row r="47" spans="1:18" ht="14.25" customHeight="1">
      <c r="A47" s="3423" t="s">
        <v>1144</v>
      </c>
      <c r="B47" s="2600" t="s">
        <v>1099</v>
      </c>
      <c r="C47" s="1287">
        <v>27150</v>
      </c>
      <c r="D47" s="1287">
        <v>23310</v>
      </c>
      <c r="E47" s="1287">
        <v>25150</v>
      </c>
      <c r="F47" s="3434"/>
      <c r="G47" s="3434">
        <v>16310</v>
      </c>
      <c r="I47" s="1024"/>
      <c r="O47" s="3423" t="s">
        <v>2875</v>
      </c>
      <c r="P47" s="3423"/>
      <c r="R47" s="3432" t="s">
        <v>2982</v>
      </c>
    </row>
    <row r="48" spans="1:18" ht="14.25" customHeight="1">
      <c r="A48" s="3423" t="s">
        <v>1144</v>
      </c>
      <c r="B48" s="3423" t="s">
        <v>1107</v>
      </c>
      <c r="C48" s="3423">
        <v>23100</v>
      </c>
      <c r="D48" s="3423">
        <v>21110</v>
      </c>
      <c r="E48" s="3423">
        <v>23080</v>
      </c>
      <c r="F48" s="3429"/>
      <c r="G48" s="3436">
        <v>14780</v>
      </c>
      <c r="I48" s="1022"/>
      <c r="O48" s="3423" t="s">
        <v>2876</v>
      </c>
      <c r="P48" s="3423"/>
      <c r="R48" s="3432" t="s">
        <v>2983</v>
      </c>
    </row>
    <row r="49" spans="1:18" ht="14.25" customHeight="1">
      <c r="A49" s="3423" t="s">
        <v>1144</v>
      </c>
      <c r="B49" s="1289" t="s">
        <v>1114</v>
      </c>
      <c r="C49" s="1289">
        <v>23400</v>
      </c>
      <c r="D49" s="1289">
        <v>22920</v>
      </c>
      <c r="E49" s="1289">
        <v>24900</v>
      </c>
      <c r="F49" s="3424"/>
      <c r="G49" s="3424">
        <v>16040</v>
      </c>
      <c r="I49" s="1024"/>
      <c r="O49" s="3423" t="s">
        <v>2877</v>
      </c>
      <c r="P49" s="3423"/>
      <c r="R49" s="3432" t="s">
        <v>2984</v>
      </c>
    </row>
    <row r="50" spans="1:18" ht="14.25" customHeight="1">
      <c r="A50" s="3423" t="s">
        <v>1144</v>
      </c>
      <c r="B50" s="3423" t="s">
        <v>2826</v>
      </c>
      <c r="C50" s="3423">
        <v>21200</v>
      </c>
      <c r="D50" s="3423">
        <v>26540</v>
      </c>
      <c r="E50" s="3423">
        <v>23200</v>
      </c>
      <c r="F50" s="3429"/>
      <c r="G50" s="3429">
        <v>18580</v>
      </c>
      <c r="I50" s="1024"/>
      <c r="O50" s="3432" t="s">
        <v>2878</v>
      </c>
      <c r="R50" s="3432" t="s">
        <v>2985</v>
      </c>
    </row>
    <row r="51" spans="1:18" ht="14.25" customHeight="1">
      <c r="A51" s="3423" t="s">
        <v>1144</v>
      </c>
      <c r="B51" s="3423" t="s">
        <v>2827</v>
      </c>
      <c r="C51" s="3423">
        <v>23000</v>
      </c>
      <c r="D51" s="3423">
        <v>23460</v>
      </c>
      <c r="E51" s="3423">
        <v>25290</v>
      </c>
      <c r="F51" s="3429"/>
      <c r="G51" s="3429">
        <v>16420</v>
      </c>
      <c r="I51" s="1024"/>
      <c r="O51" s="3432" t="s">
        <v>2879</v>
      </c>
      <c r="R51" s="3432" t="s">
        <v>2986</v>
      </c>
    </row>
    <row r="52" spans="1:18" ht="14.25" customHeight="1">
      <c r="A52" s="3423" t="s">
        <v>1144</v>
      </c>
      <c r="B52" s="3423" t="s">
        <v>2828</v>
      </c>
      <c r="C52" s="3423">
        <v>26660</v>
      </c>
      <c r="D52" s="3423">
        <v>22350</v>
      </c>
      <c r="E52" s="3423">
        <v>22920</v>
      </c>
      <c r="F52" s="3429"/>
      <c r="G52" s="3429">
        <v>15640</v>
      </c>
      <c r="I52" s="1024"/>
      <c r="O52" s="3432" t="s">
        <v>2880</v>
      </c>
    </row>
    <row r="53" spans="1:18" ht="14.25" customHeight="1">
      <c r="A53" s="3423" t="s">
        <v>1144</v>
      </c>
      <c r="B53" s="3423" t="s">
        <v>2829</v>
      </c>
      <c r="C53" s="3423">
        <v>23580</v>
      </c>
      <c r="D53" s="3423"/>
      <c r="E53" s="3423">
        <v>24280</v>
      </c>
      <c r="F53" s="3429"/>
      <c r="G53" s="3429"/>
      <c r="I53" s="1024"/>
      <c r="O53" s="3432" t="s">
        <v>2881</v>
      </c>
    </row>
    <row r="54" spans="1:18" ht="14.25" customHeight="1" thickBot="1">
      <c r="A54" s="3438" t="s">
        <v>1144</v>
      </c>
      <c r="B54" s="3426" t="s">
        <v>2830</v>
      </c>
      <c r="C54" s="3426">
        <v>22460</v>
      </c>
      <c r="D54" s="3426"/>
      <c r="E54" s="3426"/>
      <c r="F54" s="3427"/>
      <c r="G54" s="3439"/>
      <c r="I54" s="1024"/>
      <c r="O54" s="3432" t="s">
        <v>2882</v>
      </c>
    </row>
    <row r="55" spans="1:18" ht="14.25" customHeight="1">
      <c r="A55" s="3437" t="s">
        <v>852</v>
      </c>
      <c r="B55" s="1289" t="s">
        <v>2831</v>
      </c>
      <c r="C55" s="1289">
        <v>21970</v>
      </c>
      <c r="D55" s="1289">
        <v>20370</v>
      </c>
      <c r="E55" s="1289">
        <v>20180</v>
      </c>
      <c r="F55" s="3424">
        <v>5730</v>
      </c>
      <c r="G55" s="3424">
        <v>13820</v>
      </c>
      <c r="I55" s="1024"/>
      <c r="O55" s="3432" t="s">
        <v>2883</v>
      </c>
    </row>
    <row r="56" spans="1:18" ht="14.25" customHeight="1">
      <c r="A56" s="3423" t="s">
        <v>852</v>
      </c>
      <c r="B56" s="3423" t="s">
        <v>974</v>
      </c>
      <c r="C56" s="3423">
        <v>20470</v>
      </c>
      <c r="D56" s="3423">
        <v>20700</v>
      </c>
      <c r="E56" s="3423">
        <v>20380</v>
      </c>
      <c r="F56" s="3429">
        <v>4760</v>
      </c>
      <c r="G56" s="3429">
        <v>14050</v>
      </c>
      <c r="I56" s="1024"/>
      <c r="O56" s="3432" t="s">
        <v>2884</v>
      </c>
    </row>
    <row r="57" spans="1:18" ht="14.25" customHeight="1">
      <c r="A57" s="3423" t="s">
        <v>852</v>
      </c>
      <c r="B57" s="3423" t="s">
        <v>984</v>
      </c>
      <c r="C57" s="3423">
        <v>20790</v>
      </c>
      <c r="D57" s="3423">
        <v>21370</v>
      </c>
      <c r="E57" s="3423">
        <v>20890</v>
      </c>
      <c r="F57" s="3429">
        <v>4910</v>
      </c>
      <c r="G57" s="3429">
        <v>14510</v>
      </c>
      <c r="I57" s="1024"/>
      <c r="O57" s="3432" t="s">
        <v>2885</v>
      </c>
    </row>
    <row r="58" spans="1:18" ht="14.25" customHeight="1">
      <c r="A58" s="3423" t="s">
        <v>852</v>
      </c>
      <c r="B58" s="3423" t="s">
        <v>993</v>
      </c>
      <c r="C58" s="3423">
        <v>21460</v>
      </c>
      <c r="D58" s="3423">
        <v>20920</v>
      </c>
      <c r="E58" s="3423">
        <v>23410</v>
      </c>
      <c r="F58" s="3429">
        <v>5100</v>
      </c>
      <c r="G58" s="3429">
        <v>14200</v>
      </c>
      <c r="I58" s="1024"/>
      <c r="O58" s="3432" t="s">
        <v>2886</v>
      </c>
    </row>
    <row r="59" spans="1:18" ht="14.25" customHeight="1">
      <c r="A59" s="3423" t="s">
        <v>852</v>
      </c>
      <c r="B59" s="3423" t="s">
        <v>1003</v>
      </c>
      <c r="C59" s="3423">
        <v>21000</v>
      </c>
      <c r="D59" s="3423">
        <v>21550</v>
      </c>
      <c r="E59" s="3423">
        <v>21150</v>
      </c>
      <c r="F59" s="3429">
        <v>5250</v>
      </c>
      <c r="G59" s="3429">
        <v>14630</v>
      </c>
      <c r="I59" s="1024"/>
      <c r="O59" s="3432" t="s">
        <v>2887</v>
      </c>
    </row>
    <row r="60" spans="1:18" ht="14.25" customHeight="1">
      <c r="A60" s="3423" t="s">
        <v>852</v>
      </c>
      <c r="B60" s="3423" t="s">
        <v>1010</v>
      </c>
      <c r="C60" s="3423">
        <v>21640</v>
      </c>
      <c r="D60" s="3423">
        <v>21260</v>
      </c>
      <c r="E60" s="3423">
        <v>24040</v>
      </c>
      <c r="F60" s="3429">
        <v>4470</v>
      </c>
      <c r="G60" s="3429">
        <v>14430</v>
      </c>
      <c r="I60" s="1024"/>
      <c r="O60" s="3432" t="s">
        <v>2888</v>
      </c>
    </row>
    <row r="61" spans="1:18" ht="14.25" customHeight="1">
      <c r="A61" s="3423" t="s">
        <v>852</v>
      </c>
      <c r="B61" s="3423" t="s">
        <v>1016</v>
      </c>
      <c r="C61" s="3423">
        <v>21330</v>
      </c>
      <c r="D61" s="3423">
        <v>18640</v>
      </c>
      <c r="E61" s="3423">
        <v>21190</v>
      </c>
      <c r="F61" s="3429">
        <v>4180</v>
      </c>
      <c r="G61" s="3431">
        <v>12650</v>
      </c>
      <c r="I61" s="1024"/>
      <c r="O61" s="3432" t="s">
        <v>2889</v>
      </c>
    </row>
    <row r="62" spans="1:18" ht="14.25" customHeight="1">
      <c r="A62" s="3423" t="s">
        <v>852</v>
      </c>
      <c r="B62" s="3423" t="s">
        <v>1023</v>
      </c>
      <c r="C62" s="3423">
        <v>18710</v>
      </c>
      <c r="D62" s="3423">
        <v>19400</v>
      </c>
      <c r="E62" s="3423">
        <v>23750</v>
      </c>
      <c r="F62" s="3429">
        <v>4860</v>
      </c>
      <c r="G62" s="3431">
        <v>13170</v>
      </c>
      <c r="I62" s="1024"/>
      <c r="O62" s="3432" t="s">
        <v>2890</v>
      </c>
    </row>
    <row r="63" spans="1:18" ht="14.25" customHeight="1">
      <c r="A63" s="3423" t="s">
        <v>852</v>
      </c>
      <c r="B63" s="3423" t="s">
        <v>1033</v>
      </c>
      <c r="C63" s="3423">
        <v>19480</v>
      </c>
      <c r="D63" s="3423">
        <v>16830</v>
      </c>
      <c r="E63" s="3423">
        <v>21590</v>
      </c>
      <c r="F63" s="3429">
        <v>4560</v>
      </c>
      <c r="G63" s="3431">
        <v>11420</v>
      </c>
      <c r="I63" s="1024"/>
      <c r="O63" s="3432" t="s">
        <v>2891</v>
      </c>
    </row>
    <row r="64" spans="1:18" ht="14.25" customHeight="1">
      <c r="A64" s="3423" t="s">
        <v>852</v>
      </c>
      <c r="B64" s="3423" t="s">
        <v>1042</v>
      </c>
      <c r="C64" s="3423">
        <v>16920</v>
      </c>
      <c r="D64" s="3423">
        <v>19190</v>
      </c>
      <c r="E64" s="3423">
        <v>22200</v>
      </c>
      <c r="F64" s="3429">
        <v>4390</v>
      </c>
      <c r="G64" s="3431">
        <v>13030</v>
      </c>
      <c r="I64" s="1024"/>
      <c r="O64" s="3432" t="s">
        <v>2892</v>
      </c>
    </row>
    <row r="65" spans="1:21" s="1011" customFormat="1" ht="14.25" customHeight="1">
      <c r="A65" s="3423" t="s">
        <v>852</v>
      </c>
      <c r="B65" s="3423" t="s">
        <v>1049</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852</v>
      </c>
      <c r="B66" s="3423" t="s">
        <v>1056</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852</v>
      </c>
      <c r="B67" s="3423" t="s">
        <v>1063</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852</v>
      </c>
      <c r="B68" s="3423" t="s">
        <v>1071</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852</v>
      </c>
      <c r="B69" s="3423" t="s">
        <v>1079</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852</v>
      </c>
      <c r="B70" s="3423" t="s">
        <v>1084</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852</v>
      </c>
      <c r="B71" s="3423" t="s">
        <v>1093</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852</v>
      </c>
      <c r="B72" s="3423" t="s">
        <v>1100</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852</v>
      </c>
      <c r="B73" s="3423" t="s">
        <v>1108</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852</v>
      </c>
      <c r="B74" s="3423" t="s">
        <v>1115</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852</v>
      </c>
      <c r="B75" s="3423" t="s">
        <v>1119</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852</v>
      </c>
      <c r="B76" s="1289" t="s">
        <v>1126</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852</v>
      </c>
      <c r="B77" s="3423" t="s">
        <v>1129</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852</v>
      </c>
      <c r="B78" s="3423" t="s">
        <v>2832</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852</v>
      </c>
      <c r="B79" s="3423" t="s">
        <v>2833</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852</v>
      </c>
      <c r="B80" s="3423" t="s">
        <v>2834</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852</v>
      </c>
      <c r="B81" s="3423" t="s">
        <v>2835</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852</v>
      </c>
      <c r="B82" s="3423" t="s">
        <v>2836</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852</v>
      </c>
      <c r="B83" s="3423" t="s">
        <v>2837</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852</v>
      </c>
      <c r="B84" s="3423" t="s">
        <v>2838</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852</v>
      </c>
      <c r="B85" s="1287" t="s">
        <v>2839</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852</v>
      </c>
      <c r="B86" s="3426" t="s">
        <v>2840</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1151</v>
      </c>
      <c r="B87" s="1289" t="s">
        <v>2841</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1151</v>
      </c>
      <c r="B88" s="3423" t="s">
        <v>975</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1151</v>
      </c>
      <c r="B89" s="3423" t="s">
        <v>985</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1151</v>
      </c>
      <c r="B90" s="3423" t="s">
        <v>994</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1151</v>
      </c>
      <c r="B91" s="3423" t="s">
        <v>1004</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1151</v>
      </c>
      <c r="B92" s="3423" t="s">
        <v>1011</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1151</v>
      </c>
      <c r="B93" s="3423" t="s">
        <v>1017</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1151</v>
      </c>
      <c r="B94" s="3423" t="s">
        <v>1024</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1151</v>
      </c>
      <c r="B95" s="3423" t="s">
        <v>1034</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1151</v>
      </c>
      <c r="B96" s="3423" t="s">
        <v>1043</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1151</v>
      </c>
      <c r="B97" s="3423" t="s">
        <v>1050</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1151</v>
      </c>
      <c r="B98" s="3423" t="s">
        <v>1057</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1151</v>
      </c>
      <c r="B99" s="3423" t="s">
        <v>1064</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1151</v>
      </c>
      <c r="B100" s="3423" t="s">
        <v>1072</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1151</v>
      </c>
      <c r="B101" s="3423" t="s">
        <v>1080</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1151</v>
      </c>
      <c r="B102" s="3423" t="s">
        <v>1085</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1151</v>
      </c>
      <c r="B103" s="3423" t="s">
        <v>1094</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1151</v>
      </c>
      <c r="B104" s="3423" t="s">
        <v>1101</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1151</v>
      </c>
      <c r="B105" s="3423" t="s">
        <v>1109</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1151</v>
      </c>
      <c r="B106" s="3423" t="s">
        <v>1116</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1151</v>
      </c>
      <c r="B107" s="3423" t="s">
        <v>1120</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1151</v>
      </c>
      <c r="B108" s="3423" t="s">
        <v>1127</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1151</v>
      </c>
      <c r="B109" s="3423" t="s">
        <v>1130</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1151</v>
      </c>
      <c r="B110" s="1289" t="s">
        <v>1132</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1151</v>
      </c>
      <c r="B111" s="3423" t="s">
        <v>1135</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1151</v>
      </c>
      <c r="B112" s="3423" t="s">
        <v>1139</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1151</v>
      </c>
      <c r="B113" s="3423" t="s">
        <v>2842</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1151</v>
      </c>
      <c r="B114" s="3423" t="s">
        <v>2843</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1151</v>
      </c>
      <c r="B115" s="3423" t="s">
        <v>2844</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1151</v>
      </c>
      <c r="B116" s="3423" t="s">
        <v>2845</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1151</v>
      </c>
      <c r="B117" s="3423" t="s">
        <v>2846</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1151</v>
      </c>
      <c r="B118" s="3423" t="s">
        <v>2847</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1151</v>
      </c>
      <c r="B119" s="3423" t="s">
        <v>2848</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1151</v>
      </c>
      <c r="B120" s="3423" t="s">
        <v>2849</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1151</v>
      </c>
      <c r="B121" s="3423" t="s">
        <v>2850</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1151</v>
      </c>
      <c r="B122" s="3423" t="s">
        <v>2851</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1151</v>
      </c>
      <c r="B123" s="3423" t="s">
        <v>2852</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1151</v>
      </c>
      <c r="B124" s="3423" t="s">
        <v>2853</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1151</v>
      </c>
      <c r="B125" s="1287" t="s">
        <v>2854</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1151</v>
      </c>
      <c r="B126" s="3426" t="s">
        <v>2855</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1152</v>
      </c>
      <c r="B127" s="1289" t="s">
        <v>2856</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1152</v>
      </c>
      <c r="B128" s="3423" t="s">
        <v>976</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1152</v>
      </c>
      <c r="B129" s="3423" t="s">
        <v>986</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1152</v>
      </c>
      <c r="B130" s="3423" t="s">
        <v>995</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1152</v>
      </c>
      <c r="B131" s="3423" t="s">
        <v>1005</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1152</v>
      </c>
      <c r="B132" s="3423" t="s">
        <v>1012</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1152</v>
      </c>
      <c r="B133" s="3423" t="s">
        <v>1018</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1152</v>
      </c>
      <c r="B134" s="3423" t="s">
        <v>1025</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1152</v>
      </c>
      <c r="B135" s="3423" t="s">
        <v>1035</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1152</v>
      </c>
      <c r="B136" s="3423" t="s">
        <v>1044</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1152</v>
      </c>
      <c r="B137" s="3423" t="s">
        <v>1051</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1152</v>
      </c>
      <c r="B138" s="3423" t="s">
        <v>1058</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1152</v>
      </c>
      <c r="B139" s="3423" t="s">
        <v>1065</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1152</v>
      </c>
      <c r="B140" s="3423" t="s">
        <v>1073</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1152</v>
      </c>
      <c r="B141" s="3423" t="s">
        <v>1081</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1152</v>
      </c>
      <c r="B142" s="3423" t="s">
        <v>1086</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1152</v>
      </c>
      <c r="B143" s="3423" t="s">
        <v>1095</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1152</v>
      </c>
      <c r="B144" s="3423" t="s">
        <v>1102</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1152</v>
      </c>
      <c r="B145" s="3423" t="s">
        <v>1110</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1152</v>
      </c>
      <c r="B146" s="3423" t="s">
        <v>1117</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1152</v>
      </c>
      <c r="B147" s="3423" t="s">
        <v>1121</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1152</v>
      </c>
      <c r="B148" s="3423" t="s">
        <v>2857</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1152</v>
      </c>
      <c r="B149" s="3423" t="s">
        <v>2858</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1152</v>
      </c>
      <c r="B150" s="3423" t="s">
        <v>1140</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1152</v>
      </c>
      <c r="B151" s="3423" t="s">
        <v>1142</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1152</v>
      </c>
      <c r="B152" s="3423" t="s">
        <v>1145</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1152</v>
      </c>
      <c r="B153" s="3423" t="s">
        <v>2859</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1152</v>
      </c>
      <c r="B154" s="3423" t="s">
        <v>2860</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1152</v>
      </c>
      <c r="B155" s="3423" t="s">
        <v>2861</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1152</v>
      </c>
      <c r="B156" s="3423" t="s">
        <v>2862</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1152</v>
      </c>
      <c r="B157" s="3423" t="s">
        <v>1148</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1152</v>
      </c>
      <c r="B158" s="1289" t="s">
        <v>1149</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1152</v>
      </c>
      <c r="B159" s="3423" t="s">
        <v>1150</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1152</v>
      </c>
      <c r="B160" s="3423" t="s">
        <v>2863</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1152</v>
      </c>
      <c r="B161" s="3423" t="s">
        <v>2864</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1152</v>
      </c>
      <c r="B162" s="3423" t="s">
        <v>2865</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1152</v>
      </c>
      <c r="B163" s="3423" t="s">
        <v>2866</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1152</v>
      </c>
      <c r="B164" s="3423" t="s">
        <v>2867</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1152</v>
      </c>
      <c r="B165" s="3423" t="s">
        <v>2868</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1152</v>
      </c>
      <c r="B166" s="3423" t="s">
        <v>2869</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1152</v>
      </c>
      <c r="B167" s="3423" t="s">
        <v>2870</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1152</v>
      </c>
      <c r="B168" s="3423" t="s">
        <v>2871</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1152</v>
      </c>
      <c r="B169" s="3423" t="s">
        <v>2872</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1152</v>
      </c>
      <c r="B170" s="3423" t="s">
        <v>2873</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1152</v>
      </c>
      <c r="B171" s="3423" t="s">
        <v>2874</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1152</v>
      </c>
      <c r="B172" s="3423" t="s">
        <v>2875</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1152</v>
      </c>
      <c r="B173" s="3423" t="s">
        <v>2876</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1152</v>
      </c>
      <c r="B174" s="3423" t="s">
        <v>2877</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1152</v>
      </c>
      <c r="B175" s="3423" t="s">
        <v>2878</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1152</v>
      </c>
      <c r="B176" s="3423" t="s">
        <v>2879</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1152</v>
      </c>
      <c r="B177" s="3423" t="s">
        <v>2880</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1152</v>
      </c>
      <c r="B178" s="3423" t="s">
        <v>2881</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1152</v>
      </c>
      <c r="B179" s="3423" t="s">
        <v>2882</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1152</v>
      </c>
      <c r="B180" s="3423" t="s">
        <v>2883</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1152</v>
      </c>
      <c r="B181" s="3423" t="s">
        <v>2884</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1152</v>
      </c>
      <c r="B182" s="3423" t="s">
        <v>2885</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1152</v>
      </c>
      <c r="B183" s="3423" t="s">
        <v>2886</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1152</v>
      </c>
      <c r="B184" s="3423" t="s">
        <v>2887</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1152</v>
      </c>
      <c r="B185" s="3423" t="s">
        <v>2888</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1152</v>
      </c>
      <c r="B186" s="3423" t="s">
        <v>2889</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1152</v>
      </c>
      <c r="B187" s="3423" t="s">
        <v>2890</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1152</v>
      </c>
      <c r="B188" s="3423" t="s">
        <v>2891</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1152</v>
      </c>
      <c r="B189" s="3426" t="s">
        <v>2892</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1153</v>
      </c>
      <c r="B190" s="1289" t="s">
        <v>2893</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1153</v>
      </c>
      <c r="B191" s="3423" t="s">
        <v>977</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1153</v>
      </c>
      <c r="B192" s="3423" t="s">
        <v>987</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1153</v>
      </c>
      <c r="B193" s="3423" t="s">
        <v>996</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1153</v>
      </c>
      <c r="B194" s="3423" t="s">
        <v>1006</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1153</v>
      </c>
      <c r="B195" s="3423" t="s">
        <v>1013</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1153</v>
      </c>
      <c r="B196" s="3423" t="s">
        <v>1019</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1153</v>
      </c>
      <c r="B197" s="3423" t="s">
        <v>1026</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1153</v>
      </c>
      <c r="B198" s="3423" t="s">
        <v>1036</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1153</v>
      </c>
      <c r="B199" s="3423" t="s">
        <v>2894</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1153</v>
      </c>
      <c r="B200" s="3423" t="s">
        <v>2895</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1153</v>
      </c>
      <c r="B201" s="3423" t="s">
        <v>2896</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1153</v>
      </c>
      <c r="B202" s="3423" t="s">
        <v>1087</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1153</v>
      </c>
      <c r="B203" s="3423" t="s">
        <v>2897</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1153</v>
      </c>
      <c r="B204" s="3423" t="s">
        <v>2898</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1153</v>
      </c>
      <c r="B205" s="3423" t="s">
        <v>2899</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1153</v>
      </c>
      <c r="B206" s="1289" t="s">
        <v>2900</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1153</v>
      </c>
      <c r="B207" s="3423" t="s">
        <v>2901</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1153</v>
      </c>
      <c r="B208" s="3423" t="s">
        <v>2902</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1153</v>
      </c>
      <c r="B209" s="3423" t="s">
        <v>1111</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1153</v>
      </c>
      <c r="B210" s="3423" t="s">
        <v>2903</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1153</v>
      </c>
      <c r="B211" s="3423" t="s">
        <v>2904</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1153</v>
      </c>
      <c r="B212" s="3423" t="s">
        <v>1133</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1153</v>
      </c>
      <c r="B213" s="3423" t="s">
        <v>1136</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1153</v>
      </c>
      <c r="B214" s="3423" t="s">
        <v>2905</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1153</v>
      </c>
      <c r="B215" s="3423" t="s">
        <v>1122</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1153</v>
      </c>
      <c r="B216" s="3423" t="s">
        <v>2906</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1153</v>
      </c>
      <c r="B217" s="3423" t="s">
        <v>2907</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1153</v>
      </c>
      <c r="B218" s="3423" t="s">
        <v>2908</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1153</v>
      </c>
      <c r="B219" s="3423" t="s">
        <v>2909</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1153</v>
      </c>
      <c r="B220" s="3423" t="s">
        <v>2910</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1153</v>
      </c>
      <c r="B221" s="3423" t="s">
        <v>2911</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1153</v>
      </c>
      <c r="B222" s="3423" t="s">
        <v>2912</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1153</v>
      </c>
      <c r="B223" s="3423" t="s">
        <v>2913</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1153</v>
      </c>
      <c r="B224" s="3423" t="s">
        <v>2914</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1153</v>
      </c>
      <c r="B225" s="3423" t="s">
        <v>2915</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1153</v>
      </c>
      <c r="B226" s="3423" t="s">
        <v>2916</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1153</v>
      </c>
      <c r="B227" s="3423" t="s">
        <v>2917</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1153</v>
      </c>
      <c r="B228" s="3423" t="s">
        <v>2918</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1153</v>
      </c>
      <c r="B229" s="3423" t="s">
        <v>2919</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1153</v>
      </c>
      <c r="B230" s="3423" t="s">
        <v>2920</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1153</v>
      </c>
      <c r="B231" s="3423" t="s">
        <v>2921</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1153</v>
      </c>
      <c r="B232" s="3423" t="s">
        <v>2922</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1153</v>
      </c>
      <c r="B233" s="3426" t="s">
        <v>2923</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1154</v>
      </c>
      <c r="B234" s="1289" t="s">
        <v>2924</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1154</v>
      </c>
      <c r="B235" s="3423" t="s">
        <v>978</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1154</v>
      </c>
      <c r="B236" s="3423" t="s">
        <v>988</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1154</v>
      </c>
      <c r="B237" s="3423" t="s">
        <v>997</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1154</v>
      </c>
      <c r="B238" s="3423" t="s">
        <v>2925</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1154</v>
      </c>
      <c r="B239" s="3423" t="s">
        <v>2926</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1154</v>
      </c>
      <c r="B240" s="3423" t="s">
        <v>2927</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1154</v>
      </c>
      <c r="B241" s="3423" t="s">
        <v>2928</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1154</v>
      </c>
      <c r="B242" s="3423" t="s">
        <v>1027</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1154</v>
      </c>
      <c r="B243" s="3423" t="s">
        <v>1037</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1154</v>
      </c>
      <c r="B244" s="3423" t="s">
        <v>2929</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1154</v>
      </c>
      <c r="B245" s="1289" t="s">
        <v>1052</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1154</v>
      </c>
      <c r="B246" s="3423" t="s">
        <v>1059</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1154</v>
      </c>
      <c r="B247" s="3423" t="s">
        <v>2930</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1154</v>
      </c>
      <c r="B248" s="3423" t="s">
        <v>1074</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1154</v>
      </c>
      <c r="B249" s="3423" t="s">
        <v>2931</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1154</v>
      </c>
      <c r="B250" s="3423" t="s">
        <v>1088</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1154</v>
      </c>
      <c r="B251" s="3423" t="s">
        <v>1096</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1154</v>
      </c>
      <c r="B252" s="3423" t="s">
        <v>2932</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1154</v>
      </c>
      <c r="B253" s="3423" t="s">
        <v>1131</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1154</v>
      </c>
      <c r="B254" s="3423" t="s">
        <v>1134</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1154</v>
      </c>
      <c r="B255" s="3423" t="s">
        <v>1137</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1154</v>
      </c>
      <c r="B256" s="3423" t="s">
        <v>2933</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1154</v>
      </c>
      <c r="B257" s="3423" t="s">
        <v>1123</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1154</v>
      </c>
      <c r="B258" s="3423" t="s">
        <v>2934</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1154</v>
      </c>
      <c r="B259" s="3423" t="s">
        <v>2935</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1154</v>
      </c>
      <c r="B260" s="3423" t="s">
        <v>2936</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1154</v>
      </c>
      <c r="B261" s="3423" t="s">
        <v>2937</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1154</v>
      </c>
      <c r="B262" s="3423" t="s">
        <v>2938</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1154</v>
      </c>
      <c r="B263" s="3423" t="s">
        <v>2939</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1154</v>
      </c>
      <c r="B264" s="3423" t="s">
        <v>1147</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1154</v>
      </c>
      <c r="B265" s="3423" t="s">
        <v>2940</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1154</v>
      </c>
      <c r="B266" s="3423" t="s">
        <v>2941</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1154</v>
      </c>
      <c r="B267" s="3423" t="s">
        <v>2942</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1154</v>
      </c>
      <c r="B268" s="3423" t="s">
        <v>2943</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1154</v>
      </c>
      <c r="B269" s="3423" t="s">
        <v>2944</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1154</v>
      </c>
      <c r="B270" s="3423" t="s">
        <v>2945</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1154</v>
      </c>
      <c r="B271" s="3423" t="s">
        <v>2946</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1154</v>
      </c>
      <c r="B272" s="3423" t="s">
        <v>2947</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1154</v>
      </c>
      <c r="B273" s="3423" t="s">
        <v>2948</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1154</v>
      </c>
      <c r="B274" s="3423" t="s">
        <v>2949</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1154</v>
      </c>
      <c r="B275" s="3423" t="s">
        <v>2950</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1154</v>
      </c>
      <c r="B276" s="3426" t="s">
        <v>2951</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1155</v>
      </c>
      <c r="B277" s="1289" t="s">
        <v>2952</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1155</v>
      </c>
      <c r="B278" s="3423" t="s">
        <v>979</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1155</v>
      </c>
      <c r="B279" s="3423" t="s">
        <v>2953</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1155</v>
      </c>
      <c r="B280" s="3423" t="s">
        <v>2954</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1155</v>
      </c>
      <c r="B281" s="3423" t="s">
        <v>2955</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1155</v>
      </c>
      <c r="B282" s="3423" t="s">
        <v>2956</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1155</v>
      </c>
      <c r="B283" s="3423" t="s">
        <v>1020</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1155</v>
      </c>
      <c r="B284" s="3423" t="s">
        <v>1028</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1155</v>
      </c>
      <c r="B285" s="3423" t="s">
        <v>1038</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1155</v>
      </c>
      <c r="B286" s="3423" t="s">
        <v>1045</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1155</v>
      </c>
      <c r="B287" s="3423" t="s">
        <v>2957</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1155</v>
      </c>
      <c r="B288" s="3423" t="s">
        <v>1066</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1155</v>
      </c>
      <c r="B289" s="3423" t="s">
        <v>2958</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1155</v>
      </c>
      <c r="B290" s="1289" t="s">
        <v>1089</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1155</v>
      </c>
      <c r="B291" s="3423" t="s">
        <v>1097</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1155</v>
      </c>
      <c r="B292" s="3423" t="s">
        <v>1103</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1155</v>
      </c>
      <c r="B293" s="3423" t="s">
        <v>2959</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1155</v>
      </c>
      <c r="B294" s="3423" t="s">
        <v>2960</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1155</v>
      </c>
      <c r="B295" s="3423" t="s">
        <v>1138</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1155</v>
      </c>
      <c r="B296" s="3423" t="s">
        <v>1141</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1155</v>
      </c>
      <c r="B297" s="3423" t="s">
        <v>1143</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1155</v>
      </c>
      <c r="B298" s="3423" t="s">
        <v>1146</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1155</v>
      </c>
      <c r="B299" s="3423" t="s">
        <v>2961</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1155</v>
      </c>
      <c r="B300" s="3423" t="s">
        <v>1118</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1155</v>
      </c>
      <c r="B301" s="3423" t="s">
        <v>1124</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1155</v>
      </c>
      <c r="B302" s="3423" t="s">
        <v>2962</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1155</v>
      </c>
      <c r="B303" s="3423" t="s">
        <v>2963</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1155</v>
      </c>
      <c r="B304" s="3423" t="s">
        <v>2964</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1155</v>
      </c>
      <c r="B305" s="3423" t="s">
        <v>2965</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1155</v>
      </c>
      <c r="B306" s="3423" t="s">
        <v>2966</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1155</v>
      </c>
      <c r="B307" s="3423" t="s">
        <v>2967</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1155</v>
      </c>
      <c r="B308" s="3423" t="s">
        <v>2968</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1155</v>
      </c>
      <c r="B309" s="3423" t="s">
        <v>2969</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1155</v>
      </c>
      <c r="B310" s="3423" t="s">
        <v>2970</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1155</v>
      </c>
      <c r="B311" s="3423" t="s">
        <v>2971</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1155</v>
      </c>
      <c r="B312" s="3423" t="s">
        <v>2972</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1155</v>
      </c>
      <c r="B313" s="3423" t="s">
        <v>2973</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1155</v>
      </c>
      <c r="B314" s="3423" t="s">
        <v>2974</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1155</v>
      </c>
      <c r="B315" s="3423" t="s">
        <v>2975</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1155</v>
      </c>
      <c r="B316" s="3423" t="s">
        <v>2976</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1155</v>
      </c>
      <c r="B317" s="1289" t="s">
        <v>2977</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1155</v>
      </c>
      <c r="B318" s="3423" t="s">
        <v>2978</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1155</v>
      </c>
      <c r="B319" s="3423" t="s">
        <v>2979</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1155</v>
      </c>
      <c r="B320" s="3423" t="s">
        <v>2980</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1155</v>
      </c>
      <c r="B321" s="3423" t="s">
        <v>2981</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1155</v>
      </c>
      <c r="B322" s="3423" t="s">
        <v>2982</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1155</v>
      </c>
      <c r="B323" s="3423" t="s">
        <v>2983</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1155</v>
      </c>
      <c r="B324" s="3423" t="s">
        <v>2984</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1155</v>
      </c>
      <c r="B325" s="3423" t="s">
        <v>2985</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1155</v>
      </c>
      <c r="B326" s="3426" t="s">
        <v>2986</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1156</v>
      </c>
      <c r="B327" s="2600" t="s">
        <v>2987</v>
      </c>
      <c r="C327" s="2600">
        <v>3750</v>
      </c>
      <c r="D327" s="2600">
        <v>3710</v>
      </c>
      <c r="E327" s="2600">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1156</v>
      </c>
      <c r="B328" s="3423" t="s">
        <v>980</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1156</v>
      </c>
      <c r="B329" s="3423" t="s">
        <v>2988</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1156</v>
      </c>
      <c r="B330" s="3423" t="s">
        <v>2989</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1156</v>
      </c>
      <c r="B331" s="3423" t="s">
        <v>1007</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1156</v>
      </c>
      <c r="B332" s="3423" t="s">
        <v>2990</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1156</v>
      </c>
      <c r="B333" s="3423" t="s">
        <v>2991</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1156</v>
      </c>
      <c r="B334" s="3423" t="s">
        <v>1029</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1156</v>
      </c>
      <c r="B335" s="3423" t="s">
        <v>1039</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1156</v>
      </c>
      <c r="B336" s="3423" t="s">
        <v>2992</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1156</v>
      </c>
      <c r="B337" s="3423" t="s">
        <v>2993</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1156</v>
      </c>
      <c r="B338" s="3423" t="s">
        <v>1067</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1156</v>
      </c>
      <c r="B339" s="3423" t="s">
        <v>1075</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1156</v>
      </c>
      <c r="B340" s="3423" t="s">
        <v>2994</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1156</v>
      </c>
      <c r="B341" s="3423" t="s">
        <v>1053</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1156</v>
      </c>
      <c r="B342" s="3423" t="s">
        <v>2995</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1156</v>
      </c>
      <c r="B343" s="3423" t="s">
        <v>1104</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1156</v>
      </c>
      <c r="B344" s="3423" t="s">
        <v>1112</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1156</v>
      </c>
      <c r="B345" s="3432" t="s">
        <v>2996</v>
      </c>
      <c r="C345" s="3432">
        <v>3190</v>
      </c>
      <c r="D345" s="3432">
        <v>3140</v>
      </c>
      <c r="E345" s="3432">
        <v>3450</v>
      </c>
      <c r="F345" s="3432">
        <v>720</v>
      </c>
      <c r="G345" s="3432">
        <v>1880</v>
      </c>
      <c r="H345" s="3445"/>
    </row>
    <row r="346" spans="1:21">
      <c r="A346" s="3432" t="s">
        <v>1156</v>
      </c>
      <c r="B346" s="3432" t="s">
        <v>2997</v>
      </c>
      <c r="C346" s="3432">
        <v>3630</v>
      </c>
      <c r="D346" s="3432">
        <v>3590</v>
      </c>
      <c r="E346" s="3432">
        <v>3940</v>
      </c>
      <c r="F346" s="3432">
        <v>730</v>
      </c>
      <c r="G346" s="3432">
        <v>2150</v>
      </c>
      <c r="H346" s="3445"/>
    </row>
    <row r="347" spans="1:21">
      <c r="A347" s="3432" t="s">
        <v>1156</v>
      </c>
      <c r="B347" s="3432" t="s">
        <v>1090</v>
      </c>
      <c r="C347" s="3432">
        <v>3860</v>
      </c>
      <c r="D347" s="3432">
        <v>3820</v>
      </c>
      <c r="E347" s="3432">
        <v>4220</v>
      </c>
      <c r="F347" s="3432">
        <v>750</v>
      </c>
      <c r="G347" s="3432">
        <v>2280</v>
      </c>
      <c r="H347" s="3445"/>
    </row>
    <row r="348" spans="1:21">
      <c r="A348" s="3432" t="s">
        <v>1156</v>
      </c>
      <c r="B348" s="3432" t="s">
        <v>2998</v>
      </c>
      <c r="C348" s="3432">
        <v>4000</v>
      </c>
      <c r="D348" s="3432">
        <v>3950</v>
      </c>
      <c r="E348" s="3432">
        <v>4430</v>
      </c>
      <c r="F348" s="3432">
        <v>760</v>
      </c>
      <c r="G348" s="3432">
        <v>2360</v>
      </c>
      <c r="H348" s="3445"/>
    </row>
    <row r="349" spans="1:21">
      <c r="A349" s="3432" t="s">
        <v>1156</v>
      </c>
      <c r="B349" s="3432" t="s">
        <v>2999</v>
      </c>
      <c r="C349" s="3432">
        <v>3820</v>
      </c>
      <c r="D349" s="3432">
        <v>3780</v>
      </c>
      <c r="E349" s="3432">
        <v>4170</v>
      </c>
      <c r="F349" s="3432">
        <v>710</v>
      </c>
      <c r="G349" s="3432">
        <v>2260</v>
      </c>
      <c r="H349" s="3445"/>
    </row>
    <row r="350" spans="1:21">
      <c r="A350" s="3432" t="s">
        <v>1156</v>
      </c>
      <c r="B350" s="3432" t="s">
        <v>3000</v>
      </c>
      <c r="C350" s="3432">
        <v>3760</v>
      </c>
      <c r="D350" s="3432">
        <v>3730</v>
      </c>
      <c r="E350" s="3432">
        <v>4100</v>
      </c>
      <c r="F350" s="3432">
        <v>800</v>
      </c>
      <c r="G350" s="3432">
        <v>2230</v>
      </c>
      <c r="H350" s="3445"/>
    </row>
    <row r="351" spans="1:21">
      <c r="A351" s="3432" t="s">
        <v>1156</v>
      </c>
      <c r="B351" s="3432" t="s">
        <v>3001</v>
      </c>
      <c r="C351" s="3432">
        <v>3610</v>
      </c>
      <c r="D351" s="3432">
        <v>3580</v>
      </c>
      <c r="E351" s="3432">
        <v>3930</v>
      </c>
      <c r="F351" s="3432">
        <v>700</v>
      </c>
      <c r="G351" s="3432">
        <v>2140</v>
      </c>
      <c r="H351" s="3445"/>
    </row>
    <row r="352" spans="1:21">
      <c r="A352" s="3432" t="s">
        <v>1156</v>
      </c>
      <c r="B352" s="3432" t="s">
        <v>3002</v>
      </c>
      <c r="C352" s="3432">
        <v>3670</v>
      </c>
      <c r="D352" s="3432">
        <v>3630</v>
      </c>
      <c r="E352" s="3432">
        <v>4000</v>
      </c>
      <c r="F352" s="3432">
        <v>750</v>
      </c>
      <c r="G352" s="3432">
        <v>2180</v>
      </c>
      <c r="H352" s="3445"/>
    </row>
    <row r="353" spans="1:8">
      <c r="A353" s="3432" t="s">
        <v>1156</v>
      </c>
      <c r="B353" s="3432" t="s">
        <v>3003</v>
      </c>
      <c r="C353" s="3432">
        <v>3190</v>
      </c>
      <c r="D353" s="3432">
        <v>3150</v>
      </c>
      <c r="E353" s="3432">
        <v>3640</v>
      </c>
      <c r="F353" s="3432">
        <v>630</v>
      </c>
      <c r="G353" s="3432">
        <v>1890</v>
      </c>
      <c r="H353" s="3445"/>
    </row>
    <row r="354" spans="1:8">
      <c r="A354" s="3432" t="s">
        <v>1156</v>
      </c>
      <c r="B354" s="3432" t="s">
        <v>1128</v>
      </c>
      <c r="C354" s="3432">
        <v>3450</v>
      </c>
      <c r="D354" s="3432">
        <v>3420</v>
      </c>
      <c r="E354" s="3432">
        <v>3960</v>
      </c>
      <c r="F354" s="3432">
        <v>660</v>
      </c>
      <c r="G354" s="3432">
        <v>2050</v>
      </c>
      <c r="H354" s="3445"/>
    </row>
    <row r="355" spans="1:8">
      <c r="A355" s="3432" t="s">
        <v>1156</v>
      </c>
      <c r="B355" s="3432" t="s">
        <v>3004</v>
      </c>
      <c r="C355" s="3432">
        <v>3650</v>
      </c>
      <c r="D355" s="3432">
        <v>3610</v>
      </c>
      <c r="E355" s="3432">
        <v>4200</v>
      </c>
      <c r="F355" s="3432">
        <v>640</v>
      </c>
      <c r="G355" s="3432">
        <v>2160</v>
      </c>
      <c r="H355" s="3445"/>
    </row>
    <row r="356" spans="1:8">
      <c r="A356" s="3432" t="s">
        <v>1156</v>
      </c>
      <c r="B356" s="3432" t="s">
        <v>3005</v>
      </c>
      <c r="C356" s="3432">
        <v>3260</v>
      </c>
      <c r="D356" s="3432">
        <v>3230</v>
      </c>
      <c r="E356" s="3432">
        <v>3740</v>
      </c>
      <c r="F356" s="3432">
        <v>600</v>
      </c>
      <c r="G356" s="3432">
        <v>1930</v>
      </c>
      <c r="H356" s="3445"/>
    </row>
    <row r="357" spans="1:8" ht="14.25" thickBot="1">
      <c r="A357" s="3448" t="s">
        <v>1156</v>
      </c>
      <c r="B357" s="3448" t="s">
        <v>3006</v>
      </c>
      <c r="C357" s="3448">
        <v>3690</v>
      </c>
      <c r="D357" s="3448">
        <v>3650</v>
      </c>
      <c r="E357" s="3448">
        <v>4020</v>
      </c>
      <c r="F357" s="3448">
        <v>700</v>
      </c>
      <c r="G357" s="3448">
        <v>2190</v>
      </c>
      <c r="H357" s="3445"/>
    </row>
    <row r="358" spans="1:8">
      <c r="A358" s="3449" t="s">
        <v>2761</v>
      </c>
      <c r="B358" s="3450" t="s">
        <v>3007</v>
      </c>
      <c r="C358" s="3450">
        <v>2080</v>
      </c>
      <c r="D358" s="3450">
        <v>2040</v>
      </c>
      <c r="E358" s="3450">
        <v>2010</v>
      </c>
      <c r="F358" s="3450">
        <v>530</v>
      </c>
      <c r="G358" s="3451">
        <v>1230</v>
      </c>
      <c r="H358" s="3445"/>
    </row>
    <row r="359" spans="1:8">
      <c r="A359" s="3452" t="s">
        <v>2761</v>
      </c>
      <c r="B359" s="3432" t="s">
        <v>3008</v>
      </c>
      <c r="C359" s="3432">
        <v>1850</v>
      </c>
      <c r="D359" s="3432">
        <v>1820</v>
      </c>
      <c r="E359" s="3432">
        <v>1780</v>
      </c>
      <c r="F359" s="3432">
        <v>520</v>
      </c>
      <c r="G359" s="3444">
        <v>1100</v>
      </c>
      <c r="H359" s="3445"/>
    </row>
    <row r="360" spans="1:8">
      <c r="A360" s="3452" t="s">
        <v>2761</v>
      </c>
      <c r="B360" s="3432" t="s">
        <v>3009</v>
      </c>
      <c r="C360" s="3432">
        <v>2020</v>
      </c>
      <c r="D360" s="3432">
        <v>1990</v>
      </c>
      <c r="E360" s="3432">
        <v>1950</v>
      </c>
      <c r="F360" s="3432">
        <v>500</v>
      </c>
      <c r="G360" s="3444">
        <v>1200</v>
      </c>
      <c r="H360" s="3445"/>
    </row>
    <row r="361" spans="1:8">
      <c r="A361" s="3452" t="s">
        <v>2761</v>
      </c>
      <c r="B361" s="3432" t="s">
        <v>998</v>
      </c>
      <c r="C361" s="3432">
        <v>2260</v>
      </c>
      <c r="D361" s="3432">
        <v>2220</v>
      </c>
      <c r="E361" s="3432">
        <v>2180</v>
      </c>
      <c r="F361" s="3432">
        <v>580</v>
      </c>
      <c r="G361" s="3444">
        <v>1340</v>
      </c>
      <c r="H361" s="3445"/>
    </row>
    <row r="362" spans="1:8">
      <c r="A362" s="3452" t="s">
        <v>2761</v>
      </c>
      <c r="B362" s="3432" t="s">
        <v>3010</v>
      </c>
      <c r="C362" s="3432">
        <v>2650</v>
      </c>
      <c r="D362" s="3432">
        <v>2610</v>
      </c>
      <c r="E362" s="3432">
        <v>2570</v>
      </c>
      <c r="F362" s="3432">
        <v>630</v>
      </c>
      <c r="G362" s="3444">
        <v>1570</v>
      </c>
      <c r="H362" s="3445"/>
    </row>
    <row r="363" spans="1:8">
      <c r="A363" s="3452" t="s">
        <v>2761</v>
      </c>
      <c r="B363" s="3432" t="s">
        <v>3011</v>
      </c>
      <c r="C363" s="3432">
        <v>2390</v>
      </c>
      <c r="D363" s="3432">
        <v>2360</v>
      </c>
      <c r="E363" s="3432">
        <v>2320</v>
      </c>
      <c r="F363" s="3432">
        <v>600</v>
      </c>
      <c r="G363" s="3444">
        <v>1420</v>
      </c>
      <c r="H363" s="3445"/>
    </row>
    <row r="364" spans="1:8">
      <c r="A364" s="3452" t="s">
        <v>2761</v>
      </c>
      <c r="B364" s="3432" t="s">
        <v>3012</v>
      </c>
      <c r="C364" s="3432">
        <v>2050</v>
      </c>
      <c r="D364" s="3432">
        <v>2030</v>
      </c>
      <c r="E364" s="3432">
        <v>1990</v>
      </c>
      <c r="F364" s="3432">
        <v>550</v>
      </c>
      <c r="G364" s="3444">
        <v>1220</v>
      </c>
      <c r="H364" s="3445"/>
    </row>
    <row r="365" spans="1:8">
      <c r="A365" s="3452" t="s">
        <v>2761</v>
      </c>
      <c r="B365" s="3432" t="s">
        <v>1046</v>
      </c>
      <c r="C365" s="3432">
        <v>2140</v>
      </c>
      <c r="D365" s="3432">
        <v>2100</v>
      </c>
      <c r="E365" s="3432">
        <v>2060</v>
      </c>
      <c r="F365" s="3432">
        <v>540</v>
      </c>
      <c r="G365" s="3444">
        <v>1270</v>
      </c>
      <c r="H365" s="3445"/>
    </row>
    <row r="366" spans="1:8">
      <c r="A366" s="3452" t="s">
        <v>2761</v>
      </c>
      <c r="B366" s="3432" t="s">
        <v>3013</v>
      </c>
      <c r="C366" s="3432">
        <v>2410</v>
      </c>
      <c r="D366" s="3432">
        <v>2370</v>
      </c>
      <c r="E366" s="3432">
        <v>2330</v>
      </c>
      <c r="F366" s="3432">
        <v>570</v>
      </c>
      <c r="G366" s="3444">
        <v>1440</v>
      </c>
      <c r="H366" s="3445"/>
    </row>
    <row r="367" spans="1:8">
      <c r="A367" s="3452" t="s">
        <v>2761</v>
      </c>
      <c r="B367" s="3432" t="s">
        <v>3014</v>
      </c>
      <c r="C367" s="3432">
        <v>2300</v>
      </c>
      <c r="D367" s="3432">
        <v>2260</v>
      </c>
      <c r="E367" s="3432">
        <v>2220</v>
      </c>
      <c r="F367" s="3432">
        <v>560</v>
      </c>
      <c r="G367" s="3444">
        <v>1370</v>
      </c>
      <c r="H367" s="3445"/>
    </row>
    <row r="368" spans="1:8">
      <c r="A368" s="3452" t="s">
        <v>2761</v>
      </c>
      <c r="B368" s="3432" t="s">
        <v>3015</v>
      </c>
      <c r="C368" s="3432">
        <v>2430</v>
      </c>
      <c r="D368" s="3432">
        <v>2390</v>
      </c>
      <c r="E368" s="3432">
        <v>2350</v>
      </c>
      <c r="F368" s="3432">
        <v>570</v>
      </c>
      <c r="G368" s="3444">
        <v>1450</v>
      </c>
      <c r="H368" s="3445"/>
    </row>
    <row r="369" spans="1:8">
      <c r="A369" s="3452" t="s">
        <v>2761</v>
      </c>
      <c r="B369" s="3432" t="s">
        <v>1060</v>
      </c>
      <c r="C369" s="3432">
        <v>2320</v>
      </c>
      <c r="D369" s="3432">
        <v>2290</v>
      </c>
      <c r="E369" s="3432">
        <v>2250</v>
      </c>
      <c r="F369" s="3432">
        <v>550</v>
      </c>
      <c r="G369" s="3444">
        <v>1380</v>
      </c>
      <c r="H369" s="3445"/>
    </row>
    <row r="370" spans="1:8">
      <c r="A370" s="3452" t="s">
        <v>2761</v>
      </c>
      <c r="B370" s="3432" t="s">
        <v>1068</v>
      </c>
      <c r="C370" s="3432">
        <v>2190</v>
      </c>
      <c r="D370" s="3432">
        <v>2170</v>
      </c>
      <c r="E370" s="3432">
        <v>2130</v>
      </c>
      <c r="F370" s="3432">
        <v>530</v>
      </c>
      <c r="G370" s="3444">
        <v>1310</v>
      </c>
      <c r="H370" s="3445"/>
    </row>
    <row r="371" spans="1:8">
      <c r="A371" s="3452" t="s">
        <v>2761</v>
      </c>
      <c r="B371" s="3432" t="s">
        <v>1076</v>
      </c>
      <c r="C371" s="3432">
        <v>2460</v>
      </c>
      <c r="D371" s="3432">
        <v>2420</v>
      </c>
      <c r="E371" s="3432">
        <v>2370</v>
      </c>
      <c r="F371" s="3432">
        <v>560</v>
      </c>
      <c r="G371" s="3444">
        <v>1470</v>
      </c>
      <c r="H371" s="3445"/>
    </row>
    <row r="372" spans="1:8">
      <c r="A372" s="3452" t="s">
        <v>2761</v>
      </c>
      <c r="B372" s="3432" t="s">
        <v>3016</v>
      </c>
      <c r="C372" s="3432">
        <v>2250</v>
      </c>
      <c r="D372" s="3432">
        <v>2210</v>
      </c>
      <c r="E372" s="3432">
        <v>2180</v>
      </c>
      <c r="F372" s="3432">
        <v>550</v>
      </c>
      <c r="G372" s="3444">
        <v>1340</v>
      </c>
      <c r="H372" s="3445"/>
    </row>
    <row r="373" spans="1:8">
      <c r="A373" s="3452" t="s">
        <v>2761</v>
      </c>
      <c r="B373" s="3432" t="s">
        <v>1105</v>
      </c>
      <c r="C373" s="3432">
        <v>2210</v>
      </c>
      <c r="D373" s="3432">
        <v>2190</v>
      </c>
      <c r="E373" s="3432">
        <v>2150</v>
      </c>
      <c r="F373" s="3432">
        <v>530</v>
      </c>
      <c r="G373" s="3444">
        <v>1320</v>
      </c>
      <c r="H373" s="3445"/>
    </row>
    <row r="374" spans="1:8">
      <c r="A374" s="3452" t="s">
        <v>2761</v>
      </c>
      <c r="B374" s="3432" t="s">
        <v>1113</v>
      </c>
      <c r="C374" s="3432">
        <v>2320</v>
      </c>
      <c r="D374" s="3432">
        <v>2280</v>
      </c>
      <c r="E374" s="3432">
        <v>2230</v>
      </c>
      <c r="F374" s="3432">
        <v>580</v>
      </c>
      <c r="G374" s="3444">
        <v>1380</v>
      </c>
      <c r="H374" s="3445"/>
    </row>
    <row r="375" spans="1:8">
      <c r="A375" s="3452" t="s">
        <v>2761</v>
      </c>
      <c r="B375" s="3432" t="s">
        <v>3017</v>
      </c>
      <c r="C375" s="3432">
        <v>2090</v>
      </c>
      <c r="D375" s="3432">
        <v>2050</v>
      </c>
      <c r="E375" s="3432">
        <v>2020</v>
      </c>
      <c r="F375" s="3432">
        <v>520</v>
      </c>
      <c r="G375" s="3444">
        <v>1240</v>
      </c>
      <c r="H375" s="3445"/>
    </row>
    <row r="376" spans="1:8">
      <c r="A376" s="3452" t="s">
        <v>2761</v>
      </c>
      <c r="B376" s="3432" t="s">
        <v>1125</v>
      </c>
      <c r="C376" s="3432">
        <v>2010</v>
      </c>
      <c r="D376" s="3432">
        <v>1980</v>
      </c>
      <c r="E376" s="3432">
        <v>1940</v>
      </c>
      <c r="F376" s="3432">
        <v>540</v>
      </c>
      <c r="G376" s="3444">
        <v>1190</v>
      </c>
      <c r="H376" s="3445"/>
    </row>
    <row r="377" spans="1:8" ht="14.25" thickBot="1">
      <c r="A377" s="3454" t="s">
        <v>2761</v>
      </c>
      <c r="B377" s="3448" t="s">
        <v>3018</v>
      </c>
      <c r="C377" s="3448">
        <v>1930</v>
      </c>
      <c r="D377" s="3448">
        <v>1890</v>
      </c>
      <c r="E377" s="3448">
        <v>1860</v>
      </c>
      <c r="F377" s="3448">
        <v>530</v>
      </c>
      <c r="G377" s="3455">
        <v>1150</v>
      </c>
      <c r="H377" s="3445"/>
    </row>
    <row r="378" spans="1:8">
      <c r="A378" s="3449" t="s">
        <v>2762</v>
      </c>
      <c r="B378" s="3450" t="s">
        <v>3019</v>
      </c>
      <c r="C378" s="3450">
        <v>1520</v>
      </c>
      <c r="D378" s="3450">
        <v>1490</v>
      </c>
      <c r="E378" s="3450">
        <v>1460</v>
      </c>
      <c r="F378" s="3450">
        <v>460</v>
      </c>
      <c r="G378" s="3451">
        <v>940</v>
      </c>
      <c r="H378" s="3445"/>
    </row>
    <row r="379" spans="1:8">
      <c r="A379" s="3452" t="s">
        <v>2762</v>
      </c>
      <c r="B379" s="3432" t="s">
        <v>3020</v>
      </c>
      <c r="C379" s="3432">
        <v>1500</v>
      </c>
      <c r="D379" s="3432">
        <v>1470</v>
      </c>
      <c r="E379" s="3432">
        <v>1430</v>
      </c>
      <c r="F379" s="3432">
        <v>460</v>
      </c>
      <c r="G379" s="3444">
        <v>920</v>
      </c>
      <c r="H379" s="3445"/>
    </row>
    <row r="380" spans="1:8">
      <c r="A380" s="3452" t="s">
        <v>2762</v>
      </c>
      <c r="B380" s="3432" t="s">
        <v>3021</v>
      </c>
      <c r="C380" s="3432">
        <v>1620</v>
      </c>
      <c r="D380" s="3432">
        <v>1590</v>
      </c>
      <c r="E380" s="3432">
        <v>1560</v>
      </c>
      <c r="F380" s="3432">
        <v>480</v>
      </c>
      <c r="G380" s="3444">
        <v>1000</v>
      </c>
      <c r="H380" s="3445"/>
    </row>
    <row r="381" spans="1:8">
      <c r="A381" s="3452" t="s">
        <v>2762</v>
      </c>
      <c r="B381" s="3432" t="s">
        <v>3022</v>
      </c>
      <c r="C381" s="3432">
        <v>1460</v>
      </c>
      <c r="D381" s="3432">
        <v>1430</v>
      </c>
      <c r="E381" s="3432">
        <v>1390</v>
      </c>
      <c r="F381" s="3432">
        <v>450</v>
      </c>
      <c r="G381" s="3444">
        <v>900</v>
      </c>
      <c r="H381" s="3445"/>
    </row>
    <row r="382" spans="1:8">
      <c r="A382" s="3452" t="s">
        <v>2762</v>
      </c>
      <c r="B382" s="3432" t="s">
        <v>3023</v>
      </c>
      <c r="C382" s="3432">
        <v>1310</v>
      </c>
      <c r="D382" s="3432">
        <v>1280</v>
      </c>
      <c r="E382" s="3432">
        <v>1250</v>
      </c>
      <c r="F382" s="3432">
        <v>440</v>
      </c>
      <c r="G382" s="3444">
        <v>800</v>
      </c>
      <c r="H382" s="3445"/>
    </row>
    <row r="383" spans="1:8">
      <c r="A383" s="3452" t="s">
        <v>2762</v>
      </c>
      <c r="B383" s="3432" t="s">
        <v>3024</v>
      </c>
      <c r="C383" s="3432">
        <v>1260</v>
      </c>
      <c r="D383" s="3432">
        <v>1230</v>
      </c>
      <c r="E383" s="3432">
        <v>1200</v>
      </c>
      <c r="F383" s="3432">
        <v>420</v>
      </c>
      <c r="G383" s="3444">
        <v>770</v>
      </c>
      <c r="H383" s="3445"/>
    </row>
    <row r="384" spans="1:8" ht="14.25" thickBot="1">
      <c r="A384" s="3453" t="s">
        <v>2762</v>
      </c>
      <c r="B384" s="3447" t="s">
        <v>3025</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61" t="s">
        <v>3188</v>
      </c>
      <c r="B1" s="3961"/>
      <c r="C1" s="3961"/>
      <c r="D1" s="3961"/>
      <c r="E1" s="3961"/>
      <c r="F1" s="3962"/>
    </row>
    <row r="2" spans="1:6">
      <c r="A2" s="3499" t="s">
        <v>3189</v>
      </c>
      <c r="B2" s="3500"/>
      <c r="C2" s="3500"/>
      <c r="D2" s="3500"/>
      <c r="E2" s="3500"/>
      <c r="F2" s="3500"/>
    </row>
    <row r="3" spans="1:6">
      <c r="A3" s="3499" t="s">
        <v>3190</v>
      </c>
      <c r="B3" s="3500"/>
      <c r="C3" s="3500"/>
      <c r="D3" s="3500"/>
      <c r="E3" s="3500"/>
      <c r="F3" s="3501" t="s">
        <v>3191</v>
      </c>
    </row>
    <row r="4" spans="1:6">
      <c r="A4" s="3502" t="s">
        <v>3186</v>
      </c>
      <c r="B4" s="3502" t="s">
        <v>2737</v>
      </c>
      <c r="C4" s="3502" t="s">
        <v>1211</v>
      </c>
      <c r="D4" s="3502" t="s">
        <v>3187</v>
      </c>
      <c r="E4" s="3502" t="s">
        <v>904</v>
      </c>
      <c r="F4" s="3502" t="s">
        <v>3192</v>
      </c>
    </row>
    <row r="5" spans="1:6">
      <c r="A5" s="3503" t="s">
        <v>2760</v>
      </c>
      <c r="B5" s="3502"/>
      <c r="C5" s="3502"/>
      <c r="D5" s="3502"/>
      <c r="E5" s="3502"/>
      <c r="F5" s="3504"/>
    </row>
    <row r="6" spans="1:6">
      <c r="A6" s="3503" t="s">
        <v>989</v>
      </c>
      <c r="B6" s="3505">
        <v>35380</v>
      </c>
      <c r="C6" s="3505">
        <v>35180</v>
      </c>
      <c r="D6" s="3505">
        <v>35030</v>
      </c>
      <c r="E6" s="3505">
        <v>13780</v>
      </c>
      <c r="F6" s="3505">
        <v>25980</v>
      </c>
    </row>
    <row r="7" spans="1:6">
      <c r="A7" s="3503" t="s">
        <v>1030</v>
      </c>
      <c r="B7" s="3505">
        <v>29960</v>
      </c>
      <c r="C7" s="3505">
        <v>29800</v>
      </c>
      <c r="D7" s="3505">
        <v>29690</v>
      </c>
      <c r="E7" s="3505">
        <v>10100</v>
      </c>
      <c r="F7" s="3505">
        <v>21690</v>
      </c>
    </row>
    <row r="8" spans="1:6">
      <c r="A8" s="3503" t="s">
        <v>1144</v>
      </c>
      <c r="B8" s="3505">
        <v>24480</v>
      </c>
      <c r="C8" s="3505">
        <v>24380</v>
      </c>
      <c r="D8" s="3505">
        <v>25590</v>
      </c>
      <c r="E8" s="3505">
        <v>7010</v>
      </c>
      <c r="F8" s="3505">
        <v>17060</v>
      </c>
    </row>
    <row r="9" spans="1:6">
      <c r="A9" s="3503" t="s">
        <v>852</v>
      </c>
      <c r="B9" s="3505">
        <v>19370</v>
      </c>
      <c r="C9" s="3505">
        <v>19290</v>
      </c>
      <c r="D9" s="3505">
        <v>21280</v>
      </c>
      <c r="E9" s="3505">
        <v>4910</v>
      </c>
      <c r="F9" s="3505">
        <v>13090</v>
      </c>
    </row>
    <row r="10" spans="1:6">
      <c r="A10" s="3503" t="s">
        <v>1151</v>
      </c>
      <c r="B10" s="3505">
        <v>15050</v>
      </c>
      <c r="C10" s="3505">
        <v>14980</v>
      </c>
      <c r="D10" s="3505">
        <v>17300</v>
      </c>
      <c r="E10" s="3505">
        <v>3450</v>
      </c>
      <c r="F10" s="3505">
        <v>9900</v>
      </c>
    </row>
    <row r="11" spans="1:6">
      <c r="A11" s="3503" t="s">
        <v>1152</v>
      </c>
      <c r="B11" s="3505">
        <v>11550</v>
      </c>
      <c r="C11" s="3505">
        <v>11490</v>
      </c>
      <c r="D11" s="3505">
        <v>13850</v>
      </c>
      <c r="E11" s="3505">
        <v>2400</v>
      </c>
      <c r="F11" s="3505">
        <v>7390</v>
      </c>
    </row>
    <row r="12" spans="1:6">
      <c r="A12" s="3503" t="s">
        <v>1153</v>
      </c>
      <c r="B12" s="3505">
        <v>8630</v>
      </c>
      <c r="C12" s="3505">
        <v>8580</v>
      </c>
      <c r="D12" s="3505">
        <v>10740</v>
      </c>
      <c r="E12" s="3505">
        <v>1720</v>
      </c>
      <c r="F12" s="3505">
        <v>5420</v>
      </c>
    </row>
    <row r="13" spans="1:6">
      <c r="A13" s="3503" t="s">
        <v>1154</v>
      </c>
      <c r="B13" s="3505">
        <v>6620</v>
      </c>
      <c r="C13" s="3505">
        <v>6580</v>
      </c>
      <c r="D13" s="3505">
        <v>7830</v>
      </c>
      <c r="E13" s="3505">
        <v>1260</v>
      </c>
      <c r="F13" s="3505">
        <v>4040</v>
      </c>
    </row>
    <row r="14" spans="1:6">
      <c r="A14" s="3503" t="s">
        <v>1155</v>
      </c>
      <c r="B14" s="3505">
        <v>4900</v>
      </c>
      <c r="C14" s="3505">
        <v>4860</v>
      </c>
      <c r="D14" s="3505">
        <v>5540</v>
      </c>
      <c r="E14" s="3505">
        <v>950</v>
      </c>
      <c r="F14" s="3505">
        <v>2930</v>
      </c>
    </row>
    <row r="15" spans="1:6">
      <c r="A15" s="3503" t="s">
        <v>1156</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2774</v>
      </c>
      <c r="B1" s="970"/>
      <c r="C1" s="970"/>
      <c r="D1" s="970"/>
      <c r="E1" s="970"/>
      <c r="F1" s="970"/>
      <c r="G1" s="970"/>
      <c r="H1" s="970"/>
      <c r="I1" s="970"/>
      <c r="J1" s="970"/>
      <c r="K1" s="970"/>
      <c r="L1" s="970"/>
      <c r="M1" s="970"/>
      <c r="N1" s="970"/>
    </row>
    <row r="2" spans="1:14">
      <c r="A2" s="972" t="s">
        <v>1547</v>
      </c>
      <c r="B2" s="973" t="s">
        <v>989</v>
      </c>
      <c r="C2" s="973" t="s">
        <v>1030</v>
      </c>
      <c r="D2" s="973" t="s">
        <v>1144</v>
      </c>
      <c r="E2" s="973" t="s">
        <v>852</v>
      </c>
      <c r="F2" s="973" t="s">
        <v>1151</v>
      </c>
      <c r="G2" s="973" t="s">
        <v>1152</v>
      </c>
      <c r="H2" s="974" t="s">
        <v>1153</v>
      </c>
      <c r="I2" s="974" t="s">
        <v>1154</v>
      </c>
      <c r="J2" s="975" t="s">
        <v>1155</v>
      </c>
      <c r="K2" s="975" t="s">
        <v>1156</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2775</v>
      </c>
      <c r="B93" s="981"/>
      <c r="C93" s="981"/>
      <c r="D93" s="981"/>
      <c r="E93" s="981"/>
      <c r="F93" s="981"/>
      <c r="G93" s="981"/>
      <c r="H93" s="981"/>
      <c r="I93" s="981"/>
      <c r="J93" s="981"/>
      <c r="K93" s="981"/>
      <c r="L93" s="981"/>
      <c r="M93" s="981"/>
    </row>
    <row r="94" spans="1:14">
      <c r="A94" s="989" t="s">
        <v>1547</v>
      </c>
      <c r="B94" s="981" t="s">
        <v>989</v>
      </c>
      <c r="C94" s="981" t="s">
        <v>1030</v>
      </c>
      <c r="D94" s="981" t="s">
        <v>1144</v>
      </c>
      <c r="E94" s="981" t="s">
        <v>852</v>
      </c>
      <c r="F94" s="981" t="s">
        <v>1151</v>
      </c>
      <c r="G94" s="981" t="s">
        <v>1152</v>
      </c>
      <c r="H94" s="981" t="s">
        <v>1153</v>
      </c>
      <c r="I94" s="981" t="s">
        <v>1154</v>
      </c>
      <c r="J94" s="981" t="s">
        <v>1155</v>
      </c>
      <c r="K94" s="981" t="s">
        <v>1156</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2776</v>
      </c>
      <c r="B185" s="981"/>
      <c r="C185" s="981"/>
      <c r="D185" s="981"/>
      <c r="E185" s="981"/>
      <c r="F185" s="981"/>
      <c r="G185" s="981"/>
      <c r="H185" s="981"/>
      <c r="I185" s="981"/>
      <c r="J185" s="981"/>
      <c r="K185" s="981"/>
      <c r="L185" s="981"/>
      <c r="M185" s="981"/>
    </row>
    <row r="186" spans="1:13">
      <c r="A186" s="972" t="s">
        <v>1547</v>
      </c>
      <c r="B186" s="981" t="s">
        <v>989</v>
      </c>
      <c r="C186" s="981" t="s">
        <v>1030</v>
      </c>
      <c r="D186" s="981" t="s">
        <v>1144</v>
      </c>
      <c r="E186" s="981" t="s">
        <v>852</v>
      </c>
      <c r="F186" s="981" t="s">
        <v>1151</v>
      </c>
      <c r="G186" s="981" t="s">
        <v>1152</v>
      </c>
      <c r="H186" s="981" t="s">
        <v>1153</v>
      </c>
      <c r="I186" s="981" t="s">
        <v>1154</v>
      </c>
      <c r="J186" s="981" t="s">
        <v>1155</v>
      </c>
      <c r="K186" s="981" t="s">
        <v>1156</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2777</v>
      </c>
      <c r="B277" s="981"/>
      <c r="C277" s="981"/>
      <c r="D277" s="981"/>
      <c r="E277" s="981"/>
      <c r="F277" s="981"/>
      <c r="G277" s="981"/>
      <c r="H277" s="981"/>
      <c r="I277" s="981"/>
      <c r="J277" s="981"/>
      <c r="K277" s="981"/>
      <c r="L277" s="981"/>
      <c r="M277" s="981"/>
    </row>
    <row r="278" spans="1:13">
      <c r="A278" s="972" t="s">
        <v>1547</v>
      </c>
      <c r="B278" s="981" t="s">
        <v>989</v>
      </c>
      <c r="C278" s="981" t="s">
        <v>1030</v>
      </c>
      <c r="D278" s="981" t="s">
        <v>1144</v>
      </c>
      <c r="E278" s="981" t="s">
        <v>852</v>
      </c>
      <c r="F278" s="981" t="s">
        <v>1151</v>
      </c>
      <c r="G278" s="981" t="s">
        <v>1152</v>
      </c>
      <c r="H278" s="981" t="s">
        <v>1153</v>
      </c>
      <c r="I278" s="981" t="s">
        <v>1154</v>
      </c>
      <c r="J278" s="981" t="s">
        <v>1155</v>
      </c>
      <c r="K278" s="981" t="s">
        <v>1156</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2778</v>
      </c>
      <c r="B369" s="981"/>
      <c r="C369" s="981"/>
      <c r="D369" s="981"/>
      <c r="E369" s="981"/>
      <c r="F369" s="981"/>
      <c r="G369" s="981"/>
      <c r="H369" s="981"/>
      <c r="I369" s="981"/>
      <c r="J369" s="981"/>
      <c r="K369" s="981"/>
      <c r="L369" s="981"/>
      <c r="M369" s="981"/>
    </row>
    <row r="370" spans="1:14">
      <c r="A370" s="972" t="s">
        <v>1547</v>
      </c>
      <c r="B370" s="981" t="s">
        <v>989</v>
      </c>
      <c r="C370" s="981" t="s">
        <v>1030</v>
      </c>
      <c r="D370" s="981" t="s">
        <v>1144</v>
      </c>
      <c r="E370" s="981" t="s">
        <v>852</v>
      </c>
      <c r="F370" s="981" t="s">
        <v>1151</v>
      </c>
      <c r="G370" s="981" t="s">
        <v>1152</v>
      </c>
      <c r="H370" s="981" t="s">
        <v>1153</v>
      </c>
      <c r="I370" s="981" t="s">
        <v>1154</v>
      </c>
      <c r="J370" s="981" t="s">
        <v>1155</v>
      </c>
      <c r="K370" s="981" t="s">
        <v>1156</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63" t="s">
        <v>3026</v>
      </c>
      <c r="B1" s="3963"/>
    </row>
    <row r="2" spans="1:7" ht="14.25" thickBot="1">
      <c r="A2" s="3464"/>
      <c r="B2" s="3464"/>
    </row>
    <row r="3" spans="1:7" ht="14.25" thickBot="1">
      <c r="A3" s="3464"/>
      <c r="B3" s="3464"/>
      <c r="C3" s="3465" t="s">
        <v>3027</v>
      </c>
      <c r="D3" s="3465" t="s">
        <v>3028</v>
      </c>
      <c r="E3" s="3465" t="s">
        <v>3029</v>
      </c>
      <c r="F3" s="3465" t="s">
        <v>3030</v>
      </c>
      <c r="G3" s="3465" t="s">
        <v>3031</v>
      </c>
    </row>
    <row r="4" spans="1:7" ht="14.25" thickBot="1">
      <c r="A4" s="3466" t="s">
        <v>3032</v>
      </c>
      <c r="B4" s="3467" t="s">
        <v>3033</v>
      </c>
      <c r="C4" s="3465"/>
      <c r="D4" s="3465"/>
      <c r="E4" s="3465"/>
      <c r="F4" s="3465"/>
      <c r="G4" s="3465"/>
    </row>
    <row r="5" spans="1:7">
      <c r="A5" s="3468" t="s">
        <v>3034</v>
      </c>
      <c r="B5" s="3469" t="s">
        <v>3035</v>
      </c>
      <c r="C5" s="3470">
        <v>9.8000000000000004E-2</v>
      </c>
      <c r="D5" s="3470">
        <v>8.6999999999999994E-2</v>
      </c>
      <c r="E5" s="3470">
        <v>8.6999999999999994E-2</v>
      </c>
      <c r="F5" s="3470">
        <v>9.8000000000000004E-2</v>
      </c>
      <c r="G5" s="3471">
        <v>9.5000000000000001E-2</v>
      </c>
    </row>
    <row r="6" spans="1:7">
      <c r="A6" s="3472" t="s">
        <v>989</v>
      </c>
      <c r="B6" s="3473" t="s">
        <v>3036</v>
      </c>
      <c r="C6" s="3474">
        <v>9.8000000000000004E-2</v>
      </c>
      <c r="D6" s="3474">
        <v>9.8000000000000004E-2</v>
      </c>
      <c r="E6" s="3474">
        <v>9.8000000000000004E-2</v>
      </c>
      <c r="F6" s="3474">
        <v>0.1</v>
      </c>
      <c r="G6" s="3475">
        <v>9.9000000000000005E-2</v>
      </c>
    </row>
    <row r="7" spans="1:7">
      <c r="A7" s="3472" t="s">
        <v>989</v>
      </c>
      <c r="B7" s="3473" t="s">
        <v>981</v>
      </c>
      <c r="C7" s="3474">
        <v>9.7000000000000003E-2</v>
      </c>
      <c r="D7" s="3474">
        <v>9.7000000000000003E-2</v>
      </c>
      <c r="E7" s="3474">
        <v>9.6000000000000002E-2</v>
      </c>
      <c r="F7" s="3474">
        <v>0.1</v>
      </c>
      <c r="G7" s="3475">
        <v>9.8000000000000004E-2</v>
      </c>
    </row>
    <row r="8" spans="1:7">
      <c r="A8" s="3472" t="s">
        <v>989</v>
      </c>
      <c r="B8" s="3473" t="s">
        <v>990</v>
      </c>
      <c r="C8" s="3474">
        <v>8.1000000000000003E-2</v>
      </c>
      <c r="D8" s="3474">
        <v>8.2000000000000003E-2</v>
      </c>
      <c r="E8" s="3474">
        <v>7.0000000000000007E-2</v>
      </c>
      <c r="F8" s="3474">
        <v>9.6000000000000002E-2</v>
      </c>
      <c r="G8" s="3475">
        <v>8.8999999999999996E-2</v>
      </c>
    </row>
    <row r="9" spans="1:7" ht="14.25" thickBot="1">
      <c r="A9" s="3476" t="s">
        <v>989</v>
      </c>
      <c r="B9" s="3477" t="s">
        <v>1000</v>
      </c>
      <c r="C9" s="3478">
        <v>0.1</v>
      </c>
      <c r="D9" s="3478">
        <v>0.1</v>
      </c>
      <c r="E9" s="3478">
        <v>0.1</v>
      </c>
      <c r="F9" s="3479"/>
      <c r="G9" s="3480">
        <v>0.1</v>
      </c>
    </row>
    <row r="10" spans="1:7">
      <c r="A10" s="3468" t="s">
        <v>1030</v>
      </c>
      <c r="B10" s="3469" t="s">
        <v>3037</v>
      </c>
      <c r="C10" s="3470">
        <v>6.7000000000000004E-2</v>
      </c>
      <c r="D10" s="3470">
        <v>7.9000000000000001E-2</v>
      </c>
      <c r="E10" s="3470">
        <v>7.9000000000000001E-2</v>
      </c>
      <c r="F10" s="3470">
        <v>0.1</v>
      </c>
      <c r="G10" s="3471">
        <v>9.0999999999999998E-2</v>
      </c>
    </row>
    <row r="11" spans="1:7">
      <c r="A11" s="3472" t="s">
        <v>1030</v>
      </c>
      <c r="B11" s="3473" t="s">
        <v>972</v>
      </c>
      <c r="C11" s="3474">
        <v>0.05</v>
      </c>
      <c r="D11" s="3474">
        <v>5.2999999999999999E-2</v>
      </c>
      <c r="E11" s="3474">
        <v>6.3E-2</v>
      </c>
      <c r="F11" s="3474">
        <v>0.1</v>
      </c>
      <c r="G11" s="3475">
        <v>7.1999999999999995E-2</v>
      </c>
    </row>
    <row r="12" spans="1:7">
      <c r="A12" s="3472" t="s">
        <v>1030</v>
      </c>
      <c r="B12" s="3473" t="s">
        <v>982</v>
      </c>
      <c r="C12" s="3474">
        <v>5.2999999999999999E-2</v>
      </c>
      <c r="D12" s="3474">
        <v>0.09</v>
      </c>
      <c r="E12" s="3474">
        <v>7.1999999999999995E-2</v>
      </c>
      <c r="F12" s="3474">
        <v>0.1</v>
      </c>
      <c r="G12" s="3475">
        <v>9.7000000000000003E-2</v>
      </c>
    </row>
    <row r="13" spans="1:7">
      <c r="A13" s="3472" t="s">
        <v>1030</v>
      </c>
      <c r="B13" s="3473" t="s">
        <v>991</v>
      </c>
      <c r="C13" s="3474">
        <v>9.7000000000000003E-2</v>
      </c>
      <c r="D13" s="3474">
        <v>9.1999999999999998E-2</v>
      </c>
      <c r="E13" s="3474">
        <v>9.5000000000000001E-2</v>
      </c>
      <c r="F13" s="3474">
        <v>0.1</v>
      </c>
      <c r="G13" s="3475">
        <v>9.7000000000000003E-2</v>
      </c>
    </row>
    <row r="14" spans="1:7">
      <c r="A14" s="3472" t="s">
        <v>1030</v>
      </c>
      <c r="B14" s="3473" t="s">
        <v>1001</v>
      </c>
      <c r="C14" s="3474">
        <v>9.7000000000000003E-2</v>
      </c>
      <c r="D14" s="3474">
        <v>9.7000000000000003E-2</v>
      </c>
      <c r="E14" s="3474">
        <v>9.7000000000000003E-2</v>
      </c>
      <c r="F14" s="3474">
        <v>0.1</v>
      </c>
      <c r="G14" s="3475">
        <v>9.8000000000000004E-2</v>
      </c>
    </row>
    <row r="15" spans="1:7">
      <c r="A15" s="3472" t="s">
        <v>1030</v>
      </c>
      <c r="B15" s="3473" t="s">
        <v>1008</v>
      </c>
      <c r="C15" s="3474">
        <v>9.8000000000000004E-2</v>
      </c>
      <c r="D15" s="3474">
        <v>9.0999999999999998E-2</v>
      </c>
      <c r="E15" s="3474">
        <v>0.06</v>
      </c>
      <c r="F15" s="3474">
        <v>0.1</v>
      </c>
      <c r="G15" s="3475">
        <v>9.7000000000000003E-2</v>
      </c>
    </row>
    <row r="16" spans="1:7">
      <c r="A16" s="3472" t="s">
        <v>1030</v>
      </c>
      <c r="B16" s="3473" t="s">
        <v>1014</v>
      </c>
      <c r="C16" s="3474">
        <v>9.8000000000000004E-2</v>
      </c>
      <c r="D16" s="3474">
        <v>9.7000000000000003E-2</v>
      </c>
      <c r="E16" s="3474">
        <v>9.5000000000000001E-2</v>
      </c>
      <c r="F16" s="3474">
        <v>0.1</v>
      </c>
      <c r="G16" s="3475">
        <v>9.9000000000000005E-2</v>
      </c>
    </row>
    <row r="17" spans="1:7">
      <c r="A17" s="3472" t="s">
        <v>1030</v>
      </c>
      <c r="B17" s="3473" t="s">
        <v>1021</v>
      </c>
      <c r="C17" s="3474">
        <v>8.8999999999999996E-2</v>
      </c>
      <c r="D17" s="3474">
        <v>9.1999999999999998E-2</v>
      </c>
      <c r="E17" s="3474">
        <v>6.0999999999999999E-2</v>
      </c>
      <c r="F17" s="3474">
        <v>0.1</v>
      </c>
      <c r="G17" s="3475">
        <v>9.7000000000000003E-2</v>
      </c>
    </row>
    <row r="18" spans="1:7">
      <c r="A18" s="3472" t="s">
        <v>1030</v>
      </c>
      <c r="B18" s="3473" t="s">
        <v>1031</v>
      </c>
      <c r="C18" s="3474">
        <v>9.8000000000000004E-2</v>
      </c>
      <c r="D18" s="3474">
        <v>9.8000000000000004E-2</v>
      </c>
      <c r="E18" s="3474">
        <v>9.8000000000000004E-2</v>
      </c>
      <c r="F18" s="3481"/>
      <c r="G18" s="3475">
        <v>9.9000000000000005E-2</v>
      </c>
    </row>
    <row r="19" spans="1:7">
      <c r="A19" s="3472" t="s">
        <v>1030</v>
      </c>
      <c r="B19" s="3473" t="s">
        <v>1040</v>
      </c>
      <c r="C19" s="3474">
        <v>9.9000000000000005E-2</v>
      </c>
      <c r="D19" s="3474">
        <v>7.3999999999999996E-2</v>
      </c>
      <c r="E19" s="3474">
        <v>8.1000000000000003E-2</v>
      </c>
      <c r="F19" s="3481"/>
      <c r="G19" s="3475">
        <v>9.2999999999999999E-2</v>
      </c>
    </row>
    <row r="20" spans="1:7">
      <c r="A20" s="3472" t="s">
        <v>1030</v>
      </c>
      <c r="B20" s="3473" t="s">
        <v>1047</v>
      </c>
      <c r="C20" s="3474">
        <v>0.1</v>
      </c>
      <c r="D20" s="3474">
        <v>8.8999999999999996E-2</v>
      </c>
      <c r="E20" s="3474">
        <v>8.8999999999999996E-2</v>
      </c>
      <c r="F20" s="3481"/>
      <c r="G20" s="3475">
        <v>9.5000000000000001E-2</v>
      </c>
    </row>
    <row r="21" spans="1:7">
      <c r="A21" s="3472" t="s">
        <v>1030</v>
      </c>
      <c r="B21" s="3473" t="s">
        <v>1054</v>
      </c>
      <c r="C21" s="3474">
        <v>0.1</v>
      </c>
      <c r="D21" s="3474">
        <v>9.0999999999999998E-2</v>
      </c>
      <c r="E21" s="3474">
        <v>8.2000000000000003E-2</v>
      </c>
      <c r="F21" s="3481"/>
      <c r="G21" s="3475">
        <v>9.7000000000000003E-2</v>
      </c>
    </row>
    <row r="22" spans="1:7">
      <c r="A22" s="3472" t="s">
        <v>1030</v>
      </c>
      <c r="B22" s="3473" t="s">
        <v>3038</v>
      </c>
      <c r="C22" s="3474">
        <v>9.5000000000000001E-2</v>
      </c>
      <c r="D22" s="3474">
        <v>9.9000000000000005E-2</v>
      </c>
      <c r="E22" s="3474">
        <v>9.8000000000000004E-2</v>
      </c>
      <c r="F22" s="3481"/>
      <c r="G22" s="3475">
        <v>0.1</v>
      </c>
    </row>
    <row r="23" spans="1:7">
      <c r="A23" s="3472" t="s">
        <v>1030</v>
      </c>
      <c r="B23" s="3473" t="s">
        <v>1069</v>
      </c>
      <c r="C23" s="3474">
        <v>9.9000000000000005E-2</v>
      </c>
      <c r="D23" s="3474">
        <v>0.1</v>
      </c>
      <c r="E23" s="3474">
        <v>0.1</v>
      </c>
      <c r="F23" s="3481"/>
      <c r="G23" s="3475">
        <v>0.1</v>
      </c>
    </row>
    <row r="24" spans="1:7">
      <c r="A24" s="3472" t="s">
        <v>1030</v>
      </c>
      <c r="B24" s="3473" t="s">
        <v>1077</v>
      </c>
      <c r="C24" s="3474">
        <v>9.5000000000000001E-2</v>
      </c>
      <c r="D24" s="3474">
        <v>0.1</v>
      </c>
      <c r="E24" s="3474">
        <v>9.8000000000000004E-2</v>
      </c>
      <c r="F24" s="3481"/>
      <c r="G24" s="3475">
        <v>0.1</v>
      </c>
    </row>
    <row r="25" spans="1:7">
      <c r="A25" s="3472" t="s">
        <v>1030</v>
      </c>
      <c r="B25" s="3473" t="s">
        <v>1082</v>
      </c>
      <c r="C25" s="3474">
        <v>0.05</v>
      </c>
      <c r="D25" s="3474">
        <v>9.6000000000000002E-2</v>
      </c>
      <c r="E25" s="3474">
        <v>9.6000000000000002E-2</v>
      </c>
      <c r="F25" s="3481"/>
      <c r="G25" s="3475">
        <v>9.6000000000000002E-2</v>
      </c>
    </row>
    <row r="26" spans="1:7">
      <c r="A26" s="3472" t="s">
        <v>1030</v>
      </c>
      <c r="B26" s="3473" t="s">
        <v>1091</v>
      </c>
      <c r="C26" s="3474">
        <v>6.3E-2</v>
      </c>
      <c r="D26" s="3474">
        <v>9.9000000000000005E-2</v>
      </c>
      <c r="E26" s="3474">
        <v>9.8000000000000004E-2</v>
      </c>
      <c r="F26" s="3481"/>
      <c r="G26" s="3475">
        <v>0.1</v>
      </c>
    </row>
    <row r="27" spans="1:7">
      <c r="A27" s="3472" t="s">
        <v>1030</v>
      </c>
      <c r="B27" s="3473" t="s">
        <v>1098</v>
      </c>
      <c r="C27" s="3474">
        <v>5.1999999999999998E-2</v>
      </c>
      <c r="D27" s="3474">
        <v>9.5000000000000001E-2</v>
      </c>
      <c r="E27" s="3474">
        <v>6.4000000000000001E-2</v>
      </c>
      <c r="F27" s="3481"/>
      <c r="G27" s="3475">
        <v>9.7000000000000003E-2</v>
      </c>
    </row>
    <row r="28" spans="1:7">
      <c r="A28" s="3472" t="s">
        <v>1030</v>
      </c>
      <c r="B28" s="3473" t="s">
        <v>1106</v>
      </c>
      <c r="C28" s="3481"/>
      <c r="D28" s="3474">
        <v>6.3E-2</v>
      </c>
      <c r="E28" s="3474">
        <v>5.1999999999999998E-2</v>
      </c>
      <c r="F28" s="3481"/>
      <c r="G28" s="3475">
        <v>6.3E-2</v>
      </c>
    </row>
    <row r="29" spans="1:7" ht="14.25" thickBot="1">
      <c r="A29" s="3476" t="s">
        <v>1030</v>
      </c>
      <c r="B29" s="3477" t="s">
        <v>2824</v>
      </c>
      <c r="C29" s="3482"/>
      <c r="D29" s="3478">
        <v>5.1999999999999998E-2</v>
      </c>
      <c r="E29" s="3478">
        <v>7.0000000000000007E-2</v>
      </c>
      <c r="F29" s="3482"/>
      <c r="G29" s="3480">
        <v>7.0999999999999994E-2</v>
      </c>
    </row>
    <row r="30" spans="1:7">
      <c r="A30" s="3483" t="s">
        <v>1144</v>
      </c>
      <c r="B30" s="3469" t="s">
        <v>3039</v>
      </c>
      <c r="C30" s="3470">
        <v>6.6000000000000003E-2</v>
      </c>
      <c r="D30" s="3470">
        <v>6.6000000000000003E-2</v>
      </c>
      <c r="E30" s="3470">
        <v>5.7000000000000002E-2</v>
      </c>
      <c r="F30" s="3470">
        <v>0.1</v>
      </c>
      <c r="G30" s="3471">
        <v>6.8000000000000005E-2</v>
      </c>
    </row>
    <row r="31" spans="1:7">
      <c r="A31" s="3484" t="s">
        <v>1144</v>
      </c>
      <c r="B31" s="3473" t="s">
        <v>973</v>
      </c>
      <c r="C31" s="3474">
        <v>5.5E-2</v>
      </c>
      <c r="D31" s="3474">
        <v>8.2000000000000003E-2</v>
      </c>
      <c r="E31" s="3474">
        <v>6.4000000000000001E-2</v>
      </c>
      <c r="F31" s="3474">
        <v>0.1</v>
      </c>
      <c r="G31" s="3475">
        <v>9.5000000000000001E-2</v>
      </c>
    </row>
    <row r="32" spans="1:7">
      <c r="A32" s="3484" t="s">
        <v>1144</v>
      </c>
      <c r="B32" s="3473" t="s">
        <v>983</v>
      </c>
      <c r="C32" s="3474">
        <v>8.2000000000000003E-2</v>
      </c>
      <c r="D32" s="3474">
        <v>8.6999999999999994E-2</v>
      </c>
      <c r="E32" s="3474">
        <v>9.5000000000000001E-2</v>
      </c>
      <c r="F32" s="3474">
        <v>0.1</v>
      </c>
      <c r="G32" s="3475">
        <v>9.6000000000000002E-2</v>
      </c>
    </row>
    <row r="33" spans="1:7">
      <c r="A33" s="3484" t="s">
        <v>1144</v>
      </c>
      <c r="B33" s="3473" t="s">
        <v>992</v>
      </c>
      <c r="C33" s="3474">
        <v>9.9000000000000005E-2</v>
      </c>
      <c r="D33" s="3474">
        <v>9.1999999999999998E-2</v>
      </c>
      <c r="E33" s="3474">
        <v>8.6999999999999994E-2</v>
      </c>
      <c r="F33" s="3474">
        <v>0.1</v>
      </c>
      <c r="G33" s="3475">
        <v>9.7000000000000003E-2</v>
      </c>
    </row>
    <row r="34" spans="1:7">
      <c r="A34" s="3484" t="s">
        <v>1144</v>
      </c>
      <c r="B34" s="3473" t="s">
        <v>1002</v>
      </c>
      <c r="C34" s="3474">
        <v>8.4000000000000005E-2</v>
      </c>
      <c r="D34" s="3474">
        <v>9.7000000000000003E-2</v>
      </c>
      <c r="E34" s="3474">
        <v>7.0999999999999994E-2</v>
      </c>
      <c r="F34" s="3474">
        <v>0.1</v>
      </c>
      <c r="G34" s="3475">
        <v>9.8000000000000004E-2</v>
      </c>
    </row>
    <row r="35" spans="1:7">
      <c r="A35" s="3484" t="s">
        <v>1144</v>
      </c>
      <c r="B35" s="3473" t="s">
        <v>1009</v>
      </c>
      <c r="C35" s="3474">
        <v>8.3000000000000004E-2</v>
      </c>
      <c r="D35" s="3474">
        <v>9.7000000000000003E-2</v>
      </c>
      <c r="E35" s="3474">
        <v>6.0999999999999999E-2</v>
      </c>
      <c r="F35" s="3474">
        <v>0.1</v>
      </c>
      <c r="G35" s="3475">
        <v>9.9000000000000005E-2</v>
      </c>
    </row>
    <row r="36" spans="1:7">
      <c r="A36" s="3484" t="s">
        <v>1144</v>
      </c>
      <c r="B36" s="3473" t="s">
        <v>1015</v>
      </c>
      <c r="C36" s="3474">
        <v>9.7000000000000003E-2</v>
      </c>
      <c r="D36" s="3474">
        <v>9.7000000000000003E-2</v>
      </c>
      <c r="E36" s="3474">
        <v>7.8E-2</v>
      </c>
      <c r="F36" s="3474">
        <v>0.1</v>
      </c>
      <c r="G36" s="3475">
        <v>9.9000000000000005E-2</v>
      </c>
    </row>
    <row r="37" spans="1:7">
      <c r="A37" s="3484" t="s">
        <v>1144</v>
      </c>
      <c r="B37" s="3473" t="s">
        <v>1022</v>
      </c>
      <c r="C37" s="3474">
        <v>9.7000000000000003E-2</v>
      </c>
      <c r="D37" s="3474">
        <v>9.5000000000000001E-2</v>
      </c>
      <c r="E37" s="3474">
        <v>7.8E-2</v>
      </c>
      <c r="F37" s="3474">
        <v>0.1</v>
      </c>
      <c r="G37" s="3475">
        <v>9.7000000000000003E-2</v>
      </c>
    </row>
    <row r="38" spans="1:7">
      <c r="A38" s="3484" t="s">
        <v>1144</v>
      </c>
      <c r="B38" s="3473" t="s">
        <v>1032</v>
      </c>
      <c r="C38" s="3474">
        <v>9.7000000000000003E-2</v>
      </c>
      <c r="D38" s="3474">
        <v>7.6999999999999999E-2</v>
      </c>
      <c r="E38" s="3474">
        <v>7.0000000000000007E-2</v>
      </c>
      <c r="F38" s="3474">
        <v>0.1</v>
      </c>
      <c r="G38" s="3475">
        <v>7.6999999999999999E-2</v>
      </c>
    </row>
    <row r="39" spans="1:7">
      <c r="A39" s="3484" t="s">
        <v>1144</v>
      </c>
      <c r="B39" s="3473" t="s">
        <v>1041</v>
      </c>
      <c r="C39" s="3474">
        <v>9.5000000000000001E-2</v>
      </c>
      <c r="D39" s="3474">
        <v>7.6999999999999999E-2</v>
      </c>
      <c r="E39" s="3474">
        <v>6.6000000000000003E-2</v>
      </c>
      <c r="F39" s="3474">
        <v>0.1</v>
      </c>
      <c r="G39" s="3475">
        <v>8.5999999999999993E-2</v>
      </c>
    </row>
    <row r="40" spans="1:7">
      <c r="A40" s="3484" t="s">
        <v>1144</v>
      </c>
      <c r="B40" s="3473" t="s">
        <v>1048</v>
      </c>
      <c r="C40" s="3474">
        <v>7.6999999999999999E-2</v>
      </c>
      <c r="D40" s="3474">
        <v>7.8E-2</v>
      </c>
      <c r="E40" s="3474">
        <v>8.2000000000000003E-2</v>
      </c>
      <c r="F40" s="3485"/>
      <c r="G40" s="3475">
        <v>7.8E-2</v>
      </c>
    </row>
    <row r="41" spans="1:7">
      <c r="A41" s="3484" t="s">
        <v>1144</v>
      </c>
      <c r="B41" s="3473" t="s">
        <v>1055</v>
      </c>
      <c r="C41" s="3474">
        <v>7.8E-2</v>
      </c>
      <c r="D41" s="3474">
        <v>7.8E-2</v>
      </c>
      <c r="E41" s="3474">
        <v>8.2000000000000003E-2</v>
      </c>
      <c r="F41" s="3485"/>
      <c r="G41" s="3475">
        <v>8.5999999999999993E-2</v>
      </c>
    </row>
    <row r="42" spans="1:7">
      <c r="A42" s="3484" t="s">
        <v>1144</v>
      </c>
      <c r="B42" s="3473" t="s">
        <v>1062</v>
      </c>
      <c r="C42" s="3474">
        <v>7.8E-2</v>
      </c>
      <c r="D42" s="3474">
        <v>9.6000000000000002E-2</v>
      </c>
      <c r="E42" s="3474">
        <v>7.1999999999999995E-2</v>
      </c>
      <c r="F42" s="3485"/>
      <c r="G42" s="3475">
        <v>9.8000000000000004E-2</v>
      </c>
    </row>
    <row r="43" spans="1:7">
      <c r="A43" s="3484" t="s">
        <v>3040</v>
      </c>
      <c r="B43" s="3473" t="s">
        <v>1070</v>
      </c>
      <c r="C43" s="3474">
        <v>7.8E-2</v>
      </c>
      <c r="D43" s="3474">
        <v>9.9000000000000005E-2</v>
      </c>
      <c r="E43" s="3474">
        <v>9.6000000000000002E-2</v>
      </c>
      <c r="F43" s="3485"/>
      <c r="G43" s="3475">
        <v>0.1</v>
      </c>
    </row>
    <row r="44" spans="1:7">
      <c r="A44" s="3484" t="s">
        <v>1144</v>
      </c>
      <c r="B44" s="3473" t="s">
        <v>1078</v>
      </c>
      <c r="C44" s="3474">
        <v>9.6000000000000002E-2</v>
      </c>
      <c r="D44" s="3474">
        <v>0.1</v>
      </c>
      <c r="E44" s="3474">
        <v>9.8000000000000004E-2</v>
      </c>
      <c r="F44" s="3485"/>
      <c r="G44" s="3475">
        <v>0.1</v>
      </c>
    </row>
    <row r="45" spans="1:7">
      <c r="A45" s="3484" t="s">
        <v>1144</v>
      </c>
      <c r="B45" s="3473" t="s">
        <v>1083</v>
      </c>
      <c r="C45" s="3474">
        <v>9.9000000000000005E-2</v>
      </c>
      <c r="D45" s="3474">
        <v>9.8000000000000004E-2</v>
      </c>
      <c r="E45" s="3474">
        <v>9.5000000000000001E-2</v>
      </c>
      <c r="F45" s="3485"/>
      <c r="G45" s="3475">
        <v>9.8000000000000004E-2</v>
      </c>
    </row>
    <row r="46" spans="1:7">
      <c r="A46" s="3484" t="s">
        <v>1144</v>
      </c>
      <c r="B46" s="3473" t="s">
        <v>1092</v>
      </c>
      <c r="C46" s="3474">
        <v>0.1</v>
      </c>
      <c r="D46" s="3474">
        <v>9.9000000000000005E-2</v>
      </c>
      <c r="E46" s="3474">
        <v>9.6000000000000002E-2</v>
      </c>
      <c r="F46" s="3485"/>
      <c r="G46" s="3475">
        <v>0.1</v>
      </c>
    </row>
    <row r="47" spans="1:7">
      <c r="A47" s="3484" t="s">
        <v>1144</v>
      </c>
      <c r="B47" s="3473" t="s">
        <v>1099</v>
      </c>
      <c r="C47" s="3474">
        <v>9.8000000000000004E-2</v>
      </c>
      <c r="D47" s="3474">
        <v>8.6999999999999994E-2</v>
      </c>
      <c r="E47" s="3474">
        <v>5.8999999999999997E-2</v>
      </c>
      <c r="F47" s="3485"/>
      <c r="G47" s="3475">
        <v>9.6000000000000002E-2</v>
      </c>
    </row>
    <row r="48" spans="1:7">
      <c r="A48" s="3484" t="s">
        <v>1144</v>
      </c>
      <c r="B48" s="3473" t="s">
        <v>1107</v>
      </c>
      <c r="C48" s="3474">
        <v>9.9000000000000005E-2</v>
      </c>
      <c r="D48" s="3474">
        <v>9.8000000000000004E-2</v>
      </c>
      <c r="E48" s="3474">
        <v>9.5000000000000001E-2</v>
      </c>
      <c r="F48" s="3485"/>
      <c r="G48" s="3475">
        <v>9.8000000000000004E-2</v>
      </c>
    </row>
    <row r="49" spans="1:7">
      <c r="A49" s="3484" t="s">
        <v>1144</v>
      </c>
      <c r="B49" s="3473" t="s">
        <v>1114</v>
      </c>
      <c r="C49" s="3474">
        <v>8.7999999999999995E-2</v>
      </c>
      <c r="D49" s="3474">
        <v>9.9000000000000005E-2</v>
      </c>
      <c r="E49" s="3474">
        <v>7.0000000000000007E-2</v>
      </c>
      <c r="F49" s="3485"/>
      <c r="G49" s="3475">
        <v>0.1</v>
      </c>
    </row>
    <row r="50" spans="1:7">
      <c r="A50" s="3484" t="s">
        <v>1144</v>
      </c>
      <c r="B50" s="3473" t="s">
        <v>2826</v>
      </c>
      <c r="C50" s="3474">
        <v>9.8000000000000004E-2</v>
      </c>
      <c r="D50" s="3474">
        <v>7.2999999999999995E-2</v>
      </c>
      <c r="E50" s="3474">
        <v>7.0999999999999994E-2</v>
      </c>
      <c r="F50" s="3485"/>
      <c r="G50" s="3475">
        <v>7.2999999999999995E-2</v>
      </c>
    </row>
    <row r="51" spans="1:7">
      <c r="A51" s="3484" t="s">
        <v>1144</v>
      </c>
      <c r="B51" s="3473" t="s">
        <v>2827</v>
      </c>
      <c r="C51" s="3474">
        <v>9.9000000000000005E-2</v>
      </c>
      <c r="D51" s="3474">
        <v>8.5000000000000006E-2</v>
      </c>
      <c r="E51" s="3474">
        <v>6.3E-2</v>
      </c>
      <c r="F51" s="3485"/>
      <c r="G51" s="3475">
        <v>9.6000000000000002E-2</v>
      </c>
    </row>
    <row r="52" spans="1:7">
      <c r="A52" s="3484" t="s">
        <v>1144</v>
      </c>
      <c r="B52" s="3473" t="s">
        <v>2828</v>
      </c>
      <c r="C52" s="3474">
        <v>7.3999999999999996E-2</v>
      </c>
      <c r="D52" s="3474">
        <v>9.6000000000000002E-2</v>
      </c>
      <c r="E52" s="3474">
        <v>0.05</v>
      </c>
      <c r="F52" s="3485"/>
      <c r="G52" s="3475">
        <v>9.8000000000000004E-2</v>
      </c>
    </row>
    <row r="53" spans="1:7">
      <c r="A53" s="3484" t="s">
        <v>1144</v>
      </c>
      <c r="B53" s="3473" t="s">
        <v>2829</v>
      </c>
      <c r="C53" s="3474">
        <v>8.5999999999999993E-2</v>
      </c>
      <c r="D53" s="3485"/>
      <c r="E53" s="3474">
        <v>9.1999999999999998E-2</v>
      </c>
      <c r="F53" s="3485"/>
      <c r="G53" s="3486"/>
    </row>
    <row r="54" spans="1:7" ht="14.25" thickBot="1">
      <c r="A54" s="3487" t="s">
        <v>1144</v>
      </c>
      <c r="B54" s="3477" t="s">
        <v>2830</v>
      </c>
      <c r="C54" s="3478">
        <v>9.6000000000000002E-2</v>
      </c>
      <c r="D54" s="3479"/>
      <c r="E54" s="3488"/>
      <c r="F54" s="3479"/>
      <c r="G54" s="3489"/>
    </row>
    <row r="55" spans="1:7">
      <c r="A55" s="3483" t="s">
        <v>852</v>
      </c>
      <c r="B55" s="3469" t="s">
        <v>3041</v>
      </c>
      <c r="C55" s="3470">
        <v>9.6000000000000002E-2</v>
      </c>
      <c r="D55" s="3470">
        <v>8.4000000000000005E-2</v>
      </c>
      <c r="E55" s="3470">
        <v>9.1999999999999998E-2</v>
      </c>
      <c r="F55" s="3470">
        <v>0.1</v>
      </c>
      <c r="G55" s="3471">
        <v>9.5000000000000001E-2</v>
      </c>
    </row>
    <row r="56" spans="1:7">
      <c r="A56" s="3484" t="s">
        <v>852</v>
      </c>
      <c r="B56" s="3473" t="s">
        <v>974</v>
      </c>
      <c r="C56" s="3474">
        <v>8.4000000000000005E-2</v>
      </c>
      <c r="D56" s="3474">
        <v>9.1999999999999998E-2</v>
      </c>
      <c r="E56" s="3474">
        <v>9.5000000000000001E-2</v>
      </c>
      <c r="F56" s="3474">
        <v>9.1999999999999998E-2</v>
      </c>
      <c r="G56" s="3475">
        <v>9.6000000000000002E-2</v>
      </c>
    </row>
    <row r="57" spans="1:7">
      <c r="A57" s="3484" t="s">
        <v>852</v>
      </c>
      <c r="B57" s="3473" t="s">
        <v>984</v>
      </c>
      <c r="C57" s="3474">
        <v>9.9000000000000005E-2</v>
      </c>
      <c r="D57" s="3474">
        <v>9.6000000000000002E-2</v>
      </c>
      <c r="E57" s="3474">
        <v>9.1999999999999998E-2</v>
      </c>
      <c r="F57" s="3474">
        <v>0.1</v>
      </c>
      <c r="G57" s="3475">
        <v>9.8000000000000004E-2</v>
      </c>
    </row>
    <row r="58" spans="1:7">
      <c r="A58" s="3484" t="s">
        <v>852</v>
      </c>
      <c r="B58" s="3473" t="s">
        <v>993</v>
      </c>
      <c r="C58" s="3474">
        <v>9.8000000000000004E-2</v>
      </c>
      <c r="D58" s="3474">
        <v>9.5000000000000001E-2</v>
      </c>
      <c r="E58" s="3474">
        <v>5.7000000000000002E-2</v>
      </c>
      <c r="F58" s="3474">
        <v>0.1</v>
      </c>
      <c r="G58" s="3475">
        <v>9.6000000000000002E-2</v>
      </c>
    </row>
    <row r="59" spans="1:7">
      <c r="A59" s="3484" t="s">
        <v>852</v>
      </c>
      <c r="B59" s="3473" t="s">
        <v>1003</v>
      </c>
      <c r="C59" s="3474">
        <v>9.5000000000000001E-2</v>
      </c>
      <c r="D59" s="3474">
        <v>0.1</v>
      </c>
      <c r="E59" s="3474">
        <v>7.4999999999999997E-2</v>
      </c>
      <c r="F59" s="3474">
        <v>0.1</v>
      </c>
      <c r="G59" s="3475">
        <v>0.1</v>
      </c>
    </row>
    <row r="60" spans="1:7">
      <c r="A60" s="3484" t="s">
        <v>852</v>
      </c>
      <c r="B60" s="3473" t="s">
        <v>1010</v>
      </c>
      <c r="C60" s="3474">
        <v>0.1</v>
      </c>
      <c r="D60" s="3474">
        <v>9.7000000000000003E-2</v>
      </c>
      <c r="E60" s="3474">
        <v>0.1</v>
      </c>
      <c r="F60" s="3474">
        <v>0.1</v>
      </c>
      <c r="G60" s="3475">
        <v>9.7000000000000003E-2</v>
      </c>
    </row>
    <row r="61" spans="1:7">
      <c r="A61" s="3484" t="s">
        <v>852</v>
      </c>
      <c r="B61" s="3473" t="s">
        <v>1016</v>
      </c>
      <c r="C61" s="3474">
        <v>9.7000000000000003E-2</v>
      </c>
      <c r="D61" s="3474">
        <v>0.1</v>
      </c>
      <c r="E61" s="3474">
        <v>9.2999999999999999E-2</v>
      </c>
      <c r="F61" s="3474">
        <v>0.1</v>
      </c>
      <c r="G61" s="3475">
        <v>0.1</v>
      </c>
    </row>
    <row r="62" spans="1:7">
      <c r="A62" s="3484" t="s">
        <v>852</v>
      </c>
      <c r="B62" s="3473" t="s">
        <v>1023</v>
      </c>
      <c r="C62" s="3474">
        <v>0.1</v>
      </c>
      <c r="D62" s="3474">
        <v>9.7000000000000003E-2</v>
      </c>
      <c r="E62" s="3474">
        <v>8.8999999999999996E-2</v>
      </c>
      <c r="F62" s="3474">
        <v>0.1</v>
      </c>
      <c r="G62" s="3475">
        <v>9.8000000000000004E-2</v>
      </c>
    </row>
    <row r="63" spans="1:7">
      <c r="A63" s="3484" t="s">
        <v>852</v>
      </c>
      <c r="B63" s="3473" t="s">
        <v>1033</v>
      </c>
      <c r="C63" s="3474">
        <v>9.7000000000000003E-2</v>
      </c>
      <c r="D63" s="3474">
        <v>9.7000000000000003E-2</v>
      </c>
      <c r="E63" s="3474">
        <v>9.9000000000000005E-2</v>
      </c>
      <c r="F63" s="3474">
        <v>0.1</v>
      </c>
      <c r="G63" s="3475">
        <v>9.7000000000000003E-2</v>
      </c>
    </row>
    <row r="64" spans="1:7">
      <c r="A64" s="3484" t="s">
        <v>852</v>
      </c>
      <c r="B64" s="3473" t="s">
        <v>1042</v>
      </c>
      <c r="C64" s="3474">
        <v>9.7000000000000003E-2</v>
      </c>
      <c r="D64" s="3474">
        <v>7.3999999999999996E-2</v>
      </c>
      <c r="E64" s="3474">
        <v>7.8E-2</v>
      </c>
      <c r="F64" s="3474">
        <v>0.1</v>
      </c>
      <c r="G64" s="3475">
        <v>8.8999999999999996E-2</v>
      </c>
    </row>
    <row r="65" spans="1:7">
      <c r="A65" s="3484" t="s">
        <v>852</v>
      </c>
      <c r="B65" s="3473" t="s">
        <v>1049</v>
      </c>
      <c r="C65" s="3474">
        <v>7.2999999999999995E-2</v>
      </c>
      <c r="D65" s="3474">
        <v>9.8000000000000004E-2</v>
      </c>
      <c r="E65" s="3474">
        <v>9.5000000000000001E-2</v>
      </c>
      <c r="F65" s="3474">
        <v>0.1</v>
      </c>
      <c r="G65" s="3475">
        <v>9.9000000000000005E-2</v>
      </c>
    </row>
    <row r="66" spans="1:7">
      <c r="A66" s="3484" t="s">
        <v>852</v>
      </c>
      <c r="B66" s="3473" t="s">
        <v>1056</v>
      </c>
      <c r="C66" s="3474">
        <v>9.8000000000000004E-2</v>
      </c>
      <c r="D66" s="3474">
        <v>9.5000000000000001E-2</v>
      </c>
      <c r="E66" s="3474">
        <v>0.05</v>
      </c>
      <c r="F66" s="3474">
        <v>0.1</v>
      </c>
      <c r="G66" s="3475">
        <v>9.7000000000000003E-2</v>
      </c>
    </row>
    <row r="67" spans="1:7">
      <c r="A67" s="3484" t="s">
        <v>852</v>
      </c>
      <c r="B67" s="3473" t="s">
        <v>1063</v>
      </c>
      <c r="C67" s="3474">
        <v>9.5000000000000001E-2</v>
      </c>
      <c r="D67" s="3474">
        <v>9.7000000000000003E-2</v>
      </c>
      <c r="E67" s="3474">
        <v>9.7000000000000003E-2</v>
      </c>
      <c r="F67" s="3474">
        <v>0.1</v>
      </c>
      <c r="G67" s="3475">
        <v>9.9000000000000005E-2</v>
      </c>
    </row>
    <row r="68" spans="1:7">
      <c r="A68" s="3484" t="s">
        <v>852</v>
      </c>
      <c r="B68" s="3473" t="s">
        <v>1071</v>
      </c>
      <c r="C68" s="3474">
        <v>9.7000000000000003E-2</v>
      </c>
      <c r="D68" s="3474">
        <v>6.8000000000000005E-2</v>
      </c>
      <c r="E68" s="3474">
        <v>6.6000000000000003E-2</v>
      </c>
      <c r="F68" s="3474">
        <v>0.1</v>
      </c>
      <c r="G68" s="3475">
        <v>8.4000000000000005E-2</v>
      </c>
    </row>
    <row r="69" spans="1:7">
      <c r="A69" s="3484" t="s">
        <v>852</v>
      </c>
      <c r="B69" s="3473" t="s">
        <v>1079</v>
      </c>
      <c r="C69" s="3474">
        <v>6.8000000000000005E-2</v>
      </c>
      <c r="D69" s="3474">
        <v>9.8000000000000004E-2</v>
      </c>
      <c r="E69" s="3474">
        <v>9.5000000000000001E-2</v>
      </c>
      <c r="F69" s="3474">
        <v>0.1</v>
      </c>
      <c r="G69" s="3475">
        <v>0.1</v>
      </c>
    </row>
    <row r="70" spans="1:7">
      <c r="A70" s="3484" t="s">
        <v>852</v>
      </c>
      <c r="B70" s="3473" t="s">
        <v>1084</v>
      </c>
      <c r="C70" s="3474">
        <v>9.8000000000000004E-2</v>
      </c>
      <c r="D70" s="3474">
        <v>8.8999999999999996E-2</v>
      </c>
      <c r="E70" s="3474">
        <v>5.8999999999999997E-2</v>
      </c>
      <c r="F70" s="3474">
        <v>0.1</v>
      </c>
      <c r="G70" s="3475">
        <v>9.6000000000000002E-2</v>
      </c>
    </row>
    <row r="71" spans="1:7">
      <c r="A71" s="3484" t="s">
        <v>852</v>
      </c>
      <c r="B71" s="3473" t="s">
        <v>1093</v>
      </c>
      <c r="C71" s="3474">
        <v>8.8999999999999996E-2</v>
      </c>
      <c r="D71" s="3474">
        <v>9.9000000000000005E-2</v>
      </c>
      <c r="E71" s="3474">
        <v>9.6000000000000002E-2</v>
      </c>
      <c r="F71" s="3474">
        <v>0.1</v>
      </c>
      <c r="G71" s="3475">
        <v>0.1</v>
      </c>
    </row>
    <row r="72" spans="1:7">
      <c r="A72" s="3484" t="s">
        <v>852</v>
      </c>
      <c r="B72" s="3473" t="s">
        <v>1100</v>
      </c>
      <c r="C72" s="3474">
        <v>9.9000000000000005E-2</v>
      </c>
      <c r="D72" s="3474">
        <v>0.1</v>
      </c>
      <c r="E72" s="3474">
        <v>7.0000000000000007E-2</v>
      </c>
      <c r="F72" s="3485"/>
      <c r="G72" s="3475">
        <v>0.1</v>
      </c>
    </row>
    <row r="73" spans="1:7">
      <c r="A73" s="3484" t="s">
        <v>852</v>
      </c>
      <c r="B73" s="3473" t="s">
        <v>1108</v>
      </c>
      <c r="C73" s="3474">
        <v>0.1</v>
      </c>
      <c r="D73" s="3474">
        <v>0.1</v>
      </c>
      <c r="E73" s="3474">
        <v>9.6000000000000002E-2</v>
      </c>
      <c r="F73" s="3485"/>
      <c r="G73" s="3475">
        <v>0.1</v>
      </c>
    </row>
    <row r="74" spans="1:7">
      <c r="A74" s="3484" t="s">
        <v>852</v>
      </c>
      <c r="B74" s="3473" t="s">
        <v>1115</v>
      </c>
      <c r="C74" s="3474">
        <v>0.1</v>
      </c>
      <c r="D74" s="3474">
        <v>0.1</v>
      </c>
      <c r="E74" s="3474">
        <v>9.8000000000000004E-2</v>
      </c>
      <c r="F74" s="3485"/>
      <c r="G74" s="3475">
        <v>0.1</v>
      </c>
    </row>
    <row r="75" spans="1:7">
      <c r="A75" s="3484" t="s">
        <v>852</v>
      </c>
      <c r="B75" s="3473" t="s">
        <v>1119</v>
      </c>
      <c r="C75" s="3474">
        <v>0.1</v>
      </c>
      <c r="D75" s="3474">
        <v>9.9000000000000005E-2</v>
      </c>
      <c r="E75" s="3474">
        <v>9.8000000000000004E-2</v>
      </c>
      <c r="F75" s="3485"/>
      <c r="G75" s="3475">
        <v>0.1</v>
      </c>
    </row>
    <row r="76" spans="1:7">
      <c r="A76" s="3484" t="s">
        <v>852</v>
      </c>
      <c r="B76" s="3473" t="s">
        <v>1126</v>
      </c>
      <c r="C76" s="3474">
        <v>9.9000000000000005E-2</v>
      </c>
      <c r="D76" s="3474">
        <v>0.1</v>
      </c>
      <c r="E76" s="3474">
        <v>9.7000000000000003E-2</v>
      </c>
      <c r="F76" s="3485"/>
      <c r="G76" s="3475">
        <v>0.1</v>
      </c>
    </row>
    <row r="77" spans="1:7">
      <c r="A77" s="3484" t="s">
        <v>852</v>
      </c>
      <c r="B77" s="3473" t="s">
        <v>1129</v>
      </c>
      <c r="C77" s="3474">
        <v>0.1</v>
      </c>
      <c r="D77" s="3474">
        <v>0.1</v>
      </c>
      <c r="E77" s="3474">
        <v>9.6000000000000002E-2</v>
      </c>
      <c r="F77" s="3485"/>
      <c r="G77" s="3475">
        <v>0.1</v>
      </c>
    </row>
    <row r="78" spans="1:7">
      <c r="A78" s="3484" t="s">
        <v>852</v>
      </c>
      <c r="B78" s="3473" t="s">
        <v>2832</v>
      </c>
      <c r="C78" s="3474">
        <v>0.1</v>
      </c>
      <c r="D78" s="3474">
        <v>8.5000000000000006E-2</v>
      </c>
      <c r="E78" s="3474">
        <v>9.6000000000000002E-2</v>
      </c>
      <c r="F78" s="3485"/>
      <c r="G78" s="3475">
        <v>9.6000000000000002E-2</v>
      </c>
    </row>
    <row r="79" spans="1:7">
      <c r="A79" s="3484" t="s">
        <v>852</v>
      </c>
      <c r="B79" s="3473" t="s">
        <v>2833</v>
      </c>
      <c r="C79" s="3474">
        <v>0.05</v>
      </c>
      <c r="D79" s="3474">
        <v>9.6000000000000002E-2</v>
      </c>
      <c r="E79" s="3474">
        <v>9.5000000000000001E-2</v>
      </c>
      <c r="F79" s="3485"/>
      <c r="G79" s="3475">
        <v>9.8000000000000004E-2</v>
      </c>
    </row>
    <row r="80" spans="1:7">
      <c r="A80" s="3484" t="s">
        <v>852</v>
      </c>
      <c r="B80" s="3473" t="s">
        <v>2834</v>
      </c>
      <c r="C80" s="3474">
        <v>8.5999999999999993E-2</v>
      </c>
      <c r="D80" s="3490"/>
      <c r="E80" s="3474">
        <v>0.1</v>
      </c>
      <c r="F80" s="3485"/>
      <c r="G80" s="3486"/>
    </row>
    <row r="81" spans="1:7">
      <c r="A81" s="3484" t="s">
        <v>852</v>
      </c>
      <c r="B81" s="3473" t="s">
        <v>2835</v>
      </c>
      <c r="C81" s="3474">
        <v>9.6000000000000002E-2</v>
      </c>
      <c r="D81" s="3485"/>
      <c r="E81" s="3474">
        <v>9.8000000000000004E-2</v>
      </c>
      <c r="F81" s="3485"/>
      <c r="G81" s="3486"/>
    </row>
    <row r="82" spans="1:7">
      <c r="A82" s="3484" t="s">
        <v>852</v>
      </c>
      <c r="B82" s="3473" t="s">
        <v>2836</v>
      </c>
      <c r="C82" s="3490"/>
      <c r="D82" s="3485"/>
      <c r="E82" s="3474">
        <v>7.6999999999999999E-2</v>
      </c>
      <c r="F82" s="3485"/>
      <c r="G82" s="3486"/>
    </row>
    <row r="83" spans="1:7">
      <c r="A83" s="3484" t="s">
        <v>852</v>
      </c>
      <c r="B83" s="3473" t="s">
        <v>3042</v>
      </c>
      <c r="C83" s="3485"/>
      <c r="D83" s="3485"/>
      <c r="E83" s="3485"/>
      <c r="F83" s="3474">
        <v>0.1</v>
      </c>
      <c r="G83" s="3491"/>
    </row>
    <row r="84" spans="1:7">
      <c r="A84" s="3484" t="s">
        <v>852</v>
      </c>
      <c r="B84" s="3473" t="s">
        <v>3043</v>
      </c>
      <c r="C84" s="3485"/>
      <c r="D84" s="3485"/>
      <c r="E84" s="3485"/>
      <c r="F84" s="3474">
        <v>0.1</v>
      </c>
      <c r="G84" s="3491"/>
    </row>
    <row r="85" spans="1:7">
      <c r="A85" s="3484" t="s">
        <v>852</v>
      </c>
      <c r="B85" s="3473" t="s">
        <v>3044</v>
      </c>
      <c r="C85" s="3485"/>
      <c r="D85" s="3485"/>
      <c r="E85" s="3485"/>
      <c r="F85" s="3474">
        <v>0.1</v>
      </c>
      <c r="G85" s="3491"/>
    </row>
    <row r="86" spans="1:7" ht="14.25" thickBot="1">
      <c r="A86" s="3487" t="s">
        <v>852</v>
      </c>
      <c r="B86" s="3477" t="s">
        <v>3045</v>
      </c>
      <c r="C86" s="3478">
        <v>9.8000000000000004E-2</v>
      </c>
      <c r="D86" s="3478">
        <v>9.8000000000000004E-2</v>
      </c>
      <c r="E86" s="3478">
        <v>9.6000000000000002E-2</v>
      </c>
      <c r="F86" s="3488"/>
      <c r="G86" s="3480">
        <v>0.1</v>
      </c>
    </row>
    <row r="87" spans="1:7">
      <c r="A87" s="3483" t="s">
        <v>1151</v>
      </c>
      <c r="B87" s="3469" t="s">
        <v>3046</v>
      </c>
      <c r="C87" s="3470">
        <v>0.1</v>
      </c>
      <c r="D87" s="3470">
        <v>0.1</v>
      </c>
      <c r="E87" s="3470">
        <v>9.8000000000000004E-2</v>
      </c>
      <c r="F87" s="3470">
        <v>0.1</v>
      </c>
      <c r="G87" s="3471">
        <v>0.1</v>
      </c>
    </row>
    <row r="88" spans="1:7">
      <c r="A88" s="3484" t="s">
        <v>1151</v>
      </c>
      <c r="B88" s="3473" t="s">
        <v>975</v>
      </c>
      <c r="C88" s="3474">
        <v>9.0999999999999998E-2</v>
      </c>
      <c r="D88" s="3474">
        <v>9.1999999999999998E-2</v>
      </c>
      <c r="E88" s="3474">
        <v>0.1</v>
      </c>
      <c r="F88" s="3474">
        <v>0.1</v>
      </c>
      <c r="G88" s="3475">
        <v>9.6000000000000002E-2</v>
      </c>
    </row>
    <row r="89" spans="1:7">
      <c r="A89" s="3484" t="s">
        <v>1151</v>
      </c>
      <c r="B89" s="3473" t="s">
        <v>985</v>
      </c>
      <c r="C89" s="3474">
        <v>0.1</v>
      </c>
      <c r="D89" s="3474">
        <v>0.1</v>
      </c>
      <c r="E89" s="3474">
        <v>6.7000000000000004E-2</v>
      </c>
      <c r="F89" s="3474">
        <v>9.2999999999999999E-2</v>
      </c>
      <c r="G89" s="3475">
        <v>0.1</v>
      </c>
    </row>
    <row r="90" spans="1:7">
      <c r="A90" s="3484" t="s">
        <v>1151</v>
      </c>
      <c r="B90" s="3473" t="s">
        <v>994</v>
      </c>
      <c r="C90" s="3474">
        <v>9.6000000000000002E-2</v>
      </c>
      <c r="D90" s="3474">
        <v>9.6000000000000002E-2</v>
      </c>
      <c r="E90" s="3474">
        <v>0.1</v>
      </c>
      <c r="F90" s="3474">
        <v>0.1</v>
      </c>
      <c r="G90" s="3475">
        <v>9.8000000000000004E-2</v>
      </c>
    </row>
    <row r="91" spans="1:7">
      <c r="A91" s="3484" t="s">
        <v>1151</v>
      </c>
      <c r="B91" s="3473" t="s">
        <v>1004</v>
      </c>
      <c r="C91" s="3474">
        <v>7.6999999999999999E-2</v>
      </c>
      <c r="D91" s="3474">
        <v>7.6999999999999999E-2</v>
      </c>
      <c r="E91" s="3474">
        <v>9.6000000000000002E-2</v>
      </c>
      <c r="F91" s="3474">
        <v>0.1</v>
      </c>
      <c r="G91" s="3475">
        <v>7.6999999999999999E-2</v>
      </c>
    </row>
    <row r="92" spans="1:7">
      <c r="A92" s="3484" t="s">
        <v>1151</v>
      </c>
      <c r="B92" s="3473" t="s">
        <v>1011</v>
      </c>
      <c r="C92" s="3474">
        <v>0.1</v>
      </c>
      <c r="D92" s="3474">
        <v>0.1</v>
      </c>
      <c r="E92" s="3474">
        <v>9.1999999999999998E-2</v>
      </c>
      <c r="F92" s="3474">
        <v>0.1</v>
      </c>
      <c r="G92" s="3475">
        <v>0.1</v>
      </c>
    </row>
    <row r="93" spans="1:7">
      <c r="A93" s="3484" t="s">
        <v>1151</v>
      </c>
      <c r="B93" s="3473" t="s">
        <v>1017</v>
      </c>
      <c r="C93" s="3474">
        <v>9.8000000000000004E-2</v>
      </c>
      <c r="D93" s="3474">
        <v>9.8000000000000004E-2</v>
      </c>
      <c r="E93" s="3474">
        <v>9.6000000000000002E-2</v>
      </c>
      <c r="F93" s="3474">
        <v>0.1</v>
      </c>
      <c r="G93" s="3475">
        <v>9.9000000000000005E-2</v>
      </c>
    </row>
    <row r="94" spans="1:7">
      <c r="A94" s="3484" t="s">
        <v>1151</v>
      </c>
      <c r="B94" s="3473" t="s">
        <v>1024</v>
      </c>
      <c r="C94" s="3474">
        <v>8.7999999999999995E-2</v>
      </c>
      <c r="D94" s="3474">
        <v>8.7999999999999995E-2</v>
      </c>
      <c r="E94" s="3474">
        <v>9.6000000000000002E-2</v>
      </c>
      <c r="F94" s="3474">
        <v>0.1</v>
      </c>
      <c r="G94" s="3475">
        <v>8.7999999999999995E-2</v>
      </c>
    </row>
    <row r="95" spans="1:7">
      <c r="A95" s="3484" t="s">
        <v>1151</v>
      </c>
      <c r="B95" s="3473" t="s">
        <v>1034</v>
      </c>
      <c r="C95" s="3474">
        <v>9.6000000000000002E-2</v>
      </c>
      <c r="D95" s="3474">
        <v>9.6000000000000002E-2</v>
      </c>
      <c r="E95" s="3474">
        <v>0.1</v>
      </c>
      <c r="F95" s="3474">
        <v>0.1</v>
      </c>
      <c r="G95" s="3475">
        <v>9.8000000000000004E-2</v>
      </c>
    </row>
    <row r="96" spans="1:7">
      <c r="A96" s="3484" t="s">
        <v>1151</v>
      </c>
      <c r="B96" s="3473" t="s">
        <v>1043</v>
      </c>
      <c r="C96" s="3474">
        <v>9.7000000000000003E-2</v>
      </c>
      <c r="D96" s="3474">
        <v>9.7000000000000003E-2</v>
      </c>
      <c r="E96" s="3474">
        <v>0.1</v>
      </c>
      <c r="F96" s="3474">
        <v>0.1</v>
      </c>
      <c r="G96" s="3475">
        <v>9.8000000000000004E-2</v>
      </c>
    </row>
    <row r="97" spans="1:7">
      <c r="A97" s="3484" t="s">
        <v>1151</v>
      </c>
      <c r="B97" s="3473" t="s">
        <v>1050</v>
      </c>
      <c r="C97" s="3474">
        <v>9.6000000000000002E-2</v>
      </c>
      <c r="D97" s="3474">
        <v>9.6000000000000002E-2</v>
      </c>
      <c r="E97" s="3474">
        <v>9.9000000000000005E-2</v>
      </c>
      <c r="F97" s="3474">
        <v>0.1</v>
      </c>
      <c r="G97" s="3475">
        <v>9.8000000000000004E-2</v>
      </c>
    </row>
    <row r="98" spans="1:7">
      <c r="A98" s="3484" t="s">
        <v>1151</v>
      </c>
      <c r="B98" s="3473" t="s">
        <v>1057</v>
      </c>
      <c r="C98" s="3474">
        <v>9.8000000000000004E-2</v>
      </c>
      <c r="D98" s="3474">
        <v>9.8000000000000004E-2</v>
      </c>
      <c r="E98" s="3474">
        <v>0.1</v>
      </c>
      <c r="F98" s="3474">
        <v>0.1</v>
      </c>
      <c r="G98" s="3475">
        <v>9.9000000000000005E-2</v>
      </c>
    </row>
    <row r="99" spans="1:7">
      <c r="A99" s="3484" t="s">
        <v>1151</v>
      </c>
      <c r="B99" s="3473" t="s">
        <v>1064</v>
      </c>
      <c r="C99" s="3474">
        <v>9.6000000000000002E-2</v>
      </c>
      <c r="D99" s="3474">
        <v>9.6000000000000002E-2</v>
      </c>
      <c r="E99" s="3474">
        <v>0.1</v>
      </c>
      <c r="F99" s="3474">
        <v>0.1</v>
      </c>
      <c r="G99" s="3475">
        <v>9.7000000000000003E-2</v>
      </c>
    </row>
    <row r="100" spans="1:7">
      <c r="A100" s="3484" t="s">
        <v>1151</v>
      </c>
      <c r="B100" s="3473" t="s">
        <v>1072</v>
      </c>
      <c r="C100" s="3474">
        <v>0.1</v>
      </c>
      <c r="D100" s="3474">
        <v>0.1</v>
      </c>
      <c r="E100" s="3474">
        <v>9.7000000000000003E-2</v>
      </c>
      <c r="F100" s="3474">
        <v>9.8000000000000004E-2</v>
      </c>
      <c r="G100" s="3475">
        <v>0.1</v>
      </c>
    </row>
    <row r="101" spans="1:7">
      <c r="A101" s="3484" t="s">
        <v>1151</v>
      </c>
      <c r="B101" s="3473" t="s">
        <v>1080</v>
      </c>
      <c r="C101" s="3474">
        <v>0.1</v>
      </c>
      <c r="D101" s="3474">
        <v>0.1</v>
      </c>
      <c r="E101" s="3474">
        <v>9.5000000000000001E-2</v>
      </c>
      <c r="F101" s="3474">
        <v>0.1</v>
      </c>
      <c r="G101" s="3475">
        <v>0.1</v>
      </c>
    </row>
    <row r="102" spans="1:7">
      <c r="A102" s="3484" t="s">
        <v>1151</v>
      </c>
      <c r="B102" s="3473" t="s">
        <v>1085</v>
      </c>
      <c r="C102" s="3474">
        <v>0.1</v>
      </c>
      <c r="D102" s="3474">
        <v>0.1</v>
      </c>
      <c r="E102" s="3474">
        <v>9.9000000000000005E-2</v>
      </c>
      <c r="F102" s="3474">
        <v>9.7000000000000003E-2</v>
      </c>
      <c r="G102" s="3475">
        <v>0.1</v>
      </c>
    </row>
    <row r="103" spans="1:7">
      <c r="A103" s="3484" t="s">
        <v>1151</v>
      </c>
      <c r="B103" s="3473" t="s">
        <v>1094</v>
      </c>
      <c r="C103" s="3474">
        <v>0.1</v>
      </c>
      <c r="D103" s="3474">
        <v>0.1</v>
      </c>
      <c r="E103" s="3474">
        <v>9.8000000000000004E-2</v>
      </c>
      <c r="F103" s="3474">
        <v>0.1</v>
      </c>
      <c r="G103" s="3475">
        <v>0.1</v>
      </c>
    </row>
    <row r="104" spans="1:7">
      <c r="A104" s="3484" t="s">
        <v>1151</v>
      </c>
      <c r="B104" s="3473" t="s">
        <v>1101</v>
      </c>
      <c r="C104" s="3474">
        <v>0.1</v>
      </c>
      <c r="D104" s="3474">
        <v>0.1</v>
      </c>
      <c r="E104" s="3474">
        <v>9.8000000000000004E-2</v>
      </c>
      <c r="F104" s="3474">
        <v>0.1</v>
      </c>
      <c r="G104" s="3475">
        <v>0.1</v>
      </c>
    </row>
    <row r="105" spans="1:7">
      <c r="A105" s="3484" t="s">
        <v>1151</v>
      </c>
      <c r="B105" s="3473" t="s">
        <v>1109</v>
      </c>
      <c r="C105" s="3474">
        <v>9.8000000000000004E-2</v>
      </c>
      <c r="D105" s="3474">
        <v>9.8000000000000004E-2</v>
      </c>
      <c r="E105" s="3474">
        <v>9.8000000000000004E-2</v>
      </c>
      <c r="F105" s="3474">
        <v>0.1</v>
      </c>
      <c r="G105" s="3475">
        <v>9.9000000000000005E-2</v>
      </c>
    </row>
    <row r="106" spans="1:7">
      <c r="A106" s="3484" t="s">
        <v>1151</v>
      </c>
      <c r="B106" s="3473" t="s">
        <v>1116</v>
      </c>
      <c r="C106" s="3474">
        <v>9.7000000000000003E-2</v>
      </c>
      <c r="D106" s="3474">
        <v>9.7000000000000003E-2</v>
      </c>
      <c r="E106" s="3474">
        <v>9.7000000000000003E-2</v>
      </c>
      <c r="F106" s="3474">
        <v>0.1</v>
      </c>
      <c r="G106" s="3475">
        <v>9.9000000000000005E-2</v>
      </c>
    </row>
    <row r="107" spans="1:7">
      <c r="A107" s="3484" t="s">
        <v>1151</v>
      </c>
      <c r="B107" s="3473" t="s">
        <v>1120</v>
      </c>
      <c r="C107" s="3474">
        <v>0.1</v>
      </c>
      <c r="D107" s="3474">
        <v>0.1</v>
      </c>
      <c r="E107" s="3474">
        <v>8.5999999999999993E-2</v>
      </c>
      <c r="F107" s="3474">
        <v>0.09</v>
      </c>
      <c r="G107" s="3475">
        <v>0.1</v>
      </c>
    </row>
    <row r="108" spans="1:7">
      <c r="A108" s="3484" t="s">
        <v>1151</v>
      </c>
      <c r="B108" s="3473" t="s">
        <v>1127</v>
      </c>
      <c r="C108" s="3474">
        <v>0.1</v>
      </c>
      <c r="D108" s="3474">
        <v>0.1</v>
      </c>
      <c r="E108" s="3474">
        <v>9.6000000000000002E-2</v>
      </c>
      <c r="F108" s="3485"/>
      <c r="G108" s="3475">
        <v>0.1</v>
      </c>
    </row>
    <row r="109" spans="1:7">
      <c r="A109" s="3484" t="s">
        <v>1151</v>
      </c>
      <c r="B109" s="3473" t="s">
        <v>1130</v>
      </c>
      <c r="C109" s="3474">
        <v>0.1</v>
      </c>
      <c r="D109" s="3474">
        <v>0.1</v>
      </c>
      <c r="E109" s="3474">
        <v>0.1</v>
      </c>
      <c r="F109" s="3485"/>
      <c r="G109" s="3475">
        <v>0.1</v>
      </c>
    </row>
    <row r="110" spans="1:7">
      <c r="A110" s="3484" t="s">
        <v>1151</v>
      </c>
      <c r="B110" s="3473" t="s">
        <v>1132</v>
      </c>
      <c r="C110" s="3474">
        <v>0.1</v>
      </c>
      <c r="D110" s="3474">
        <v>0.1</v>
      </c>
      <c r="E110" s="3474">
        <v>0.1</v>
      </c>
      <c r="F110" s="3485"/>
      <c r="G110" s="3475">
        <v>0.1</v>
      </c>
    </row>
    <row r="111" spans="1:7">
      <c r="A111" s="3484" t="s">
        <v>1151</v>
      </c>
      <c r="B111" s="3473" t="s">
        <v>1135</v>
      </c>
      <c r="C111" s="3474">
        <v>0.1</v>
      </c>
      <c r="D111" s="3474">
        <v>0.1</v>
      </c>
      <c r="E111" s="3474">
        <v>9.5000000000000001E-2</v>
      </c>
      <c r="F111" s="3485"/>
      <c r="G111" s="3475">
        <v>0.1</v>
      </c>
    </row>
    <row r="112" spans="1:7">
      <c r="A112" s="3484" t="s">
        <v>1151</v>
      </c>
      <c r="B112" s="3473" t="s">
        <v>1139</v>
      </c>
      <c r="C112" s="3474">
        <v>9.7000000000000003E-2</v>
      </c>
      <c r="D112" s="3474">
        <v>9.7000000000000003E-2</v>
      </c>
      <c r="E112" s="3474">
        <v>0.05</v>
      </c>
      <c r="F112" s="3485"/>
      <c r="G112" s="3475">
        <v>9.8000000000000004E-2</v>
      </c>
    </row>
    <row r="113" spans="1:7">
      <c r="A113" s="3484" t="s">
        <v>1151</v>
      </c>
      <c r="B113" s="3473" t="s">
        <v>2842</v>
      </c>
      <c r="C113" s="3474">
        <v>0.1</v>
      </c>
      <c r="D113" s="3474">
        <v>0.1</v>
      </c>
      <c r="E113" s="3485"/>
      <c r="F113" s="3485"/>
      <c r="G113" s="3475">
        <v>0.1</v>
      </c>
    </row>
    <row r="114" spans="1:7">
      <c r="A114" s="3484" t="s">
        <v>1151</v>
      </c>
      <c r="B114" s="3473" t="s">
        <v>2843</v>
      </c>
      <c r="C114" s="3474">
        <v>9.7000000000000003E-2</v>
      </c>
      <c r="D114" s="3474">
        <v>9.7000000000000003E-2</v>
      </c>
      <c r="E114" s="3485"/>
      <c r="F114" s="3485"/>
      <c r="G114" s="3475">
        <v>9.9000000000000005E-2</v>
      </c>
    </row>
    <row r="115" spans="1:7">
      <c r="A115" s="3484" t="s">
        <v>1151</v>
      </c>
      <c r="B115" s="3473" t="s">
        <v>2844</v>
      </c>
      <c r="C115" s="3474">
        <v>0.1</v>
      </c>
      <c r="D115" s="3474">
        <v>0.1</v>
      </c>
      <c r="E115" s="3485"/>
      <c r="F115" s="3485"/>
      <c r="G115" s="3475">
        <v>0.1</v>
      </c>
    </row>
    <row r="116" spans="1:7">
      <c r="A116" s="3484" t="s">
        <v>1151</v>
      </c>
      <c r="B116" s="3473" t="s">
        <v>2845</v>
      </c>
      <c r="C116" s="3474">
        <v>0.1</v>
      </c>
      <c r="D116" s="3474">
        <v>0.1</v>
      </c>
      <c r="E116" s="3485"/>
      <c r="F116" s="3485"/>
      <c r="G116" s="3475">
        <v>0.1</v>
      </c>
    </row>
    <row r="117" spans="1:7">
      <c r="A117" s="3484" t="s">
        <v>1151</v>
      </c>
      <c r="B117" s="3473" t="s">
        <v>2846</v>
      </c>
      <c r="C117" s="3474">
        <v>9.7000000000000003E-2</v>
      </c>
      <c r="D117" s="3474">
        <v>9.7000000000000003E-2</v>
      </c>
      <c r="E117" s="3485"/>
      <c r="F117" s="3485"/>
      <c r="G117" s="3475">
        <v>9.7000000000000003E-2</v>
      </c>
    </row>
    <row r="118" spans="1:7">
      <c r="A118" s="3484" t="s">
        <v>1151</v>
      </c>
      <c r="B118" s="3473" t="s">
        <v>2847</v>
      </c>
      <c r="C118" s="3474">
        <v>0.1</v>
      </c>
      <c r="D118" s="3474">
        <v>0.1</v>
      </c>
      <c r="E118" s="3485"/>
      <c r="F118" s="3485"/>
      <c r="G118" s="3475">
        <v>0.1</v>
      </c>
    </row>
    <row r="119" spans="1:7">
      <c r="A119" s="3484" t="s">
        <v>1151</v>
      </c>
      <c r="B119" s="3473" t="s">
        <v>2848</v>
      </c>
      <c r="C119" s="3474">
        <v>5.0999999999999997E-2</v>
      </c>
      <c r="D119" s="3474">
        <v>5.1999999999999998E-2</v>
      </c>
      <c r="E119" s="3485"/>
      <c r="F119" s="3490"/>
      <c r="G119" s="3475">
        <v>0.06</v>
      </c>
    </row>
    <row r="120" spans="1:7">
      <c r="A120" s="3484" t="s">
        <v>1151</v>
      </c>
      <c r="B120" s="3473" t="s">
        <v>3047</v>
      </c>
      <c r="C120" s="3485"/>
      <c r="D120" s="3485"/>
      <c r="E120" s="3485"/>
      <c r="F120" s="3474">
        <v>0.1</v>
      </c>
      <c r="G120" s="3491"/>
    </row>
    <row r="121" spans="1:7">
      <c r="A121" s="3484" t="s">
        <v>1151</v>
      </c>
      <c r="B121" s="3473" t="s">
        <v>3048</v>
      </c>
      <c r="C121" s="3485"/>
      <c r="D121" s="3485"/>
      <c r="E121" s="3485"/>
      <c r="F121" s="3474">
        <v>0.1</v>
      </c>
      <c r="G121" s="3491"/>
    </row>
    <row r="122" spans="1:7">
      <c r="A122" s="3484" t="s">
        <v>1151</v>
      </c>
      <c r="B122" s="3473" t="s">
        <v>3049</v>
      </c>
      <c r="C122" s="3474">
        <v>0.1</v>
      </c>
      <c r="D122" s="3474">
        <v>0.1</v>
      </c>
      <c r="E122" s="3474">
        <v>9.8000000000000004E-2</v>
      </c>
      <c r="F122" s="3474">
        <v>0.1</v>
      </c>
      <c r="G122" s="3475">
        <v>0.1</v>
      </c>
    </row>
    <row r="123" spans="1:7">
      <c r="A123" s="3484" t="s">
        <v>1151</v>
      </c>
      <c r="B123" s="3473" t="s">
        <v>2852</v>
      </c>
      <c r="C123" s="3474">
        <v>0.1</v>
      </c>
      <c r="D123" s="3474">
        <v>0.1</v>
      </c>
      <c r="E123" s="3474">
        <v>9.8000000000000004E-2</v>
      </c>
      <c r="F123" s="3474">
        <v>0.1</v>
      </c>
      <c r="G123" s="3475">
        <v>0.1</v>
      </c>
    </row>
    <row r="124" spans="1:7">
      <c r="A124" s="3484" t="s">
        <v>1151</v>
      </c>
      <c r="B124" s="3473" t="s">
        <v>2853</v>
      </c>
      <c r="C124" s="3474">
        <v>0.1</v>
      </c>
      <c r="D124" s="3474">
        <v>0.1</v>
      </c>
      <c r="E124" s="3474">
        <v>9.8000000000000004E-2</v>
      </c>
      <c r="F124" s="3490"/>
      <c r="G124" s="3475">
        <v>0.1</v>
      </c>
    </row>
    <row r="125" spans="1:7">
      <c r="A125" s="3484" t="s">
        <v>1151</v>
      </c>
      <c r="B125" s="3473" t="s">
        <v>2854</v>
      </c>
      <c r="C125" s="3474">
        <v>9.8000000000000004E-2</v>
      </c>
      <c r="D125" s="3474">
        <v>9.8000000000000004E-2</v>
      </c>
      <c r="E125" s="3474">
        <v>9.6000000000000002E-2</v>
      </c>
      <c r="F125" s="3490"/>
      <c r="G125" s="3475">
        <v>0.1</v>
      </c>
    </row>
    <row r="126" spans="1:7" ht="14.25" thickBot="1">
      <c r="A126" s="3487" t="s">
        <v>1151</v>
      </c>
      <c r="B126" s="3477" t="s">
        <v>3050</v>
      </c>
      <c r="C126" s="3478">
        <v>0.1</v>
      </c>
      <c r="D126" s="3478">
        <v>0.1</v>
      </c>
      <c r="E126" s="3478">
        <v>9.8000000000000004E-2</v>
      </c>
      <c r="F126" s="3478">
        <v>0.1</v>
      </c>
      <c r="G126" s="3480">
        <v>0.1</v>
      </c>
    </row>
    <row r="127" spans="1:7">
      <c r="A127" s="3483" t="s">
        <v>1152</v>
      </c>
      <c r="B127" s="3469" t="s">
        <v>3051</v>
      </c>
      <c r="C127" s="3470">
        <v>0.121</v>
      </c>
      <c r="D127" s="3470">
        <v>0.121</v>
      </c>
      <c r="E127" s="3470">
        <v>0.107</v>
      </c>
      <c r="F127" s="3470">
        <v>0.13</v>
      </c>
      <c r="G127" s="3471">
        <v>0.122</v>
      </c>
    </row>
    <row r="128" spans="1:7">
      <c r="A128" s="3484" t="s">
        <v>1152</v>
      </c>
      <c r="B128" s="3473" t="s">
        <v>976</v>
      </c>
      <c r="C128" s="3474">
        <v>0.11600000000000001</v>
      </c>
      <c r="D128" s="3474">
        <v>0.11700000000000001</v>
      </c>
      <c r="E128" s="3474">
        <v>0.104</v>
      </c>
      <c r="F128" s="3474">
        <v>0.13</v>
      </c>
      <c r="G128" s="3475">
        <v>0.11700000000000001</v>
      </c>
    </row>
    <row r="129" spans="1:7">
      <c r="A129" s="3484" t="s">
        <v>1152</v>
      </c>
      <c r="B129" s="3473" t="s">
        <v>986</v>
      </c>
      <c r="C129" s="3474">
        <v>0.107</v>
      </c>
      <c r="D129" s="3474">
        <v>0.108</v>
      </c>
      <c r="E129" s="3474">
        <v>0.1</v>
      </c>
      <c r="F129" s="3474">
        <v>0.13</v>
      </c>
      <c r="G129" s="3475">
        <v>0.11700000000000001</v>
      </c>
    </row>
    <row r="130" spans="1:7">
      <c r="A130" s="3484" t="s">
        <v>1152</v>
      </c>
      <c r="B130" s="3473" t="s">
        <v>995</v>
      </c>
      <c r="C130" s="3474">
        <v>0.13</v>
      </c>
      <c r="D130" s="3474">
        <v>0.13</v>
      </c>
      <c r="E130" s="3474">
        <v>0.126</v>
      </c>
      <c r="F130" s="3474">
        <v>0.13</v>
      </c>
      <c r="G130" s="3475">
        <v>0.13</v>
      </c>
    </row>
    <row r="131" spans="1:7">
      <c r="A131" s="3484" t="s">
        <v>1152</v>
      </c>
      <c r="B131" s="3473" t="s">
        <v>1005</v>
      </c>
      <c r="C131" s="3474">
        <v>0.13</v>
      </c>
      <c r="D131" s="3474">
        <v>0.13</v>
      </c>
      <c r="E131" s="3474">
        <v>0.13</v>
      </c>
      <c r="F131" s="3474">
        <v>0.13</v>
      </c>
      <c r="G131" s="3475">
        <v>0.13</v>
      </c>
    </row>
    <row r="132" spans="1:7">
      <c r="A132" s="3484" t="s">
        <v>1152</v>
      </c>
      <c r="B132" s="3473" t="s">
        <v>1012</v>
      </c>
      <c r="C132" s="3474">
        <v>0.13</v>
      </c>
      <c r="D132" s="3474">
        <v>0.13</v>
      </c>
      <c r="E132" s="3474">
        <v>0.126</v>
      </c>
      <c r="F132" s="3474">
        <v>0.13</v>
      </c>
      <c r="G132" s="3475">
        <v>0.13</v>
      </c>
    </row>
    <row r="133" spans="1:7">
      <c r="A133" s="3484" t="s">
        <v>1152</v>
      </c>
      <c r="B133" s="3473" t="s">
        <v>1018</v>
      </c>
      <c r="C133" s="3474">
        <v>0.111</v>
      </c>
      <c r="D133" s="3474">
        <v>0.111</v>
      </c>
      <c r="E133" s="3474">
        <v>0.10199999999999999</v>
      </c>
      <c r="F133" s="3474">
        <v>0.13</v>
      </c>
      <c r="G133" s="3475">
        <v>0.121</v>
      </c>
    </row>
    <row r="134" spans="1:7">
      <c r="A134" s="3484" t="s">
        <v>1152</v>
      </c>
      <c r="B134" s="3473" t="s">
        <v>1025</v>
      </c>
      <c r="C134" s="3474">
        <v>0.121</v>
      </c>
      <c r="D134" s="3474">
        <v>0.121</v>
      </c>
      <c r="E134" s="3474">
        <v>0.1</v>
      </c>
      <c r="F134" s="3474">
        <v>0.13</v>
      </c>
      <c r="G134" s="3475">
        <v>0.123</v>
      </c>
    </row>
    <row r="135" spans="1:7">
      <c r="A135" s="3484" t="s">
        <v>1152</v>
      </c>
      <c r="B135" s="3473" t="s">
        <v>1035</v>
      </c>
      <c r="C135" s="3474">
        <v>0.105</v>
      </c>
      <c r="D135" s="3474">
        <v>0.106</v>
      </c>
      <c r="E135" s="3474">
        <v>0.1</v>
      </c>
      <c r="F135" s="3474">
        <v>0.13</v>
      </c>
      <c r="G135" s="3475">
        <v>0.115</v>
      </c>
    </row>
    <row r="136" spans="1:7">
      <c r="A136" s="3484" t="s">
        <v>1152</v>
      </c>
      <c r="B136" s="3473" t="s">
        <v>1044</v>
      </c>
      <c r="C136" s="3474">
        <v>0.127</v>
      </c>
      <c r="D136" s="3474">
        <v>0.127</v>
      </c>
      <c r="E136" s="3474">
        <v>0.121</v>
      </c>
      <c r="F136" s="3474">
        <v>0.123</v>
      </c>
      <c r="G136" s="3475">
        <v>0.129</v>
      </c>
    </row>
    <row r="137" spans="1:7">
      <c r="A137" s="3484" t="s">
        <v>1152</v>
      </c>
      <c r="B137" s="3473" t="s">
        <v>1051</v>
      </c>
      <c r="C137" s="3474">
        <v>0.13</v>
      </c>
      <c r="D137" s="3474">
        <v>0.13</v>
      </c>
      <c r="E137" s="3474">
        <v>0.129</v>
      </c>
      <c r="F137" s="3474">
        <v>0.13</v>
      </c>
      <c r="G137" s="3475">
        <v>0.13</v>
      </c>
    </row>
    <row r="138" spans="1:7">
      <c r="A138" s="3484" t="s">
        <v>1152</v>
      </c>
      <c r="B138" s="3473" t="s">
        <v>1058</v>
      </c>
      <c r="C138" s="3474">
        <v>0.13</v>
      </c>
      <c r="D138" s="3474">
        <v>0.13</v>
      </c>
      <c r="E138" s="3474">
        <v>0.125</v>
      </c>
      <c r="F138" s="3474">
        <v>0.13</v>
      </c>
      <c r="G138" s="3475">
        <v>0.13</v>
      </c>
    </row>
    <row r="139" spans="1:7">
      <c r="A139" s="3484" t="s">
        <v>1152</v>
      </c>
      <c r="B139" s="3473" t="s">
        <v>1065</v>
      </c>
      <c r="C139" s="3474">
        <v>0.13</v>
      </c>
      <c r="D139" s="3474">
        <v>0.13</v>
      </c>
      <c r="E139" s="3474">
        <v>0.126</v>
      </c>
      <c r="F139" s="3474">
        <v>0.13</v>
      </c>
      <c r="G139" s="3475">
        <v>0.13</v>
      </c>
    </row>
    <row r="140" spans="1:7">
      <c r="A140" s="3484" t="s">
        <v>1152</v>
      </c>
      <c r="B140" s="3473" t="s">
        <v>1073</v>
      </c>
      <c r="C140" s="3474">
        <v>0.1</v>
      </c>
      <c r="D140" s="3474">
        <v>0.1</v>
      </c>
      <c r="E140" s="3474">
        <v>0.1</v>
      </c>
      <c r="F140" s="3474">
        <v>0.123</v>
      </c>
      <c r="G140" s="3475">
        <v>0.107</v>
      </c>
    </row>
    <row r="141" spans="1:7">
      <c r="A141" s="3484" t="s">
        <v>1152</v>
      </c>
      <c r="B141" s="3473" t="s">
        <v>1081</v>
      </c>
      <c r="C141" s="3474">
        <v>0.127</v>
      </c>
      <c r="D141" s="3474">
        <v>0.127</v>
      </c>
      <c r="E141" s="3474">
        <v>0.122</v>
      </c>
      <c r="F141" s="3474">
        <v>0.1</v>
      </c>
      <c r="G141" s="3475">
        <v>0.129</v>
      </c>
    </row>
    <row r="142" spans="1:7">
      <c r="A142" s="3484" t="s">
        <v>1152</v>
      </c>
      <c r="B142" s="3473" t="s">
        <v>1086</v>
      </c>
      <c r="C142" s="3474">
        <v>0.121</v>
      </c>
      <c r="D142" s="3474">
        <v>0.122</v>
      </c>
      <c r="E142" s="3474">
        <v>0.1</v>
      </c>
      <c r="F142" s="3474">
        <v>0.123</v>
      </c>
      <c r="G142" s="3475">
        <v>0.123</v>
      </c>
    </row>
    <row r="143" spans="1:7">
      <c r="A143" s="3484" t="s">
        <v>1152</v>
      </c>
      <c r="B143" s="3473" t="s">
        <v>1095</v>
      </c>
      <c r="C143" s="3474">
        <v>0.1</v>
      </c>
      <c r="D143" s="3474">
        <v>0.1</v>
      </c>
      <c r="E143" s="3474">
        <v>0.1</v>
      </c>
      <c r="F143" s="3474">
        <v>0.13</v>
      </c>
      <c r="G143" s="3475">
        <v>0.1</v>
      </c>
    </row>
    <row r="144" spans="1:7">
      <c r="A144" s="3484" t="s">
        <v>1152</v>
      </c>
      <c r="B144" s="3473" t="s">
        <v>1102</v>
      </c>
      <c r="C144" s="3474">
        <v>0.106</v>
      </c>
      <c r="D144" s="3474">
        <v>0.105</v>
      </c>
      <c r="E144" s="3474">
        <v>0.1</v>
      </c>
      <c r="F144" s="3474">
        <v>0.13</v>
      </c>
      <c r="G144" s="3475">
        <v>0.11799999999999999</v>
      </c>
    </row>
    <row r="145" spans="1:7">
      <c r="A145" s="3484" t="s">
        <v>1152</v>
      </c>
      <c r="B145" s="3473" t="s">
        <v>1110</v>
      </c>
      <c r="C145" s="3474">
        <v>0.123</v>
      </c>
      <c r="D145" s="3474">
        <v>0.123</v>
      </c>
      <c r="E145" s="3474">
        <v>0.11700000000000001</v>
      </c>
      <c r="F145" s="3474">
        <v>0.13</v>
      </c>
      <c r="G145" s="3475">
        <v>0.126</v>
      </c>
    </row>
    <row r="146" spans="1:7">
      <c r="A146" s="3484" t="s">
        <v>1152</v>
      </c>
      <c r="B146" s="3473" t="s">
        <v>1117</v>
      </c>
      <c r="C146" s="3474">
        <v>0.127</v>
      </c>
      <c r="D146" s="3474">
        <v>0.127</v>
      </c>
      <c r="E146" s="3474">
        <v>0.12</v>
      </c>
      <c r="F146" s="3485"/>
      <c r="G146" s="3475">
        <v>0.129</v>
      </c>
    </row>
    <row r="147" spans="1:7">
      <c r="A147" s="3484" t="s">
        <v>1152</v>
      </c>
      <c r="B147" s="3473" t="s">
        <v>1121</v>
      </c>
      <c r="C147" s="3474">
        <v>0.13</v>
      </c>
      <c r="D147" s="3474">
        <v>0.13</v>
      </c>
      <c r="E147" s="3474">
        <v>0.126</v>
      </c>
      <c r="F147" s="3485"/>
      <c r="G147" s="3475">
        <v>0.13</v>
      </c>
    </row>
    <row r="148" spans="1:7">
      <c r="A148" s="3484" t="s">
        <v>1152</v>
      </c>
      <c r="B148" s="3473" t="s">
        <v>3052</v>
      </c>
      <c r="C148" s="3474">
        <v>0.13</v>
      </c>
      <c r="D148" s="3474">
        <v>0.13</v>
      </c>
      <c r="E148" s="3474">
        <v>0.13</v>
      </c>
      <c r="F148" s="3485"/>
      <c r="G148" s="3475">
        <v>0.13</v>
      </c>
    </row>
    <row r="149" spans="1:7">
      <c r="A149" s="3484" t="s">
        <v>1152</v>
      </c>
      <c r="B149" s="3473" t="s">
        <v>3053</v>
      </c>
      <c r="C149" s="3474">
        <v>0.13</v>
      </c>
      <c r="D149" s="3474">
        <v>0.13</v>
      </c>
      <c r="E149" s="3474">
        <v>0.13</v>
      </c>
      <c r="F149" s="3474">
        <v>0.13</v>
      </c>
      <c r="G149" s="3475">
        <v>0.13</v>
      </c>
    </row>
    <row r="150" spans="1:7">
      <c r="A150" s="3484" t="s">
        <v>1152</v>
      </c>
      <c r="B150" s="3473" t="s">
        <v>1140</v>
      </c>
      <c r="C150" s="3474">
        <v>0.13</v>
      </c>
      <c r="D150" s="3474">
        <v>0.13</v>
      </c>
      <c r="E150" s="3474">
        <v>0.127</v>
      </c>
      <c r="F150" s="3474">
        <v>0.13</v>
      </c>
      <c r="G150" s="3475">
        <v>0.13</v>
      </c>
    </row>
    <row r="151" spans="1:7">
      <c r="A151" s="3484" t="s">
        <v>1152</v>
      </c>
      <c r="B151" s="3473" t="s">
        <v>1142</v>
      </c>
      <c r="C151" s="3474">
        <v>0.13</v>
      </c>
      <c r="D151" s="3474">
        <v>0.13</v>
      </c>
      <c r="E151" s="3474">
        <v>0.13</v>
      </c>
      <c r="F151" s="3474">
        <v>0.13</v>
      </c>
      <c r="G151" s="3475">
        <v>0.13</v>
      </c>
    </row>
    <row r="152" spans="1:7">
      <c r="A152" s="3484" t="s">
        <v>1152</v>
      </c>
      <c r="B152" s="3473" t="s">
        <v>1145</v>
      </c>
      <c r="C152" s="3474">
        <v>0.13</v>
      </c>
      <c r="D152" s="3474">
        <v>0.13</v>
      </c>
      <c r="E152" s="3474">
        <v>0.13</v>
      </c>
      <c r="F152" s="3474">
        <v>0.13</v>
      </c>
      <c r="G152" s="3475">
        <v>0.13</v>
      </c>
    </row>
    <row r="153" spans="1:7">
      <c r="A153" s="3484" t="s">
        <v>1152</v>
      </c>
      <c r="B153" s="3473" t="s">
        <v>2859</v>
      </c>
      <c r="C153" s="3474">
        <v>0.13</v>
      </c>
      <c r="D153" s="3474">
        <v>0.13</v>
      </c>
      <c r="E153" s="3474">
        <v>0.13</v>
      </c>
      <c r="F153" s="3474">
        <v>0.13</v>
      </c>
      <c r="G153" s="3475">
        <v>0.13</v>
      </c>
    </row>
    <row r="154" spans="1:7">
      <c r="A154" s="3484" t="s">
        <v>1152</v>
      </c>
      <c r="B154" s="3473" t="s">
        <v>3054</v>
      </c>
      <c r="C154" s="3474">
        <v>0.121</v>
      </c>
      <c r="D154" s="3474">
        <v>0.121</v>
      </c>
      <c r="E154" s="3474">
        <v>0.105</v>
      </c>
      <c r="F154" s="3474">
        <v>0.121</v>
      </c>
      <c r="G154" s="3475">
        <v>0.123</v>
      </c>
    </row>
    <row r="155" spans="1:7">
      <c r="A155" s="3484" t="s">
        <v>1152</v>
      </c>
      <c r="B155" s="3473" t="s">
        <v>2861</v>
      </c>
      <c r="C155" s="3474">
        <v>0.1</v>
      </c>
      <c r="D155" s="3474">
        <v>0.1</v>
      </c>
      <c r="E155" s="3474">
        <v>0.1</v>
      </c>
      <c r="F155" s="3474">
        <v>0.1</v>
      </c>
      <c r="G155" s="3475">
        <v>0.1</v>
      </c>
    </row>
    <row r="156" spans="1:7">
      <c r="A156" s="3484" t="s">
        <v>1152</v>
      </c>
      <c r="B156" s="3473" t="s">
        <v>3055</v>
      </c>
      <c r="C156" s="3474">
        <v>0.13</v>
      </c>
      <c r="D156" s="3474">
        <v>0.13</v>
      </c>
      <c r="E156" s="3474">
        <v>0.13</v>
      </c>
      <c r="F156" s="3474">
        <v>0.13</v>
      </c>
      <c r="G156" s="3475">
        <v>0.13</v>
      </c>
    </row>
    <row r="157" spans="1:7">
      <c r="A157" s="3484" t="s">
        <v>1152</v>
      </c>
      <c r="B157" s="3473" t="s">
        <v>1148</v>
      </c>
      <c r="C157" s="3474">
        <v>0.13</v>
      </c>
      <c r="D157" s="3474">
        <v>0.13</v>
      </c>
      <c r="E157" s="3474">
        <v>0.125</v>
      </c>
      <c r="F157" s="3474">
        <v>0.13</v>
      </c>
      <c r="G157" s="3475">
        <v>0.13</v>
      </c>
    </row>
    <row r="158" spans="1:7">
      <c r="A158" s="3484" t="s">
        <v>1152</v>
      </c>
      <c r="B158" s="3473" t="s">
        <v>1149</v>
      </c>
      <c r="C158" s="3474">
        <v>0.124</v>
      </c>
      <c r="D158" s="3474">
        <v>0.124</v>
      </c>
      <c r="E158" s="3474">
        <v>0.11700000000000001</v>
      </c>
      <c r="F158" s="3474">
        <v>0.121</v>
      </c>
      <c r="G158" s="3475">
        <v>0.124</v>
      </c>
    </row>
    <row r="159" spans="1:7">
      <c r="A159" s="3484" t="s">
        <v>1152</v>
      </c>
      <c r="B159" s="3473" t="s">
        <v>1150</v>
      </c>
      <c r="C159" s="3474">
        <v>0.127</v>
      </c>
      <c r="D159" s="3474">
        <v>0.127</v>
      </c>
      <c r="E159" s="3474">
        <v>0.122</v>
      </c>
      <c r="F159" s="3474">
        <v>0.13</v>
      </c>
      <c r="G159" s="3475">
        <v>0.129</v>
      </c>
    </row>
    <row r="160" spans="1:7">
      <c r="A160" s="3484" t="s">
        <v>1152</v>
      </c>
      <c r="B160" s="3473" t="s">
        <v>3056</v>
      </c>
      <c r="C160" s="3474">
        <v>0.13</v>
      </c>
      <c r="D160" s="3474">
        <v>0.13</v>
      </c>
      <c r="E160" s="3474">
        <v>0.124</v>
      </c>
      <c r="F160" s="3474">
        <v>0.126</v>
      </c>
      <c r="G160" s="3475">
        <v>0.13</v>
      </c>
    </row>
    <row r="161" spans="1:7">
      <c r="A161" s="3484" t="s">
        <v>1152</v>
      </c>
      <c r="B161" s="3473" t="s">
        <v>2864</v>
      </c>
      <c r="C161" s="3474">
        <v>0.13</v>
      </c>
      <c r="D161" s="3474">
        <v>0.13</v>
      </c>
      <c r="E161" s="3474">
        <v>0.124</v>
      </c>
      <c r="F161" s="3474">
        <v>0.127</v>
      </c>
      <c r="G161" s="3475">
        <v>0.13</v>
      </c>
    </row>
    <row r="162" spans="1:7">
      <c r="A162" s="3484" t="s">
        <v>1152</v>
      </c>
      <c r="B162" s="3473" t="s">
        <v>2865</v>
      </c>
      <c r="C162" s="3474">
        <v>0.1</v>
      </c>
      <c r="D162" s="3474">
        <v>0.1</v>
      </c>
      <c r="E162" s="3474">
        <v>0.1</v>
      </c>
      <c r="F162" s="3474">
        <v>0.121</v>
      </c>
      <c r="G162" s="3475">
        <v>0.105</v>
      </c>
    </row>
    <row r="163" spans="1:7">
      <c r="A163" s="3484" t="s">
        <v>1152</v>
      </c>
      <c r="B163" s="3473" t="s">
        <v>2866</v>
      </c>
      <c r="C163" s="3474">
        <v>0.1</v>
      </c>
      <c r="D163" s="3474">
        <v>0.1</v>
      </c>
      <c r="E163" s="3474">
        <v>0.1</v>
      </c>
      <c r="F163" s="3474">
        <v>0.1</v>
      </c>
      <c r="G163" s="3475">
        <v>0.1</v>
      </c>
    </row>
    <row r="164" spans="1:7">
      <c r="A164" s="3484" t="s">
        <v>1152</v>
      </c>
      <c r="B164" s="3473" t="s">
        <v>2867</v>
      </c>
      <c r="C164" s="3490"/>
      <c r="D164" s="3490"/>
      <c r="E164" s="3490"/>
      <c r="F164" s="3474">
        <v>0.1</v>
      </c>
      <c r="G164" s="3486"/>
    </row>
    <row r="165" spans="1:7">
      <c r="A165" s="3484" t="s">
        <v>1152</v>
      </c>
      <c r="B165" s="3473" t="s">
        <v>3057</v>
      </c>
      <c r="C165" s="3474">
        <v>0.126</v>
      </c>
      <c r="D165" s="3474">
        <v>0.126</v>
      </c>
      <c r="E165" s="3474">
        <v>0.11899999999999999</v>
      </c>
      <c r="F165" s="3474">
        <v>0.13</v>
      </c>
      <c r="G165" s="3475">
        <v>0.128</v>
      </c>
    </row>
    <row r="166" spans="1:7">
      <c r="A166" s="3484" t="s">
        <v>1152</v>
      </c>
      <c r="B166" s="3473" t="s">
        <v>2869</v>
      </c>
      <c r="C166" s="3474">
        <v>0.129</v>
      </c>
      <c r="D166" s="3474">
        <v>0.129</v>
      </c>
      <c r="E166" s="3474">
        <v>0.123</v>
      </c>
      <c r="F166" s="3474">
        <v>0.128</v>
      </c>
      <c r="G166" s="3475">
        <v>0.13</v>
      </c>
    </row>
    <row r="167" spans="1:7">
      <c r="A167" s="3484" t="s">
        <v>1152</v>
      </c>
      <c r="B167" s="3473" t="s">
        <v>2870</v>
      </c>
      <c r="C167" s="3474">
        <v>0.125</v>
      </c>
      <c r="D167" s="3474">
        <v>0.125</v>
      </c>
      <c r="E167" s="3474">
        <v>0.11700000000000001</v>
      </c>
      <c r="F167" s="3474">
        <v>0.13</v>
      </c>
      <c r="G167" s="3475">
        <v>0.126</v>
      </c>
    </row>
    <row r="168" spans="1:7">
      <c r="A168" s="3484" t="s">
        <v>1152</v>
      </c>
      <c r="B168" s="3473" t="s">
        <v>2871</v>
      </c>
      <c r="C168" s="3474">
        <v>0.128</v>
      </c>
      <c r="D168" s="3474">
        <v>0.128</v>
      </c>
      <c r="E168" s="3474">
        <v>0.123</v>
      </c>
      <c r="F168" s="3485"/>
      <c r="G168" s="3475">
        <v>0.13</v>
      </c>
    </row>
    <row r="169" spans="1:7">
      <c r="A169" s="3484" t="s">
        <v>1152</v>
      </c>
      <c r="B169" s="3473" t="s">
        <v>3058</v>
      </c>
      <c r="C169" s="3490"/>
      <c r="D169" s="3490"/>
      <c r="E169" s="3490"/>
      <c r="F169" s="3474">
        <v>0.05</v>
      </c>
      <c r="G169" s="3486"/>
    </row>
    <row r="170" spans="1:7">
      <c r="A170" s="3484" t="s">
        <v>1152</v>
      </c>
      <c r="B170" s="3473" t="s">
        <v>3059</v>
      </c>
      <c r="C170" s="3490"/>
      <c r="D170" s="3490"/>
      <c r="E170" s="3490"/>
      <c r="F170" s="3474">
        <v>0.05</v>
      </c>
      <c r="G170" s="3486"/>
    </row>
    <row r="171" spans="1:7">
      <c r="A171" s="3484" t="s">
        <v>1152</v>
      </c>
      <c r="B171" s="3473" t="s">
        <v>3060</v>
      </c>
      <c r="C171" s="3490"/>
      <c r="D171" s="3490"/>
      <c r="E171" s="3490"/>
      <c r="F171" s="3474">
        <v>0.05</v>
      </c>
      <c r="G171" s="3491"/>
    </row>
    <row r="172" spans="1:7">
      <c r="A172" s="3484" t="s">
        <v>1152</v>
      </c>
      <c r="B172" s="3473" t="s">
        <v>3061</v>
      </c>
      <c r="C172" s="3490"/>
      <c r="D172" s="3490"/>
      <c r="E172" s="3490"/>
      <c r="F172" s="3474">
        <v>0.05</v>
      </c>
      <c r="G172" s="3491"/>
    </row>
    <row r="173" spans="1:7">
      <c r="A173" s="3484" t="s">
        <v>1152</v>
      </c>
      <c r="B173" s="3473" t="s">
        <v>3062</v>
      </c>
      <c r="C173" s="3490"/>
      <c r="D173" s="3490"/>
      <c r="E173" s="3490"/>
      <c r="F173" s="3474">
        <v>0.05</v>
      </c>
      <c r="G173" s="3486"/>
    </row>
    <row r="174" spans="1:7">
      <c r="A174" s="3484" t="s">
        <v>1152</v>
      </c>
      <c r="B174" s="3473" t="s">
        <v>3063</v>
      </c>
      <c r="C174" s="3490"/>
      <c r="D174" s="3490"/>
      <c r="E174" s="3490"/>
      <c r="F174" s="3474">
        <v>0.05</v>
      </c>
      <c r="G174" s="3486"/>
    </row>
    <row r="175" spans="1:7">
      <c r="A175" s="3484" t="s">
        <v>1152</v>
      </c>
      <c r="B175" s="3473" t="s">
        <v>3064</v>
      </c>
      <c r="C175" s="3490"/>
      <c r="D175" s="3490"/>
      <c r="E175" s="3490"/>
      <c r="F175" s="3474">
        <v>0.05</v>
      </c>
      <c r="G175" s="3486"/>
    </row>
    <row r="176" spans="1:7">
      <c r="A176" s="3484" t="s">
        <v>1152</v>
      </c>
      <c r="B176" s="3473" t="s">
        <v>3065</v>
      </c>
      <c r="C176" s="3490"/>
      <c r="D176" s="3490"/>
      <c r="E176" s="3490"/>
      <c r="F176" s="3474">
        <v>0.05</v>
      </c>
      <c r="G176" s="3486"/>
    </row>
    <row r="177" spans="1:7">
      <c r="A177" s="3484" t="s">
        <v>1152</v>
      </c>
      <c r="B177" s="3473" t="s">
        <v>3066</v>
      </c>
      <c r="C177" s="3485"/>
      <c r="D177" s="3485"/>
      <c r="E177" s="3485"/>
      <c r="F177" s="3474">
        <v>0.05</v>
      </c>
      <c r="G177" s="3491"/>
    </row>
    <row r="178" spans="1:7">
      <c r="A178" s="3484" t="s">
        <v>1152</v>
      </c>
      <c r="B178" s="3473" t="s">
        <v>3067</v>
      </c>
      <c r="C178" s="3485"/>
      <c r="D178" s="3485"/>
      <c r="E178" s="3485"/>
      <c r="F178" s="3474">
        <v>0.05</v>
      </c>
      <c r="G178" s="3491"/>
    </row>
    <row r="179" spans="1:7">
      <c r="A179" s="3484" t="s">
        <v>1152</v>
      </c>
      <c r="B179" s="3473" t="s">
        <v>3068</v>
      </c>
      <c r="C179" s="3485"/>
      <c r="D179" s="3485"/>
      <c r="E179" s="3485"/>
      <c r="F179" s="3474">
        <v>0.05</v>
      </c>
      <c r="G179" s="3491"/>
    </row>
    <row r="180" spans="1:7">
      <c r="A180" s="3484" t="s">
        <v>1152</v>
      </c>
      <c r="B180" s="3473" t="s">
        <v>3069</v>
      </c>
      <c r="C180" s="3485"/>
      <c r="D180" s="3485"/>
      <c r="E180" s="3485"/>
      <c r="F180" s="3474">
        <v>0.05</v>
      </c>
      <c r="G180" s="3491"/>
    </row>
    <row r="181" spans="1:7">
      <c r="A181" s="3484" t="s">
        <v>1152</v>
      </c>
      <c r="B181" s="3473" t="s">
        <v>3070</v>
      </c>
      <c r="C181" s="3485"/>
      <c r="D181" s="3485"/>
      <c r="E181" s="3485"/>
      <c r="F181" s="3474">
        <v>0.05</v>
      </c>
      <c r="G181" s="3491"/>
    </row>
    <row r="182" spans="1:7">
      <c r="A182" s="3484" t="s">
        <v>1152</v>
      </c>
      <c r="B182" s="3473" t="s">
        <v>3071</v>
      </c>
      <c r="C182" s="3485"/>
      <c r="D182" s="3485"/>
      <c r="E182" s="3485"/>
      <c r="F182" s="3474">
        <v>0.05</v>
      </c>
      <c r="G182" s="3491"/>
    </row>
    <row r="183" spans="1:7">
      <c r="A183" s="3484" t="s">
        <v>1152</v>
      </c>
      <c r="B183" s="3473" t="s">
        <v>3072</v>
      </c>
      <c r="C183" s="3485"/>
      <c r="D183" s="3485"/>
      <c r="E183" s="3485"/>
      <c r="F183" s="3474">
        <v>0.05</v>
      </c>
      <c r="G183" s="3491"/>
    </row>
    <row r="184" spans="1:7">
      <c r="A184" s="3484" t="s">
        <v>1152</v>
      </c>
      <c r="B184" s="3473" t="s">
        <v>3073</v>
      </c>
      <c r="C184" s="3485"/>
      <c r="D184" s="3485"/>
      <c r="E184" s="3485"/>
      <c r="F184" s="3474">
        <v>0.05</v>
      </c>
      <c r="G184" s="3491"/>
    </row>
    <row r="185" spans="1:7">
      <c r="A185" s="3484" t="s">
        <v>1152</v>
      </c>
      <c r="B185" s="3473" t="s">
        <v>3074</v>
      </c>
      <c r="C185" s="3485"/>
      <c r="D185" s="3485"/>
      <c r="E185" s="3485"/>
      <c r="F185" s="3474">
        <v>0.05</v>
      </c>
      <c r="G185" s="3491"/>
    </row>
    <row r="186" spans="1:7">
      <c r="A186" s="3484" t="s">
        <v>1152</v>
      </c>
      <c r="B186" s="3473" t="s">
        <v>3075</v>
      </c>
      <c r="C186" s="3485"/>
      <c r="D186" s="3485"/>
      <c r="E186" s="3485"/>
      <c r="F186" s="3474">
        <v>0.05</v>
      </c>
      <c r="G186" s="3491"/>
    </row>
    <row r="187" spans="1:7">
      <c r="A187" s="3484" t="s">
        <v>1152</v>
      </c>
      <c r="B187" s="3473" t="s">
        <v>3076</v>
      </c>
      <c r="C187" s="3485"/>
      <c r="D187" s="3485"/>
      <c r="E187" s="3485"/>
      <c r="F187" s="3474">
        <v>0.05</v>
      </c>
      <c r="G187" s="3491"/>
    </row>
    <row r="188" spans="1:7">
      <c r="A188" s="3484" t="s">
        <v>1152</v>
      </c>
      <c r="B188" s="3473" t="s">
        <v>3077</v>
      </c>
      <c r="C188" s="3485"/>
      <c r="D188" s="3485"/>
      <c r="E188" s="3485"/>
      <c r="F188" s="3474">
        <v>0.05</v>
      </c>
      <c r="G188" s="3491"/>
    </row>
    <row r="189" spans="1:7" ht="14.25" thickBot="1">
      <c r="A189" s="3487" t="s">
        <v>1152</v>
      </c>
      <c r="B189" s="3477" t="s">
        <v>3078</v>
      </c>
      <c r="C189" s="3479"/>
      <c r="D189" s="3479"/>
      <c r="E189" s="3479"/>
      <c r="F189" s="3478">
        <v>0.05</v>
      </c>
      <c r="G189" s="3492"/>
    </row>
    <row r="190" spans="1:7">
      <c r="A190" s="3483" t="s">
        <v>1153</v>
      </c>
      <c r="B190" s="3469" t="s">
        <v>3079</v>
      </c>
      <c r="C190" s="3470">
        <v>0.124</v>
      </c>
      <c r="D190" s="3470">
        <v>0.124</v>
      </c>
      <c r="E190" s="3470">
        <v>0.129</v>
      </c>
      <c r="F190" s="3470">
        <v>0.13</v>
      </c>
      <c r="G190" s="3471">
        <v>0.127</v>
      </c>
    </row>
    <row r="191" spans="1:7">
      <c r="A191" s="3484" t="s">
        <v>1153</v>
      </c>
      <c r="B191" s="3473" t="s">
        <v>977</v>
      </c>
      <c r="C191" s="3474">
        <v>0.13</v>
      </c>
      <c r="D191" s="3474">
        <v>0.13</v>
      </c>
      <c r="E191" s="3474">
        <v>0.13</v>
      </c>
      <c r="F191" s="3474">
        <v>0.13</v>
      </c>
      <c r="G191" s="3475">
        <v>0.13</v>
      </c>
    </row>
    <row r="192" spans="1:7">
      <c r="A192" s="3484" t="s">
        <v>1153</v>
      </c>
      <c r="B192" s="3473" t="s">
        <v>987</v>
      </c>
      <c r="C192" s="3474">
        <v>0.13</v>
      </c>
      <c r="D192" s="3474">
        <v>0.13</v>
      </c>
      <c r="E192" s="3474">
        <v>0.13</v>
      </c>
      <c r="F192" s="3474">
        <v>0.13</v>
      </c>
      <c r="G192" s="3475">
        <v>0.13</v>
      </c>
    </row>
    <row r="193" spans="1:7">
      <c r="A193" s="3484" t="s">
        <v>1153</v>
      </c>
      <c r="B193" s="3473" t="s">
        <v>996</v>
      </c>
      <c r="C193" s="3474">
        <v>0.13</v>
      </c>
      <c r="D193" s="3474">
        <v>0.13</v>
      </c>
      <c r="E193" s="3474">
        <v>0.13</v>
      </c>
      <c r="F193" s="3474">
        <v>0.13</v>
      </c>
      <c r="G193" s="3475">
        <v>0.13</v>
      </c>
    </row>
    <row r="194" spans="1:7">
      <c r="A194" s="3484" t="s">
        <v>1153</v>
      </c>
      <c r="B194" s="3473" t="s">
        <v>1006</v>
      </c>
      <c r="C194" s="3474">
        <v>0.123</v>
      </c>
      <c r="D194" s="3474">
        <v>0.123</v>
      </c>
      <c r="E194" s="3474">
        <v>0.128</v>
      </c>
      <c r="F194" s="3474">
        <v>0.13</v>
      </c>
      <c r="G194" s="3475">
        <v>0.126</v>
      </c>
    </row>
    <row r="195" spans="1:7">
      <c r="A195" s="3484" t="s">
        <v>1153</v>
      </c>
      <c r="B195" s="3473" t="s">
        <v>1013</v>
      </c>
      <c r="C195" s="3474">
        <v>0.127</v>
      </c>
      <c r="D195" s="3474">
        <v>0.127</v>
      </c>
      <c r="E195" s="3474">
        <v>0.121</v>
      </c>
      <c r="F195" s="3474">
        <v>0.129</v>
      </c>
      <c r="G195" s="3475">
        <v>0.129</v>
      </c>
    </row>
    <row r="196" spans="1:7">
      <c r="A196" s="3484" t="s">
        <v>1153</v>
      </c>
      <c r="B196" s="3473" t="s">
        <v>1019</v>
      </c>
      <c r="C196" s="3474">
        <v>0.127</v>
      </c>
      <c r="D196" s="3474">
        <v>0.128</v>
      </c>
      <c r="E196" s="3474">
        <v>0.122</v>
      </c>
      <c r="F196" s="3474">
        <v>0.13</v>
      </c>
      <c r="G196" s="3475">
        <v>0.129</v>
      </c>
    </row>
    <row r="197" spans="1:7">
      <c r="A197" s="3484" t="s">
        <v>1153</v>
      </c>
      <c r="B197" s="3473" t="s">
        <v>1026</v>
      </c>
      <c r="C197" s="3474">
        <v>0.126</v>
      </c>
      <c r="D197" s="3474">
        <v>0.126</v>
      </c>
      <c r="E197" s="3474">
        <v>0.11899999999999999</v>
      </c>
      <c r="F197" s="3474">
        <v>0.13</v>
      </c>
      <c r="G197" s="3475">
        <v>0.128</v>
      </c>
    </row>
    <row r="198" spans="1:7">
      <c r="A198" s="3484" t="s">
        <v>1153</v>
      </c>
      <c r="B198" s="3473" t="s">
        <v>1036</v>
      </c>
      <c r="C198" s="3474">
        <v>0.13</v>
      </c>
      <c r="D198" s="3474">
        <v>0.13</v>
      </c>
      <c r="E198" s="3474">
        <v>0.126</v>
      </c>
      <c r="F198" s="3490"/>
      <c r="G198" s="3475">
        <v>0.13</v>
      </c>
    </row>
    <row r="199" spans="1:7">
      <c r="A199" s="3484" t="s">
        <v>1153</v>
      </c>
      <c r="B199" s="3473" t="s">
        <v>3080</v>
      </c>
      <c r="C199" s="3474">
        <v>0.13</v>
      </c>
      <c r="D199" s="3474">
        <v>0.13</v>
      </c>
      <c r="E199" s="3474">
        <v>0.13</v>
      </c>
      <c r="F199" s="3474">
        <v>0.13</v>
      </c>
      <c r="G199" s="3475">
        <v>0.13</v>
      </c>
    </row>
    <row r="200" spans="1:7">
      <c r="A200" s="3484" t="s">
        <v>1153</v>
      </c>
      <c r="B200" s="3473" t="s">
        <v>2895</v>
      </c>
      <c r="C200" s="3490"/>
      <c r="D200" s="3490"/>
      <c r="E200" s="3490"/>
      <c r="F200" s="3474">
        <v>0.13</v>
      </c>
      <c r="G200" s="3486"/>
    </row>
    <row r="201" spans="1:7">
      <c r="A201" s="3484" t="s">
        <v>1153</v>
      </c>
      <c r="B201" s="3473" t="s">
        <v>3081</v>
      </c>
      <c r="C201" s="3474">
        <v>0.13</v>
      </c>
      <c r="D201" s="3474">
        <v>0.13</v>
      </c>
      <c r="E201" s="3474">
        <v>0.13</v>
      </c>
      <c r="F201" s="3474">
        <v>0.129</v>
      </c>
      <c r="G201" s="3475">
        <v>0.13</v>
      </c>
    </row>
    <row r="202" spans="1:7">
      <c r="A202" s="3484" t="s">
        <v>1153</v>
      </c>
      <c r="B202" s="3473" t="s">
        <v>1087</v>
      </c>
      <c r="C202" s="3474">
        <v>0.13</v>
      </c>
      <c r="D202" s="3474">
        <v>0.13</v>
      </c>
      <c r="E202" s="3474">
        <v>0.13</v>
      </c>
      <c r="F202" s="3474">
        <v>0.13</v>
      </c>
      <c r="G202" s="3475">
        <v>0.13</v>
      </c>
    </row>
    <row r="203" spans="1:7">
      <c r="A203" s="3484" t="s">
        <v>1153</v>
      </c>
      <c r="B203" s="3473" t="s">
        <v>3082</v>
      </c>
      <c r="C203" s="3474">
        <v>0.129</v>
      </c>
      <c r="D203" s="3474">
        <v>0.129</v>
      </c>
      <c r="E203" s="3474">
        <v>0.13</v>
      </c>
      <c r="F203" s="3474">
        <v>0.13</v>
      </c>
      <c r="G203" s="3475">
        <v>0.13</v>
      </c>
    </row>
    <row r="204" spans="1:7">
      <c r="A204" s="3484" t="s">
        <v>1153</v>
      </c>
      <c r="B204" s="3473" t="s">
        <v>2898</v>
      </c>
      <c r="C204" s="3474">
        <v>0.129</v>
      </c>
      <c r="D204" s="3474">
        <v>0.129</v>
      </c>
      <c r="E204" s="3474">
        <v>0.123</v>
      </c>
      <c r="F204" s="3474">
        <v>0.13</v>
      </c>
      <c r="G204" s="3475">
        <v>0.13</v>
      </c>
    </row>
    <row r="205" spans="1:7">
      <c r="A205" s="3484" t="s">
        <v>1153</v>
      </c>
      <c r="B205" s="3473" t="s">
        <v>2899</v>
      </c>
      <c r="C205" s="3474">
        <v>0.13</v>
      </c>
      <c r="D205" s="3474">
        <v>0.13</v>
      </c>
      <c r="E205" s="3474">
        <v>0.13</v>
      </c>
      <c r="F205" s="3474">
        <v>0.13</v>
      </c>
      <c r="G205" s="3475">
        <v>0.13</v>
      </c>
    </row>
    <row r="206" spans="1:7">
      <c r="A206" s="3484" t="s">
        <v>1153</v>
      </c>
      <c r="B206" s="3473" t="s">
        <v>2900</v>
      </c>
      <c r="C206" s="3474">
        <v>0.13</v>
      </c>
      <c r="D206" s="3474">
        <v>0.13</v>
      </c>
      <c r="E206" s="3474">
        <v>0.13</v>
      </c>
      <c r="F206" s="3474">
        <v>0.128</v>
      </c>
      <c r="G206" s="3475">
        <v>0.13</v>
      </c>
    </row>
    <row r="207" spans="1:7">
      <c r="A207" s="3484" t="s">
        <v>1153</v>
      </c>
      <c r="B207" s="3473" t="s">
        <v>2901</v>
      </c>
      <c r="C207" s="3474">
        <v>0.13</v>
      </c>
      <c r="D207" s="3474">
        <v>0.13</v>
      </c>
      <c r="E207" s="3474">
        <v>0.13</v>
      </c>
      <c r="F207" s="3474">
        <v>0.13</v>
      </c>
      <c r="G207" s="3475">
        <v>0.13</v>
      </c>
    </row>
    <row r="208" spans="1:7">
      <c r="A208" s="3484" t="s">
        <v>1153</v>
      </c>
      <c r="B208" s="3473" t="s">
        <v>3083</v>
      </c>
      <c r="C208" s="3474">
        <v>0.13</v>
      </c>
      <c r="D208" s="3474">
        <v>0.13</v>
      </c>
      <c r="E208" s="3474">
        <v>0.13</v>
      </c>
      <c r="F208" s="3474">
        <v>0.13</v>
      </c>
      <c r="G208" s="3475">
        <v>0.13</v>
      </c>
    </row>
    <row r="209" spans="1:7">
      <c r="A209" s="3484" t="s">
        <v>1153</v>
      </c>
      <c r="B209" s="3473" t="s">
        <v>1111</v>
      </c>
      <c r="C209" s="3474">
        <v>0.13</v>
      </c>
      <c r="D209" s="3474">
        <v>0.13</v>
      </c>
      <c r="E209" s="3474">
        <v>0.13</v>
      </c>
      <c r="F209" s="3474">
        <v>0.13</v>
      </c>
      <c r="G209" s="3475">
        <v>0.13</v>
      </c>
    </row>
    <row r="210" spans="1:7">
      <c r="A210" s="3484" t="s">
        <v>1153</v>
      </c>
      <c r="B210" s="3473" t="s">
        <v>2903</v>
      </c>
      <c r="C210" s="3474">
        <v>0.121</v>
      </c>
      <c r="D210" s="3474">
        <v>0.121</v>
      </c>
      <c r="E210" s="3474">
        <v>0.125</v>
      </c>
      <c r="F210" s="3474">
        <v>0.13</v>
      </c>
      <c r="G210" s="3475">
        <v>0.123</v>
      </c>
    </row>
    <row r="211" spans="1:7">
      <c r="A211" s="3484" t="s">
        <v>1153</v>
      </c>
      <c r="B211" s="3473" t="s">
        <v>3084</v>
      </c>
      <c r="C211" s="3474">
        <v>0.123</v>
      </c>
      <c r="D211" s="3474">
        <v>0.123</v>
      </c>
      <c r="E211" s="3474">
        <v>0.127</v>
      </c>
      <c r="F211" s="3474">
        <v>0.115</v>
      </c>
      <c r="G211" s="3475">
        <v>0.126</v>
      </c>
    </row>
    <row r="212" spans="1:7">
      <c r="A212" s="3484" t="s">
        <v>1153</v>
      </c>
      <c r="B212" s="3473" t="s">
        <v>1133</v>
      </c>
      <c r="C212" s="3474">
        <v>0.126</v>
      </c>
      <c r="D212" s="3474">
        <v>0.126</v>
      </c>
      <c r="E212" s="3474">
        <v>0.13</v>
      </c>
      <c r="F212" s="3474">
        <v>0.13</v>
      </c>
      <c r="G212" s="3475">
        <v>0.129</v>
      </c>
    </row>
    <row r="213" spans="1:7">
      <c r="A213" s="3484" t="s">
        <v>1153</v>
      </c>
      <c r="B213" s="3473" t="s">
        <v>1136</v>
      </c>
      <c r="C213" s="3474">
        <v>0.129</v>
      </c>
      <c r="D213" s="3474">
        <v>0.13</v>
      </c>
      <c r="E213" s="3474">
        <v>0.127</v>
      </c>
      <c r="F213" s="3474">
        <v>0.13</v>
      </c>
      <c r="G213" s="3475">
        <v>0.13</v>
      </c>
    </row>
    <row r="214" spans="1:7">
      <c r="A214" s="3484" t="s">
        <v>1153</v>
      </c>
      <c r="B214" s="3473" t="s">
        <v>3085</v>
      </c>
      <c r="C214" s="3474">
        <v>0.128</v>
      </c>
      <c r="D214" s="3474">
        <v>0.128</v>
      </c>
      <c r="E214" s="3474">
        <v>0.13</v>
      </c>
      <c r="F214" s="3474">
        <v>0.13</v>
      </c>
      <c r="G214" s="3475">
        <v>0.13</v>
      </c>
    </row>
    <row r="215" spans="1:7">
      <c r="A215" s="3484" t="s">
        <v>1153</v>
      </c>
      <c r="B215" s="3473" t="s">
        <v>3086</v>
      </c>
      <c r="C215" s="3474">
        <v>0.13</v>
      </c>
      <c r="D215" s="3474">
        <v>0.13</v>
      </c>
      <c r="E215" s="3474">
        <v>0.13</v>
      </c>
      <c r="F215" s="3474">
        <v>0.129</v>
      </c>
      <c r="G215" s="3475">
        <v>0.13</v>
      </c>
    </row>
    <row r="216" spans="1:7">
      <c r="A216" s="3484" t="s">
        <v>1153</v>
      </c>
      <c r="B216" s="3473" t="s">
        <v>3087</v>
      </c>
      <c r="C216" s="3474">
        <v>0.13</v>
      </c>
      <c r="D216" s="3474">
        <v>0.13</v>
      </c>
      <c r="E216" s="3474">
        <v>0.13</v>
      </c>
      <c r="F216" s="3474">
        <v>0.13</v>
      </c>
      <c r="G216" s="3475">
        <v>0.13</v>
      </c>
    </row>
    <row r="217" spans="1:7">
      <c r="A217" s="3484" t="s">
        <v>1153</v>
      </c>
      <c r="B217" s="3473" t="s">
        <v>2907</v>
      </c>
      <c r="C217" s="3474">
        <v>0.129</v>
      </c>
      <c r="D217" s="3474">
        <v>0.129</v>
      </c>
      <c r="E217" s="3474">
        <v>0.13</v>
      </c>
      <c r="F217" s="3474">
        <v>0.13</v>
      </c>
      <c r="G217" s="3475">
        <v>0.13</v>
      </c>
    </row>
    <row r="218" spans="1:7">
      <c r="A218" s="3484" t="s">
        <v>1153</v>
      </c>
      <c r="B218" s="3473" t="s">
        <v>3088</v>
      </c>
      <c r="C218" s="3485"/>
      <c r="D218" s="3485"/>
      <c r="E218" s="3485"/>
      <c r="F218" s="3474">
        <v>0.05</v>
      </c>
      <c r="G218" s="3491"/>
    </row>
    <row r="219" spans="1:7">
      <c r="A219" s="3484" t="s">
        <v>1153</v>
      </c>
      <c r="B219" s="3473" t="s">
        <v>3089</v>
      </c>
      <c r="C219" s="3485"/>
      <c r="D219" s="3485"/>
      <c r="E219" s="3485"/>
      <c r="F219" s="3474">
        <v>0.05</v>
      </c>
      <c r="G219" s="3491"/>
    </row>
    <row r="220" spans="1:7">
      <c r="A220" s="3484" t="s">
        <v>1153</v>
      </c>
      <c r="B220" s="3473" t="s">
        <v>3090</v>
      </c>
      <c r="C220" s="3485"/>
      <c r="D220" s="3485"/>
      <c r="E220" s="3485"/>
      <c r="F220" s="3474">
        <v>0.05</v>
      </c>
      <c r="G220" s="3491"/>
    </row>
    <row r="221" spans="1:7">
      <c r="A221" s="3484" t="s">
        <v>1153</v>
      </c>
      <c r="B221" s="3473" t="s">
        <v>3091</v>
      </c>
      <c r="C221" s="3485"/>
      <c r="D221" s="3485"/>
      <c r="E221" s="3485"/>
      <c r="F221" s="3474">
        <v>0.05</v>
      </c>
      <c r="G221" s="3491"/>
    </row>
    <row r="222" spans="1:7">
      <c r="A222" s="3484" t="s">
        <v>1153</v>
      </c>
      <c r="B222" s="3473" t="s">
        <v>3092</v>
      </c>
      <c r="C222" s="3485"/>
      <c r="D222" s="3485"/>
      <c r="E222" s="3485"/>
      <c r="F222" s="3474">
        <v>0.05</v>
      </c>
      <c r="G222" s="3491"/>
    </row>
    <row r="223" spans="1:7">
      <c r="A223" s="3484" t="s">
        <v>1153</v>
      </c>
      <c r="B223" s="3473" t="s">
        <v>3093</v>
      </c>
      <c r="C223" s="3485"/>
      <c r="D223" s="3485"/>
      <c r="E223" s="3485"/>
      <c r="F223" s="3474">
        <v>0.05</v>
      </c>
      <c r="G223" s="3491"/>
    </row>
    <row r="224" spans="1:7">
      <c r="A224" s="3484" t="s">
        <v>1153</v>
      </c>
      <c r="B224" s="3473" t="s">
        <v>3094</v>
      </c>
      <c r="C224" s="3485"/>
      <c r="D224" s="3485"/>
      <c r="E224" s="3485"/>
      <c r="F224" s="3474">
        <v>0.05</v>
      </c>
      <c r="G224" s="3491"/>
    </row>
    <row r="225" spans="1:7">
      <c r="A225" s="3484" t="s">
        <v>1153</v>
      </c>
      <c r="B225" s="3473" t="s">
        <v>3095</v>
      </c>
      <c r="C225" s="3485"/>
      <c r="D225" s="3485"/>
      <c r="E225" s="3485"/>
      <c r="F225" s="3474">
        <v>0.05</v>
      </c>
      <c r="G225" s="3491"/>
    </row>
    <row r="226" spans="1:7">
      <c r="A226" s="3484" t="s">
        <v>1153</v>
      </c>
      <c r="B226" s="3473" t="s">
        <v>3096</v>
      </c>
      <c r="C226" s="3485"/>
      <c r="D226" s="3485"/>
      <c r="E226" s="3485"/>
      <c r="F226" s="3474">
        <v>0.05</v>
      </c>
      <c r="G226" s="3491"/>
    </row>
    <row r="227" spans="1:7">
      <c r="A227" s="3484" t="s">
        <v>1153</v>
      </c>
      <c r="B227" s="3473" t="s">
        <v>3097</v>
      </c>
      <c r="C227" s="3485"/>
      <c r="D227" s="3485"/>
      <c r="E227" s="3485"/>
      <c r="F227" s="3474">
        <v>0.05</v>
      </c>
      <c r="G227" s="3491"/>
    </row>
    <row r="228" spans="1:7">
      <c r="A228" s="3484" t="s">
        <v>1153</v>
      </c>
      <c r="B228" s="3473" t="s">
        <v>3098</v>
      </c>
      <c r="C228" s="3485"/>
      <c r="D228" s="3485"/>
      <c r="E228" s="3485"/>
      <c r="F228" s="3474">
        <v>0.05</v>
      </c>
      <c r="G228" s="3491"/>
    </row>
    <row r="229" spans="1:7">
      <c r="A229" s="3484" t="s">
        <v>1153</v>
      </c>
      <c r="B229" s="3473" t="s">
        <v>3099</v>
      </c>
      <c r="C229" s="3485"/>
      <c r="D229" s="3485"/>
      <c r="E229" s="3485"/>
      <c r="F229" s="3474">
        <v>0.05</v>
      </c>
      <c r="G229" s="3491"/>
    </row>
    <row r="230" spans="1:7">
      <c r="A230" s="3484" t="s">
        <v>1153</v>
      </c>
      <c r="B230" s="3473" t="s">
        <v>3100</v>
      </c>
      <c r="C230" s="3485"/>
      <c r="D230" s="3485"/>
      <c r="E230" s="3485"/>
      <c r="F230" s="3474">
        <v>0.05</v>
      </c>
      <c r="G230" s="3491"/>
    </row>
    <row r="231" spans="1:7">
      <c r="A231" s="3484" t="s">
        <v>1153</v>
      </c>
      <c r="B231" s="3473" t="s">
        <v>3101</v>
      </c>
      <c r="C231" s="3485"/>
      <c r="D231" s="3485"/>
      <c r="E231" s="3485"/>
      <c r="F231" s="3474">
        <v>0.05</v>
      </c>
      <c r="G231" s="3491"/>
    </row>
    <row r="232" spans="1:7">
      <c r="A232" s="3484" t="s">
        <v>1153</v>
      </c>
      <c r="B232" s="3473" t="s">
        <v>3102</v>
      </c>
      <c r="C232" s="3485"/>
      <c r="D232" s="3485"/>
      <c r="E232" s="3485"/>
      <c r="F232" s="3474">
        <v>0.05</v>
      </c>
      <c r="G232" s="3491"/>
    </row>
    <row r="233" spans="1:7" ht="14.25" thickBot="1">
      <c r="A233" s="3487" t="s">
        <v>1153</v>
      </c>
      <c r="B233" s="3477" t="s">
        <v>3103</v>
      </c>
      <c r="C233" s="3479"/>
      <c r="D233" s="3479"/>
      <c r="E233" s="3479"/>
      <c r="F233" s="3478">
        <v>0.05</v>
      </c>
      <c r="G233" s="3492"/>
    </row>
    <row r="234" spans="1:7">
      <c r="A234" s="3483" t="s">
        <v>1154</v>
      </c>
      <c r="B234" s="3469" t="s">
        <v>3104</v>
      </c>
      <c r="C234" s="3470">
        <v>0.13</v>
      </c>
      <c r="D234" s="3470">
        <v>0.128</v>
      </c>
      <c r="E234" s="3470">
        <v>0.14199999999999999</v>
      </c>
      <c r="F234" s="3470">
        <v>0.14699999999999999</v>
      </c>
      <c r="G234" s="3471">
        <v>0.14000000000000001</v>
      </c>
    </row>
    <row r="235" spans="1:7">
      <c r="A235" s="3484" t="s">
        <v>1154</v>
      </c>
      <c r="B235" s="3473" t="s">
        <v>978</v>
      </c>
      <c r="C235" s="3474">
        <v>0.13600000000000001</v>
      </c>
      <c r="D235" s="3474">
        <v>0.13800000000000001</v>
      </c>
      <c r="E235" s="3474">
        <v>0.14499999999999999</v>
      </c>
      <c r="F235" s="3474">
        <v>0.14299999999999999</v>
      </c>
      <c r="G235" s="3475">
        <v>0.14099999999999999</v>
      </c>
    </row>
    <row r="236" spans="1:7">
      <c r="A236" s="3484" t="s">
        <v>1154</v>
      </c>
      <c r="B236" s="3473" t="s">
        <v>988</v>
      </c>
      <c r="C236" s="3474">
        <v>0.15</v>
      </c>
      <c r="D236" s="3474">
        <v>0.15</v>
      </c>
      <c r="E236" s="3474">
        <v>0.15</v>
      </c>
      <c r="F236" s="3474">
        <v>0.15</v>
      </c>
      <c r="G236" s="3475">
        <v>0.15</v>
      </c>
    </row>
    <row r="237" spans="1:7">
      <c r="A237" s="3484" t="s">
        <v>1154</v>
      </c>
      <c r="B237" s="3473" t="s">
        <v>997</v>
      </c>
      <c r="C237" s="3474">
        <v>0.15</v>
      </c>
      <c r="D237" s="3474">
        <v>0.15</v>
      </c>
      <c r="E237" s="3474">
        <v>0.15</v>
      </c>
      <c r="F237" s="3474">
        <v>0.15</v>
      </c>
      <c r="G237" s="3475">
        <v>0.15</v>
      </c>
    </row>
    <row r="238" spans="1:7">
      <c r="A238" s="3484" t="s">
        <v>1154</v>
      </c>
      <c r="B238" s="3473" t="s">
        <v>2925</v>
      </c>
      <c r="C238" s="3474">
        <v>0.14899999999999999</v>
      </c>
      <c r="D238" s="3474">
        <v>0.14899999999999999</v>
      </c>
      <c r="E238" s="3474">
        <v>0.15</v>
      </c>
      <c r="F238" s="3474">
        <v>0.15</v>
      </c>
      <c r="G238" s="3475">
        <v>0.15</v>
      </c>
    </row>
    <row r="239" spans="1:7">
      <c r="A239" s="3484" t="s">
        <v>1154</v>
      </c>
      <c r="B239" s="3473" t="s">
        <v>3105</v>
      </c>
      <c r="C239" s="3474">
        <v>0.15</v>
      </c>
      <c r="D239" s="3474">
        <v>0.15</v>
      </c>
      <c r="E239" s="3474">
        <v>0.15</v>
      </c>
      <c r="F239" s="3474">
        <v>0.15</v>
      </c>
      <c r="G239" s="3475">
        <v>0.15</v>
      </c>
    </row>
    <row r="240" spans="1:7">
      <c r="A240" s="3484" t="s">
        <v>1154</v>
      </c>
      <c r="B240" s="3473" t="s">
        <v>3106</v>
      </c>
      <c r="C240" s="3474">
        <v>0.15</v>
      </c>
      <c r="D240" s="3474">
        <v>0.15</v>
      </c>
      <c r="E240" s="3474">
        <v>0.15</v>
      </c>
      <c r="F240" s="3474">
        <v>0.15</v>
      </c>
      <c r="G240" s="3475">
        <v>0.15</v>
      </c>
    </row>
    <row r="241" spans="1:7">
      <c r="A241" s="3484" t="s">
        <v>1154</v>
      </c>
      <c r="B241" s="3473" t="s">
        <v>3107</v>
      </c>
      <c r="C241" s="3474">
        <v>0.14099999999999999</v>
      </c>
      <c r="D241" s="3474">
        <v>0.14199999999999999</v>
      </c>
      <c r="E241" s="3474">
        <v>0.14899999999999999</v>
      </c>
      <c r="F241" s="3474">
        <v>0.15</v>
      </c>
      <c r="G241" s="3475">
        <v>0.14399999999999999</v>
      </c>
    </row>
    <row r="242" spans="1:7">
      <c r="A242" s="3484" t="s">
        <v>1154</v>
      </c>
      <c r="B242" s="3473" t="s">
        <v>1027</v>
      </c>
      <c r="C242" s="3474">
        <v>0.14099999999999999</v>
      </c>
      <c r="D242" s="3474">
        <v>0.14199999999999999</v>
      </c>
      <c r="E242" s="3474">
        <v>0.14799999999999999</v>
      </c>
      <c r="F242" s="3474">
        <v>0.127</v>
      </c>
      <c r="G242" s="3475">
        <v>0.14399999999999999</v>
      </c>
    </row>
    <row r="243" spans="1:7">
      <c r="A243" s="3484" t="s">
        <v>1154</v>
      </c>
      <c r="B243" s="3473" t="s">
        <v>1037</v>
      </c>
      <c r="C243" s="3474">
        <v>0.14699999999999999</v>
      </c>
      <c r="D243" s="3474">
        <v>0.14699999999999999</v>
      </c>
      <c r="E243" s="3474">
        <v>0.15</v>
      </c>
      <c r="F243" s="3474">
        <v>0.15</v>
      </c>
      <c r="G243" s="3475">
        <v>0.14899999999999999</v>
      </c>
    </row>
    <row r="244" spans="1:7">
      <c r="A244" s="3484" t="s">
        <v>1154</v>
      </c>
      <c r="B244" s="3473" t="s">
        <v>3108</v>
      </c>
      <c r="C244" s="3474">
        <v>0.15</v>
      </c>
      <c r="D244" s="3474">
        <v>0.15</v>
      </c>
      <c r="E244" s="3474">
        <v>0.15</v>
      </c>
      <c r="F244" s="3474">
        <v>0.15</v>
      </c>
      <c r="G244" s="3475">
        <v>0.15</v>
      </c>
    </row>
    <row r="245" spans="1:7">
      <c r="A245" s="3484" t="s">
        <v>1154</v>
      </c>
      <c r="B245" s="3473" t="s">
        <v>1052</v>
      </c>
      <c r="C245" s="3474">
        <v>0.14199999999999999</v>
      </c>
      <c r="D245" s="3474">
        <v>0.14199999999999999</v>
      </c>
      <c r="E245" s="3474">
        <v>0.15</v>
      </c>
      <c r="F245" s="3474">
        <v>0.15</v>
      </c>
      <c r="G245" s="3475">
        <v>0.14499999999999999</v>
      </c>
    </row>
    <row r="246" spans="1:7">
      <c r="A246" s="3484" t="s">
        <v>1154</v>
      </c>
      <c r="B246" s="3473" t="s">
        <v>1059</v>
      </c>
      <c r="C246" s="3474">
        <v>0.14199999999999999</v>
      </c>
      <c r="D246" s="3474">
        <v>0.14299999999999999</v>
      </c>
      <c r="E246" s="3474">
        <v>0.15</v>
      </c>
      <c r="F246" s="3474">
        <v>0.14199999999999999</v>
      </c>
      <c r="G246" s="3475">
        <v>0.14399999999999999</v>
      </c>
    </row>
    <row r="247" spans="1:7">
      <c r="A247" s="3484" t="s">
        <v>1154</v>
      </c>
      <c r="B247" s="3473" t="s">
        <v>3109</v>
      </c>
      <c r="C247" s="3474">
        <v>0.14899999999999999</v>
      </c>
      <c r="D247" s="3474">
        <v>0.14899999999999999</v>
      </c>
      <c r="E247" s="3474">
        <v>0.15</v>
      </c>
      <c r="F247" s="3474">
        <v>0.15</v>
      </c>
      <c r="G247" s="3475">
        <v>0.15</v>
      </c>
    </row>
    <row r="248" spans="1:7">
      <c r="A248" s="3484" t="s">
        <v>1154</v>
      </c>
      <c r="B248" s="3473" t="s">
        <v>1074</v>
      </c>
      <c r="C248" s="3474">
        <v>0.14399999999999999</v>
      </c>
      <c r="D248" s="3474">
        <v>0.14399999999999999</v>
      </c>
      <c r="E248" s="3474">
        <v>0.14899999999999999</v>
      </c>
      <c r="F248" s="3474">
        <v>0.14799999999999999</v>
      </c>
      <c r="G248" s="3475">
        <v>0.14599999999999999</v>
      </c>
    </row>
    <row r="249" spans="1:7">
      <c r="A249" s="3484" t="s">
        <v>1154</v>
      </c>
      <c r="B249" s="3473" t="s">
        <v>3110</v>
      </c>
      <c r="C249" s="3474">
        <v>0.14000000000000001</v>
      </c>
      <c r="D249" s="3474">
        <v>0.14000000000000001</v>
      </c>
      <c r="E249" s="3474">
        <v>0.14699999999999999</v>
      </c>
      <c r="F249" s="3474">
        <v>0.14899999999999999</v>
      </c>
      <c r="G249" s="3475">
        <v>0.14199999999999999</v>
      </c>
    </row>
    <row r="250" spans="1:7">
      <c r="A250" s="3484" t="s">
        <v>1154</v>
      </c>
      <c r="B250" s="3473" t="s">
        <v>1088</v>
      </c>
      <c r="C250" s="3474">
        <v>0.14399999999999999</v>
      </c>
      <c r="D250" s="3474">
        <v>0.14299999999999999</v>
      </c>
      <c r="E250" s="3474">
        <v>0.14899999999999999</v>
      </c>
      <c r="F250" s="3474">
        <v>0.15</v>
      </c>
      <c r="G250" s="3475">
        <v>0.14599999999999999</v>
      </c>
    </row>
    <row r="251" spans="1:7">
      <c r="A251" s="3484" t="s">
        <v>1154</v>
      </c>
      <c r="B251" s="3473" t="s">
        <v>1096</v>
      </c>
      <c r="C251" s="3490"/>
      <c r="D251" s="3485"/>
      <c r="E251" s="3485"/>
      <c r="F251" s="3474">
        <v>0.1</v>
      </c>
      <c r="G251" s="3491"/>
    </row>
    <row r="252" spans="1:7">
      <c r="A252" s="3484" t="s">
        <v>1154</v>
      </c>
      <c r="B252" s="3473" t="s">
        <v>3111</v>
      </c>
      <c r="C252" s="3474">
        <v>0.14399999999999999</v>
      </c>
      <c r="D252" s="3474">
        <v>0.14399999999999999</v>
      </c>
      <c r="E252" s="3474">
        <v>0.15</v>
      </c>
      <c r="F252" s="3474">
        <v>0.14899999999999999</v>
      </c>
      <c r="G252" s="3475">
        <v>0.14599999999999999</v>
      </c>
    </row>
    <row r="253" spans="1:7">
      <c r="A253" s="3484" t="s">
        <v>1154</v>
      </c>
      <c r="B253" s="3473" t="s">
        <v>1131</v>
      </c>
      <c r="C253" s="3474">
        <v>0.14199999999999999</v>
      </c>
      <c r="D253" s="3474">
        <v>0.14199999999999999</v>
      </c>
      <c r="E253" s="3474">
        <v>0.14599999999999999</v>
      </c>
      <c r="F253" s="3474">
        <v>0.14799999999999999</v>
      </c>
      <c r="G253" s="3475">
        <v>0.14499999999999999</v>
      </c>
    </row>
    <row r="254" spans="1:7">
      <c r="A254" s="3484" t="s">
        <v>1154</v>
      </c>
      <c r="B254" s="3473" t="s">
        <v>1134</v>
      </c>
      <c r="C254" s="3474">
        <v>0.15</v>
      </c>
      <c r="D254" s="3474">
        <v>0.15</v>
      </c>
      <c r="E254" s="3474">
        <v>0.15</v>
      </c>
      <c r="F254" s="3474">
        <v>0.15</v>
      </c>
      <c r="G254" s="3475">
        <v>0.15</v>
      </c>
    </row>
    <row r="255" spans="1:7">
      <c r="A255" s="3484" t="s">
        <v>1154</v>
      </c>
      <c r="B255" s="3473" t="s">
        <v>1137</v>
      </c>
      <c r="C255" s="3474">
        <v>0.14299999999999999</v>
      </c>
      <c r="D255" s="3474">
        <v>0.14299999999999999</v>
      </c>
      <c r="E255" s="3474">
        <v>0.15</v>
      </c>
      <c r="F255" s="3474">
        <v>0.15</v>
      </c>
      <c r="G255" s="3475">
        <v>0.14499999999999999</v>
      </c>
    </row>
    <row r="256" spans="1:7">
      <c r="A256" s="3484" t="s">
        <v>1154</v>
      </c>
      <c r="B256" s="3473" t="s">
        <v>3112</v>
      </c>
      <c r="C256" s="3474">
        <v>0.15</v>
      </c>
      <c r="D256" s="3474">
        <v>0.15</v>
      </c>
      <c r="E256" s="3474">
        <v>0.15</v>
      </c>
      <c r="F256" s="3474">
        <v>0.14599999999999999</v>
      </c>
      <c r="G256" s="3475">
        <v>0.15</v>
      </c>
    </row>
    <row r="257" spans="1:7">
      <c r="A257" s="3484" t="s">
        <v>1154</v>
      </c>
      <c r="B257" s="3473" t="s">
        <v>1123</v>
      </c>
      <c r="C257" s="3474">
        <v>0.14199999999999999</v>
      </c>
      <c r="D257" s="3474">
        <v>0.14299999999999999</v>
      </c>
      <c r="E257" s="3474">
        <v>0.14799999999999999</v>
      </c>
      <c r="F257" s="3474">
        <v>0.15</v>
      </c>
      <c r="G257" s="3475">
        <v>0.14499999999999999</v>
      </c>
    </row>
    <row r="258" spans="1:7">
      <c r="A258" s="3484" t="s">
        <v>1154</v>
      </c>
      <c r="B258" s="3473" t="s">
        <v>2934</v>
      </c>
      <c r="C258" s="3474">
        <v>0.14299999999999999</v>
      </c>
      <c r="D258" s="3474">
        <v>0.14299999999999999</v>
      </c>
      <c r="E258" s="3474">
        <v>0.15</v>
      </c>
      <c r="F258" s="3474">
        <v>0.14799999999999999</v>
      </c>
      <c r="G258" s="3475">
        <v>0.14599999999999999</v>
      </c>
    </row>
    <row r="259" spans="1:7">
      <c r="A259" s="3484" t="s">
        <v>1154</v>
      </c>
      <c r="B259" s="3473" t="s">
        <v>3113</v>
      </c>
      <c r="C259" s="3474">
        <v>0.14399999999999999</v>
      </c>
      <c r="D259" s="3474">
        <v>0.14399999999999999</v>
      </c>
      <c r="E259" s="3474">
        <v>0.14899999999999999</v>
      </c>
      <c r="F259" s="3474">
        <v>0.14699999999999999</v>
      </c>
      <c r="G259" s="3475">
        <v>0.14599999999999999</v>
      </c>
    </row>
    <row r="260" spans="1:7">
      <c r="A260" s="3484" t="s">
        <v>1154</v>
      </c>
      <c r="B260" s="3473" t="s">
        <v>3114</v>
      </c>
      <c r="C260" s="3474">
        <v>0.109</v>
      </c>
      <c r="D260" s="3474">
        <v>0.111</v>
      </c>
      <c r="E260" s="3474">
        <v>0.13100000000000001</v>
      </c>
      <c r="F260" s="3474">
        <v>0.126</v>
      </c>
      <c r="G260" s="3475">
        <v>0.11899999999999999</v>
      </c>
    </row>
    <row r="261" spans="1:7">
      <c r="A261" s="3484" t="s">
        <v>1154</v>
      </c>
      <c r="B261" s="3473" t="s">
        <v>3115</v>
      </c>
      <c r="C261" s="3474">
        <v>0.1</v>
      </c>
      <c r="D261" s="3474">
        <v>0.1</v>
      </c>
      <c r="E261" s="3474">
        <v>0.11799999999999999</v>
      </c>
      <c r="F261" s="3474">
        <v>0.108</v>
      </c>
      <c r="G261" s="3475">
        <v>0.107</v>
      </c>
    </row>
    <row r="262" spans="1:7">
      <c r="A262" s="3484" t="s">
        <v>1154</v>
      </c>
      <c r="B262" s="3473" t="s">
        <v>3116</v>
      </c>
      <c r="C262" s="3474">
        <v>0.1</v>
      </c>
      <c r="D262" s="3474">
        <v>0.1</v>
      </c>
      <c r="E262" s="3474">
        <v>0.1</v>
      </c>
      <c r="F262" s="3474">
        <v>0.14099999999999999</v>
      </c>
      <c r="G262" s="3475">
        <v>0.1</v>
      </c>
    </row>
    <row r="263" spans="1:7">
      <c r="A263" s="3484" t="s">
        <v>1154</v>
      </c>
      <c r="B263" s="3473" t="s">
        <v>3117</v>
      </c>
      <c r="C263" s="3474">
        <v>0.14799999999999999</v>
      </c>
      <c r="D263" s="3474">
        <v>0.14799999999999999</v>
      </c>
      <c r="E263" s="3474">
        <v>0.15</v>
      </c>
      <c r="F263" s="3474">
        <v>0.14699999999999999</v>
      </c>
      <c r="G263" s="3475">
        <v>0.15</v>
      </c>
    </row>
    <row r="264" spans="1:7">
      <c r="A264" s="3484" t="s">
        <v>1154</v>
      </c>
      <c r="B264" s="3473" t="s">
        <v>1147</v>
      </c>
      <c r="C264" s="3474">
        <v>0.14299999999999999</v>
      </c>
      <c r="D264" s="3474">
        <v>0.14299999999999999</v>
      </c>
      <c r="E264" s="3474">
        <v>0.15</v>
      </c>
      <c r="F264" s="3474">
        <v>0.14899999999999999</v>
      </c>
      <c r="G264" s="3475">
        <v>0.14599999999999999</v>
      </c>
    </row>
    <row r="265" spans="1:7">
      <c r="A265" s="3484" t="s">
        <v>1154</v>
      </c>
      <c r="B265" s="3473" t="s">
        <v>3118</v>
      </c>
      <c r="C265" s="3485"/>
      <c r="D265" s="3485"/>
      <c r="E265" s="3485"/>
      <c r="F265" s="3474">
        <v>0.05</v>
      </c>
      <c r="G265" s="3491"/>
    </row>
    <row r="266" spans="1:7">
      <c r="A266" s="3484" t="s">
        <v>1154</v>
      </c>
      <c r="B266" s="3473" t="s">
        <v>3119</v>
      </c>
      <c r="C266" s="3485"/>
      <c r="D266" s="3485"/>
      <c r="E266" s="3485"/>
      <c r="F266" s="3474">
        <v>0.05</v>
      </c>
      <c r="G266" s="3491"/>
    </row>
    <row r="267" spans="1:7">
      <c r="A267" s="3484" t="s">
        <v>1154</v>
      </c>
      <c r="B267" s="3473" t="s">
        <v>3120</v>
      </c>
      <c r="C267" s="3485"/>
      <c r="D267" s="3485"/>
      <c r="E267" s="3485"/>
      <c r="F267" s="3474">
        <v>0.05</v>
      </c>
      <c r="G267" s="3491"/>
    </row>
    <row r="268" spans="1:7">
      <c r="A268" s="3484" t="s">
        <v>1154</v>
      </c>
      <c r="B268" s="3473" t="s">
        <v>3121</v>
      </c>
      <c r="C268" s="3485"/>
      <c r="D268" s="3485"/>
      <c r="E268" s="3485"/>
      <c r="F268" s="3474">
        <v>0.05</v>
      </c>
      <c r="G268" s="3491"/>
    </row>
    <row r="269" spans="1:7">
      <c r="A269" s="3484" t="s">
        <v>1154</v>
      </c>
      <c r="B269" s="3473" t="s">
        <v>3122</v>
      </c>
      <c r="C269" s="3485"/>
      <c r="D269" s="3485"/>
      <c r="E269" s="3485"/>
      <c r="F269" s="3474">
        <v>0.05</v>
      </c>
      <c r="G269" s="3491"/>
    </row>
    <row r="270" spans="1:7">
      <c r="A270" s="3484" t="s">
        <v>1154</v>
      </c>
      <c r="B270" s="3473" t="s">
        <v>3123</v>
      </c>
      <c r="C270" s="3485"/>
      <c r="D270" s="3485"/>
      <c r="E270" s="3485"/>
      <c r="F270" s="3474">
        <v>0.05</v>
      </c>
      <c r="G270" s="3491"/>
    </row>
    <row r="271" spans="1:7">
      <c r="A271" s="3484" t="s">
        <v>1154</v>
      </c>
      <c r="B271" s="3473" t="s">
        <v>3124</v>
      </c>
      <c r="C271" s="3485"/>
      <c r="D271" s="3485"/>
      <c r="E271" s="3485"/>
      <c r="F271" s="3474">
        <v>0.05</v>
      </c>
      <c r="G271" s="3491"/>
    </row>
    <row r="272" spans="1:7">
      <c r="A272" s="3484" t="s">
        <v>1154</v>
      </c>
      <c r="B272" s="3473" t="s">
        <v>3125</v>
      </c>
      <c r="C272" s="3485"/>
      <c r="D272" s="3485"/>
      <c r="E272" s="3485"/>
      <c r="F272" s="3474">
        <v>0.05</v>
      </c>
      <c r="G272" s="3491"/>
    </row>
    <row r="273" spans="1:7">
      <c r="A273" s="3484" t="s">
        <v>1154</v>
      </c>
      <c r="B273" s="3473" t="s">
        <v>3126</v>
      </c>
      <c r="C273" s="3485"/>
      <c r="D273" s="3485"/>
      <c r="E273" s="3485"/>
      <c r="F273" s="3474">
        <v>0.05</v>
      </c>
      <c r="G273" s="3491"/>
    </row>
    <row r="274" spans="1:7">
      <c r="A274" s="3484" t="s">
        <v>1154</v>
      </c>
      <c r="B274" s="3473" t="s">
        <v>3127</v>
      </c>
      <c r="C274" s="3485"/>
      <c r="D274" s="3485"/>
      <c r="E274" s="3485"/>
      <c r="F274" s="3474">
        <v>0.05</v>
      </c>
      <c r="G274" s="3491"/>
    </row>
    <row r="275" spans="1:7">
      <c r="A275" s="3484" t="s">
        <v>1154</v>
      </c>
      <c r="B275" s="3473" t="s">
        <v>3128</v>
      </c>
      <c r="C275" s="3485"/>
      <c r="D275" s="3485"/>
      <c r="E275" s="3485"/>
      <c r="F275" s="3474">
        <v>0.05</v>
      </c>
      <c r="G275" s="3491"/>
    </row>
    <row r="276" spans="1:7" ht="14.25" thickBot="1">
      <c r="A276" s="3487" t="s">
        <v>1154</v>
      </c>
      <c r="B276" s="3477" t="s">
        <v>3129</v>
      </c>
      <c r="C276" s="3479"/>
      <c r="D276" s="3479"/>
      <c r="E276" s="3479"/>
      <c r="F276" s="3478">
        <v>0.05</v>
      </c>
      <c r="G276" s="3492"/>
    </row>
    <row r="277" spans="1:7">
      <c r="A277" s="3483" t="s">
        <v>1155</v>
      </c>
      <c r="B277" s="3469" t="s">
        <v>3130</v>
      </c>
      <c r="C277" s="3470">
        <v>0.15</v>
      </c>
      <c r="D277" s="3470">
        <v>0.15</v>
      </c>
      <c r="E277" s="3470">
        <v>0.15</v>
      </c>
      <c r="F277" s="3470">
        <v>0.15</v>
      </c>
      <c r="G277" s="3471">
        <v>0.15</v>
      </c>
    </row>
    <row r="278" spans="1:7">
      <c r="A278" s="3484" t="s">
        <v>1155</v>
      </c>
      <c r="B278" s="3473" t="s">
        <v>979</v>
      </c>
      <c r="C278" s="3474">
        <v>0.15</v>
      </c>
      <c r="D278" s="3474">
        <v>0.15</v>
      </c>
      <c r="E278" s="3474">
        <v>0.15</v>
      </c>
      <c r="F278" s="3474">
        <v>0.15</v>
      </c>
      <c r="G278" s="3475">
        <v>0.15</v>
      </c>
    </row>
    <row r="279" spans="1:7">
      <c r="A279" s="3484" t="s">
        <v>1155</v>
      </c>
      <c r="B279" s="3473" t="s">
        <v>3131</v>
      </c>
      <c r="C279" s="3474">
        <v>0.15</v>
      </c>
      <c r="D279" s="3474">
        <v>0.15</v>
      </c>
      <c r="E279" s="3474">
        <v>0.15</v>
      </c>
      <c r="F279" s="3474">
        <v>0.15</v>
      </c>
      <c r="G279" s="3475">
        <v>0.15</v>
      </c>
    </row>
    <row r="280" spans="1:7">
      <c r="A280" s="3484" t="s">
        <v>1155</v>
      </c>
      <c r="B280" s="3473" t="s">
        <v>3132</v>
      </c>
      <c r="C280" s="3474">
        <v>0.15</v>
      </c>
      <c r="D280" s="3474">
        <v>0.15</v>
      </c>
      <c r="E280" s="3474">
        <v>0.15</v>
      </c>
      <c r="F280" s="3474">
        <v>0.15</v>
      </c>
      <c r="G280" s="3475">
        <v>0.15</v>
      </c>
    </row>
    <row r="281" spans="1:7">
      <c r="A281" s="3484" t="s">
        <v>1155</v>
      </c>
      <c r="B281" s="3473" t="s">
        <v>3133</v>
      </c>
      <c r="C281" s="3474">
        <v>0.15</v>
      </c>
      <c r="D281" s="3474">
        <v>0.15</v>
      </c>
      <c r="E281" s="3474">
        <v>0.15</v>
      </c>
      <c r="F281" s="3474">
        <v>0.15</v>
      </c>
      <c r="G281" s="3475">
        <v>0.15</v>
      </c>
    </row>
    <row r="282" spans="1:7">
      <c r="A282" s="3484" t="s">
        <v>1155</v>
      </c>
      <c r="B282" s="3473" t="s">
        <v>3134</v>
      </c>
      <c r="C282" s="3474">
        <v>0.15</v>
      </c>
      <c r="D282" s="3474">
        <v>0.15</v>
      </c>
      <c r="E282" s="3474">
        <v>0.15</v>
      </c>
      <c r="F282" s="3474">
        <v>0.14499999999999999</v>
      </c>
      <c r="G282" s="3475">
        <v>0.15</v>
      </c>
    </row>
    <row r="283" spans="1:7">
      <c r="A283" s="3484" t="s">
        <v>1155</v>
      </c>
      <c r="B283" s="3473" t="s">
        <v>1020</v>
      </c>
      <c r="C283" s="3474">
        <v>0.15</v>
      </c>
      <c r="D283" s="3474">
        <v>0.15</v>
      </c>
      <c r="E283" s="3474">
        <v>0.15</v>
      </c>
      <c r="F283" s="3474">
        <v>0.14199999999999999</v>
      </c>
      <c r="G283" s="3475">
        <v>0.15</v>
      </c>
    </row>
    <row r="284" spans="1:7">
      <c r="A284" s="3484" t="s">
        <v>1155</v>
      </c>
      <c r="B284" s="3473" t="s">
        <v>1028</v>
      </c>
      <c r="C284" s="3474">
        <v>0.15</v>
      </c>
      <c r="D284" s="3474">
        <v>0.15</v>
      </c>
      <c r="E284" s="3474">
        <v>0.15</v>
      </c>
      <c r="F284" s="3474">
        <v>0.15</v>
      </c>
      <c r="G284" s="3475">
        <v>0.15</v>
      </c>
    </row>
    <row r="285" spans="1:7">
      <c r="A285" s="3484" t="s">
        <v>1155</v>
      </c>
      <c r="B285" s="3473" t="s">
        <v>1038</v>
      </c>
      <c r="C285" s="3474">
        <v>0.15</v>
      </c>
      <c r="D285" s="3474">
        <v>0.15</v>
      </c>
      <c r="E285" s="3474">
        <v>0.15</v>
      </c>
      <c r="F285" s="3474">
        <v>0.15</v>
      </c>
      <c r="G285" s="3475">
        <v>0.15</v>
      </c>
    </row>
    <row r="286" spans="1:7">
      <c r="A286" s="3484" t="s">
        <v>1155</v>
      </c>
      <c r="B286" s="3473" t="s">
        <v>1045</v>
      </c>
      <c r="C286" s="3474">
        <v>0.14499999999999999</v>
      </c>
      <c r="D286" s="3474">
        <v>0.14499999999999999</v>
      </c>
      <c r="E286" s="3474">
        <v>0.15</v>
      </c>
      <c r="F286" s="3474">
        <v>0.14099999999999999</v>
      </c>
      <c r="G286" s="3475">
        <v>0.14499999999999999</v>
      </c>
    </row>
    <row r="287" spans="1:7">
      <c r="A287" s="3484" t="s">
        <v>1155</v>
      </c>
      <c r="B287" s="3473" t="s">
        <v>3135</v>
      </c>
      <c r="C287" s="3474">
        <v>0.11</v>
      </c>
      <c r="D287" s="3474">
        <v>0.111</v>
      </c>
      <c r="E287" s="3474">
        <v>0.14099999999999999</v>
      </c>
      <c r="F287" s="3474">
        <v>0.11</v>
      </c>
      <c r="G287" s="3475">
        <v>0.12</v>
      </c>
    </row>
    <row r="288" spans="1:7">
      <c r="A288" s="3484" t="s">
        <v>1155</v>
      </c>
      <c r="B288" s="3473" t="s">
        <v>1066</v>
      </c>
      <c r="C288" s="3474">
        <v>0.14199999999999999</v>
      </c>
      <c r="D288" s="3474">
        <v>0.14299999999999999</v>
      </c>
      <c r="E288" s="3474">
        <v>0.15</v>
      </c>
      <c r="F288" s="3474">
        <v>0.14199999999999999</v>
      </c>
      <c r="G288" s="3475">
        <v>0.14399999999999999</v>
      </c>
    </row>
    <row r="289" spans="1:7">
      <c r="A289" s="3484" t="s">
        <v>1155</v>
      </c>
      <c r="B289" s="3473" t="s">
        <v>3136</v>
      </c>
      <c r="C289" s="3474">
        <v>0.14299999999999999</v>
      </c>
      <c r="D289" s="3474">
        <v>0.14299999999999999</v>
      </c>
      <c r="E289" s="3474">
        <v>0.14799999999999999</v>
      </c>
      <c r="F289" s="3474">
        <v>0.14399999999999999</v>
      </c>
      <c r="G289" s="3475">
        <v>0.14399999999999999</v>
      </c>
    </row>
    <row r="290" spans="1:7">
      <c r="A290" s="3484" t="s">
        <v>1155</v>
      </c>
      <c r="B290" s="3473" t="s">
        <v>1089</v>
      </c>
      <c r="C290" s="3474">
        <v>0.14799999999999999</v>
      </c>
      <c r="D290" s="3474">
        <v>0.14899999999999999</v>
      </c>
      <c r="E290" s="3474">
        <v>0.15</v>
      </c>
      <c r="F290" s="3474">
        <v>0.127</v>
      </c>
      <c r="G290" s="3475">
        <v>0.15</v>
      </c>
    </row>
    <row r="291" spans="1:7">
      <c r="A291" s="3484" t="s">
        <v>1155</v>
      </c>
      <c r="B291" s="3473" t="s">
        <v>1097</v>
      </c>
      <c r="C291" s="3474">
        <v>0.15</v>
      </c>
      <c r="D291" s="3474">
        <v>0.15</v>
      </c>
      <c r="E291" s="3474">
        <v>0.15</v>
      </c>
      <c r="F291" s="3474">
        <v>0.14899999999999999</v>
      </c>
      <c r="G291" s="3475">
        <v>0.15</v>
      </c>
    </row>
    <row r="292" spans="1:7">
      <c r="A292" s="3484" t="s">
        <v>1155</v>
      </c>
      <c r="B292" s="3473" t="s">
        <v>1103</v>
      </c>
      <c r="C292" s="3474">
        <v>0.15</v>
      </c>
      <c r="D292" s="3474">
        <v>0.15</v>
      </c>
      <c r="E292" s="3474">
        <v>0.15</v>
      </c>
      <c r="F292" s="3474">
        <v>0.14399999999999999</v>
      </c>
      <c r="G292" s="3475">
        <v>0.15</v>
      </c>
    </row>
    <row r="293" spans="1:7">
      <c r="A293" s="3484" t="s">
        <v>1155</v>
      </c>
      <c r="B293" s="3473" t="s">
        <v>2959</v>
      </c>
      <c r="C293" s="3474">
        <v>0.15</v>
      </c>
      <c r="D293" s="3474">
        <v>0.15</v>
      </c>
      <c r="E293" s="3474">
        <v>0.15</v>
      </c>
      <c r="F293" s="3474">
        <v>0.14499999999999999</v>
      </c>
      <c r="G293" s="3475">
        <v>0.15</v>
      </c>
    </row>
    <row r="294" spans="1:7">
      <c r="A294" s="3484" t="s">
        <v>1155</v>
      </c>
      <c r="B294" s="3473" t="s">
        <v>3137</v>
      </c>
      <c r="C294" s="3474">
        <v>0.15</v>
      </c>
      <c r="D294" s="3474">
        <v>0.15</v>
      </c>
      <c r="E294" s="3474">
        <v>0.15</v>
      </c>
      <c r="F294" s="3474">
        <v>0.14899999999999999</v>
      </c>
      <c r="G294" s="3475">
        <v>0.15</v>
      </c>
    </row>
    <row r="295" spans="1:7">
      <c r="A295" s="3484" t="s">
        <v>1155</v>
      </c>
      <c r="B295" s="3473" t="s">
        <v>1138</v>
      </c>
      <c r="C295" s="3474">
        <v>0.15</v>
      </c>
      <c r="D295" s="3474">
        <v>0.15</v>
      </c>
      <c r="E295" s="3474">
        <v>0.15</v>
      </c>
      <c r="F295" s="3474">
        <v>0.14799999999999999</v>
      </c>
      <c r="G295" s="3475">
        <v>0.15</v>
      </c>
    </row>
    <row r="296" spans="1:7">
      <c r="A296" s="3484" t="s">
        <v>1155</v>
      </c>
      <c r="B296" s="3473" t="s">
        <v>1141</v>
      </c>
      <c r="C296" s="3474">
        <v>0.15</v>
      </c>
      <c r="D296" s="3474">
        <v>0.15</v>
      </c>
      <c r="E296" s="3474">
        <v>0.15</v>
      </c>
      <c r="F296" s="3474">
        <v>0.14399999999999999</v>
      </c>
      <c r="G296" s="3475">
        <v>0.15</v>
      </c>
    </row>
    <row r="297" spans="1:7">
      <c r="A297" s="3484" t="s">
        <v>1155</v>
      </c>
      <c r="B297" s="3473" t="s">
        <v>1143</v>
      </c>
      <c r="C297" s="3474">
        <v>0.15</v>
      </c>
      <c r="D297" s="3474">
        <v>0.15</v>
      </c>
      <c r="E297" s="3474">
        <v>0.15</v>
      </c>
      <c r="F297" s="3474">
        <v>0.14499999999999999</v>
      </c>
      <c r="G297" s="3475">
        <v>0.15</v>
      </c>
    </row>
    <row r="298" spans="1:7">
      <c r="A298" s="3484" t="s">
        <v>1155</v>
      </c>
      <c r="B298" s="3473" t="s">
        <v>1146</v>
      </c>
      <c r="C298" s="3474">
        <v>0.15</v>
      </c>
      <c r="D298" s="3474">
        <v>0.15</v>
      </c>
      <c r="E298" s="3474">
        <v>0.15</v>
      </c>
      <c r="F298" s="3474">
        <v>0.15</v>
      </c>
      <c r="G298" s="3475">
        <v>0.15</v>
      </c>
    </row>
    <row r="299" spans="1:7">
      <c r="A299" s="3484" t="s">
        <v>1155</v>
      </c>
      <c r="B299" s="3493" t="s">
        <v>2961</v>
      </c>
      <c r="C299" s="3474">
        <v>0.15</v>
      </c>
      <c r="D299" s="3474">
        <v>0.15</v>
      </c>
      <c r="E299" s="3474">
        <v>0.15</v>
      </c>
      <c r="F299" s="3474">
        <v>0.14499999999999999</v>
      </c>
      <c r="G299" s="3475">
        <v>0.15</v>
      </c>
    </row>
    <row r="300" spans="1:7">
      <c r="A300" s="3484" t="s">
        <v>1155</v>
      </c>
      <c r="B300" s="3493" t="s">
        <v>1118</v>
      </c>
      <c r="C300" s="3474">
        <v>0.15</v>
      </c>
      <c r="D300" s="3474">
        <v>0.15</v>
      </c>
      <c r="E300" s="3474">
        <v>0.15</v>
      </c>
      <c r="F300" s="3474">
        <v>0.14599999999999999</v>
      </c>
      <c r="G300" s="3475">
        <v>0.15</v>
      </c>
    </row>
    <row r="301" spans="1:7">
      <c r="A301" s="3484" t="s">
        <v>1155</v>
      </c>
      <c r="B301" s="3493" t="s">
        <v>1124</v>
      </c>
      <c r="C301" s="3474">
        <v>0.126</v>
      </c>
      <c r="D301" s="3474">
        <v>0.124</v>
      </c>
      <c r="E301" s="3474">
        <v>0.14099999999999999</v>
      </c>
      <c r="F301" s="3474">
        <v>0.14399999999999999</v>
      </c>
      <c r="G301" s="3475">
        <v>0.13</v>
      </c>
    </row>
    <row r="302" spans="1:7">
      <c r="A302" s="3484" t="s">
        <v>1155</v>
      </c>
      <c r="B302" s="3473" t="s">
        <v>3138</v>
      </c>
      <c r="C302" s="3474">
        <v>0.15</v>
      </c>
      <c r="D302" s="3474">
        <v>0.15</v>
      </c>
      <c r="E302" s="3474">
        <v>0.15</v>
      </c>
      <c r="F302" s="3474">
        <v>0.14699999999999999</v>
      </c>
      <c r="G302" s="3475">
        <v>0.15</v>
      </c>
    </row>
    <row r="303" spans="1:7">
      <c r="A303" s="3484" t="s">
        <v>1155</v>
      </c>
      <c r="B303" s="3473" t="s">
        <v>2963</v>
      </c>
      <c r="C303" s="3474">
        <v>0.15</v>
      </c>
      <c r="D303" s="3474">
        <v>0.15</v>
      </c>
      <c r="E303" s="3474">
        <v>0.15</v>
      </c>
      <c r="F303" s="3474">
        <v>0.14199999999999999</v>
      </c>
      <c r="G303" s="3475">
        <v>0.15</v>
      </c>
    </row>
    <row r="304" spans="1:7">
      <c r="A304" s="3484" t="s">
        <v>1155</v>
      </c>
      <c r="B304" s="3473" t="s">
        <v>2964</v>
      </c>
      <c r="C304" s="3474">
        <v>0.15</v>
      </c>
      <c r="D304" s="3474">
        <v>0.15</v>
      </c>
      <c r="E304" s="3474">
        <v>0.15</v>
      </c>
      <c r="F304" s="3474">
        <v>0.14499999999999999</v>
      </c>
      <c r="G304" s="3475">
        <v>0.15</v>
      </c>
    </row>
    <row r="305" spans="1:7">
      <c r="A305" s="3484" t="s">
        <v>1155</v>
      </c>
      <c r="B305" s="3473" t="s">
        <v>2965</v>
      </c>
      <c r="C305" s="3474">
        <v>0.15</v>
      </c>
      <c r="D305" s="3474">
        <v>0.15</v>
      </c>
      <c r="E305" s="3474">
        <v>0.15</v>
      </c>
      <c r="F305" s="3474">
        <v>0.111</v>
      </c>
      <c r="G305" s="3475">
        <v>0.15</v>
      </c>
    </row>
    <row r="306" spans="1:7">
      <c r="A306" s="3484" t="s">
        <v>1155</v>
      </c>
      <c r="B306" s="3473" t="s">
        <v>3139</v>
      </c>
      <c r="C306" s="3474">
        <v>0.15</v>
      </c>
      <c r="D306" s="3474">
        <v>0.15</v>
      </c>
      <c r="E306" s="3474">
        <v>0.15</v>
      </c>
      <c r="F306" s="3474">
        <v>0.126</v>
      </c>
      <c r="G306" s="3475">
        <v>0.15</v>
      </c>
    </row>
    <row r="307" spans="1:7">
      <c r="A307" s="3484" t="s">
        <v>1155</v>
      </c>
      <c r="B307" s="3473" t="s">
        <v>2967</v>
      </c>
      <c r="C307" s="3474">
        <v>0.15</v>
      </c>
      <c r="D307" s="3474">
        <v>0.15</v>
      </c>
      <c r="E307" s="3474">
        <v>0.15</v>
      </c>
      <c r="F307" s="3474">
        <v>0.12</v>
      </c>
      <c r="G307" s="3475">
        <v>0.15</v>
      </c>
    </row>
    <row r="308" spans="1:7">
      <c r="A308" s="3484" t="s">
        <v>1155</v>
      </c>
      <c r="B308" s="3473" t="s">
        <v>3140</v>
      </c>
      <c r="C308" s="3474">
        <v>0.15</v>
      </c>
      <c r="D308" s="3474">
        <v>0.15</v>
      </c>
      <c r="E308" s="3474">
        <v>0.15</v>
      </c>
      <c r="F308" s="3474">
        <v>0.13</v>
      </c>
      <c r="G308" s="3475">
        <v>0.15</v>
      </c>
    </row>
    <row r="309" spans="1:7">
      <c r="A309" s="3484" t="s">
        <v>1155</v>
      </c>
      <c r="B309" s="3473" t="s">
        <v>3141</v>
      </c>
      <c r="C309" s="3474">
        <v>0.15</v>
      </c>
      <c r="D309" s="3474">
        <v>0.15</v>
      </c>
      <c r="E309" s="3474">
        <v>0.15</v>
      </c>
      <c r="F309" s="3474">
        <v>0.14099999999999999</v>
      </c>
      <c r="G309" s="3475">
        <v>0.15</v>
      </c>
    </row>
    <row r="310" spans="1:7">
      <c r="A310" s="3484" t="s">
        <v>1155</v>
      </c>
      <c r="B310" s="3473" t="s">
        <v>2970</v>
      </c>
      <c r="C310" s="3474">
        <v>0.15</v>
      </c>
      <c r="D310" s="3474">
        <v>0.15</v>
      </c>
      <c r="E310" s="3474">
        <v>0.15</v>
      </c>
      <c r="F310" s="3474">
        <v>0.15</v>
      </c>
      <c r="G310" s="3475">
        <v>0.15</v>
      </c>
    </row>
    <row r="311" spans="1:7">
      <c r="A311" s="3484" t="s">
        <v>1155</v>
      </c>
      <c r="B311" s="3473" t="s">
        <v>3142</v>
      </c>
      <c r="C311" s="3474">
        <v>0.13200000000000001</v>
      </c>
      <c r="D311" s="3474">
        <v>0.13300000000000001</v>
      </c>
      <c r="E311" s="3474">
        <v>0.14499999999999999</v>
      </c>
      <c r="F311" s="3474">
        <v>0.14199999999999999</v>
      </c>
      <c r="G311" s="3475">
        <v>0.14000000000000001</v>
      </c>
    </row>
    <row r="312" spans="1:7">
      <c r="A312" s="3484" t="s">
        <v>1155</v>
      </c>
      <c r="B312" s="3473" t="s">
        <v>2972</v>
      </c>
      <c r="C312" s="3474">
        <v>0.13800000000000001</v>
      </c>
      <c r="D312" s="3474">
        <v>0.14000000000000001</v>
      </c>
      <c r="E312" s="3474">
        <v>0.14599999999999999</v>
      </c>
      <c r="F312" s="3474">
        <v>0.14899999999999999</v>
      </c>
      <c r="G312" s="3475">
        <v>0.14199999999999999</v>
      </c>
    </row>
    <row r="313" spans="1:7">
      <c r="A313" s="3484" t="s">
        <v>1155</v>
      </c>
      <c r="B313" s="3473" t="s">
        <v>2973</v>
      </c>
      <c r="C313" s="3474">
        <v>0.125</v>
      </c>
      <c r="D313" s="3474">
        <v>0.127</v>
      </c>
      <c r="E313" s="3474">
        <v>0.14399999999999999</v>
      </c>
      <c r="F313" s="3474">
        <v>0.115</v>
      </c>
      <c r="G313" s="3475">
        <v>0.13600000000000001</v>
      </c>
    </row>
    <row r="314" spans="1:7">
      <c r="A314" s="3484" t="s">
        <v>1155</v>
      </c>
      <c r="B314" s="3473" t="s">
        <v>3143</v>
      </c>
      <c r="C314" s="3490"/>
      <c r="D314" s="3490"/>
      <c r="E314" s="3490"/>
      <c r="F314" s="3474">
        <v>0.05</v>
      </c>
      <c r="G314" s="3491"/>
    </row>
    <row r="315" spans="1:7">
      <c r="A315" s="3484" t="s">
        <v>1155</v>
      </c>
      <c r="B315" s="3473" t="s">
        <v>3144</v>
      </c>
      <c r="C315" s="3490"/>
      <c r="D315" s="3490"/>
      <c r="E315" s="3490"/>
      <c r="F315" s="3474">
        <v>0.05</v>
      </c>
      <c r="G315" s="3491"/>
    </row>
    <row r="316" spans="1:7">
      <c r="A316" s="3484" t="s">
        <v>1155</v>
      </c>
      <c r="B316" s="3473" t="s">
        <v>3145</v>
      </c>
      <c r="C316" s="3485"/>
      <c r="D316" s="3485"/>
      <c r="E316" s="3485"/>
      <c r="F316" s="3474">
        <v>0.05</v>
      </c>
      <c r="G316" s="3491"/>
    </row>
    <row r="317" spans="1:7">
      <c r="A317" s="3484" t="s">
        <v>1155</v>
      </c>
      <c r="B317" s="3473" t="s">
        <v>3146</v>
      </c>
      <c r="C317" s="3485"/>
      <c r="D317" s="3485"/>
      <c r="E317" s="3485"/>
      <c r="F317" s="3474">
        <v>0.05</v>
      </c>
      <c r="G317" s="3491"/>
    </row>
    <row r="318" spans="1:7">
      <c r="A318" s="3484" t="s">
        <v>1155</v>
      </c>
      <c r="B318" s="3473" t="s">
        <v>3147</v>
      </c>
      <c r="C318" s="3485"/>
      <c r="D318" s="3485"/>
      <c r="E318" s="3485"/>
      <c r="F318" s="3474">
        <v>0.05</v>
      </c>
      <c r="G318" s="3491"/>
    </row>
    <row r="319" spans="1:7">
      <c r="A319" s="3484" t="s">
        <v>1155</v>
      </c>
      <c r="B319" s="3473" t="s">
        <v>3148</v>
      </c>
      <c r="C319" s="3485"/>
      <c r="D319" s="3485"/>
      <c r="E319" s="3485"/>
      <c r="F319" s="3474">
        <v>0.05</v>
      </c>
      <c r="G319" s="3491"/>
    </row>
    <row r="320" spans="1:7">
      <c r="A320" s="3484" t="s">
        <v>1155</v>
      </c>
      <c r="B320" s="3473" t="s">
        <v>3149</v>
      </c>
      <c r="C320" s="3485"/>
      <c r="D320" s="3485"/>
      <c r="E320" s="3485"/>
      <c r="F320" s="3474">
        <v>0.05</v>
      </c>
      <c r="G320" s="3491"/>
    </row>
    <row r="321" spans="1:7">
      <c r="A321" s="3484" t="s">
        <v>1155</v>
      </c>
      <c r="B321" s="3473" t="s">
        <v>3150</v>
      </c>
      <c r="C321" s="3485"/>
      <c r="D321" s="3485"/>
      <c r="E321" s="3485"/>
      <c r="F321" s="3474">
        <v>0.05</v>
      </c>
      <c r="G321" s="3491"/>
    </row>
    <row r="322" spans="1:7">
      <c r="A322" s="3484" t="s">
        <v>1155</v>
      </c>
      <c r="B322" s="3473" t="s">
        <v>3151</v>
      </c>
      <c r="C322" s="3485"/>
      <c r="D322" s="3485"/>
      <c r="E322" s="3485"/>
      <c r="F322" s="3474">
        <v>0.05</v>
      </c>
      <c r="G322" s="3491"/>
    </row>
    <row r="323" spans="1:7">
      <c r="A323" s="3484" t="s">
        <v>1155</v>
      </c>
      <c r="B323" s="3473" t="s">
        <v>3152</v>
      </c>
      <c r="C323" s="3485"/>
      <c r="D323" s="3485"/>
      <c r="E323" s="3485"/>
      <c r="F323" s="3474">
        <v>0.05</v>
      </c>
      <c r="G323" s="3491"/>
    </row>
    <row r="324" spans="1:7">
      <c r="A324" s="3484" t="s">
        <v>1155</v>
      </c>
      <c r="B324" s="3473" t="s">
        <v>3153</v>
      </c>
      <c r="C324" s="3485"/>
      <c r="D324" s="3485"/>
      <c r="E324" s="3485"/>
      <c r="F324" s="3474">
        <v>0.05</v>
      </c>
      <c r="G324" s="3491"/>
    </row>
    <row r="325" spans="1:7">
      <c r="A325" s="3484" t="s">
        <v>1155</v>
      </c>
      <c r="B325" s="3473" t="s">
        <v>3154</v>
      </c>
      <c r="C325" s="3485"/>
      <c r="D325" s="3485"/>
      <c r="E325" s="3485"/>
      <c r="F325" s="3474">
        <v>0.05</v>
      </c>
      <c r="G325" s="3491"/>
    </row>
    <row r="326" spans="1:7" ht="14.25" thickBot="1">
      <c r="A326" s="3487" t="s">
        <v>1155</v>
      </c>
      <c r="B326" s="3477" t="s">
        <v>3155</v>
      </c>
      <c r="C326" s="3479"/>
      <c r="D326" s="3479"/>
      <c r="E326" s="3479"/>
      <c r="F326" s="3478">
        <v>0.05</v>
      </c>
      <c r="G326" s="3492"/>
    </row>
    <row r="327" spans="1:7">
      <c r="A327" s="3483" t="s">
        <v>1156</v>
      </c>
      <c r="B327" s="3469" t="s">
        <v>3156</v>
      </c>
      <c r="C327" s="3470">
        <v>0.15</v>
      </c>
      <c r="D327" s="3470">
        <v>0.15</v>
      </c>
      <c r="E327" s="3470">
        <v>0.15</v>
      </c>
      <c r="F327" s="3470">
        <v>0.15</v>
      </c>
      <c r="G327" s="3471">
        <v>0.15</v>
      </c>
    </row>
    <row r="328" spans="1:7">
      <c r="A328" s="3484" t="s">
        <v>1156</v>
      </c>
      <c r="B328" s="3473" t="s">
        <v>980</v>
      </c>
      <c r="C328" s="3474">
        <v>0.15</v>
      </c>
      <c r="D328" s="3474">
        <v>0.15</v>
      </c>
      <c r="E328" s="3474">
        <v>0.15</v>
      </c>
      <c r="F328" s="3474">
        <v>0.126</v>
      </c>
      <c r="G328" s="3475">
        <v>0.15</v>
      </c>
    </row>
    <row r="329" spans="1:7">
      <c r="A329" s="3484" t="s">
        <v>1156</v>
      </c>
      <c r="B329" s="3473" t="s">
        <v>3157</v>
      </c>
      <c r="C329" s="3474">
        <v>0.15</v>
      </c>
      <c r="D329" s="3474">
        <v>0.15</v>
      </c>
      <c r="E329" s="3474">
        <v>0.15</v>
      </c>
      <c r="F329" s="3474">
        <v>0.15</v>
      </c>
      <c r="G329" s="3475">
        <v>0.15</v>
      </c>
    </row>
    <row r="330" spans="1:7">
      <c r="A330" s="3484" t="s">
        <v>1156</v>
      </c>
      <c r="B330" s="3473" t="s">
        <v>3158</v>
      </c>
      <c r="C330" s="3474">
        <v>0.15</v>
      </c>
      <c r="D330" s="3474">
        <v>0.15</v>
      </c>
      <c r="E330" s="3474">
        <v>0.15</v>
      </c>
      <c r="F330" s="3474">
        <v>0.15</v>
      </c>
      <c r="G330" s="3475">
        <v>0.15</v>
      </c>
    </row>
    <row r="331" spans="1:7">
      <c r="A331" s="3484" t="s">
        <v>1156</v>
      </c>
      <c r="B331" s="3473" t="s">
        <v>1007</v>
      </c>
      <c r="C331" s="3474">
        <v>0.15</v>
      </c>
      <c r="D331" s="3474">
        <v>0.15</v>
      </c>
      <c r="E331" s="3474">
        <v>0.15</v>
      </c>
      <c r="F331" s="3474">
        <v>0.15</v>
      </c>
      <c r="G331" s="3475">
        <v>0.15</v>
      </c>
    </row>
    <row r="332" spans="1:7">
      <c r="A332" s="3484" t="s">
        <v>1156</v>
      </c>
      <c r="B332" s="3473" t="s">
        <v>2990</v>
      </c>
      <c r="C332" s="3474">
        <v>0.15</v>
      </c>
      <c r="D332" s="3474">
        <v>0.15</v>
      </c>
      <c r="E332" s="3474">
        <v>0.15</v>
      </c>
      <c r="F332" s="3474">
        <v>0.15</v>
      </c>
      <c r="G332" s="3475">
        <v>0.15</v>
      </c>
    </row>
    <row r="333" spans="1:7">
      <c r="A333" s="3484" t="s">
        <v>1156</v>
      </c>
      <c r="B333" s="3473" t="s">
        <v>3159</v>
      </c>
      <c r="C333" s="3474">
        <v>0.14899999999999999</v>
      </c>
      <c r="D333" s="3474">
        <v>0.14899999999999999</v>
      </c>
      <c r="E333" s="3474">
        <v>0.15</v>
      </c>
      <c r="F333" s="3474">
        <v>0.11600000000000001</v>
      </c>
      <c r="G333" s="3475">
        <v>0.15</v>
      </c>
    </row>
    <row r="334" spans="1:7">
      <c r="A334" s="3484" t="s">
        <v>1156</v>
      </c>
      <c r="B334" s="3473" t="s">
        <v>1029</v>
      </c>
      <c r="C334" s="3474">
        <v>0.15</v>
      </c>
      <c r="D334" s="3474">
        <v>0.15</v>
      </c>
      <c r="E334" s="3474">
        <v>0.15</v>
      </c>
      <c r="F334" s="3474">
        <v>0.13</v>
      </c>
      <c r="G334" s="3475">
        <v>0.15</v>
      </c>
    </row>
    <row r="335" spans="1:7">
      <c r="A335" s="3484" t="s">
        <v>1156</v>
      </c>
      <c r="B335" s="3473" t="s">
        <v>1039</v>
      </c>
      <c r="C335" s="3474">
        <v>0.15</v>
      </c>
      <c r="D335" s="3474">
        <v>0.15</v>
      </c>
      <c r="E335" s="3474">
        <v>0.15</v>
      </c>
      <c r="F335" s="3474">
        <v>0.14399999999999999</v>
      </c>
      <c r="G335" s="3475">
        <v>0.15</v>
      </c>
    </row>
    <row r="336" spans="1:7">
      <c r="A336" s="3484" t="s">
        <v>1156</v>
      </c>
      <c r="B336" s="3473" t="s">
        <v>2992</v>
      </c>
      <c r="C336" s="3474">
        <v>0.15</v>
      </c>
      <c r="D336" s="3474">
        <v>0.15</v>
      </c>
      <c r="E336" s="3474">
        <v>0.15</v>
      </c>
      <c r="F336" s="3474">
        <v>0.14199999999999999</v>
      </c>
      <c r="G336" s="3475">
        <v>0.15</v>
      </c>
    </row>
    <row r="337" spans="1:7">
      <c r="A337" s="3484" t="s">
        <v>1156</v>
      </c>
      <c r="B337" s="3473" t="s">
        <v>3160</v>
      </c>
      <c r="C337" s="3474">
        <v>0.15</v>
      </c>
      <c r="D337" s="3474">
        <v>0.15</v>
      </c>
      <c r="E337" s="3474">
        <v>0.15</v>
      </c>
      <c r="F337" s="3474">
        <v>0.14499999999999999</v>
      </c>
      <c r="G337" s="3475">
        <v>0.15</v>
      </c>
    </row>
    <row r="338" spans="1:7">
      <c r="A338" s="3484" t="s">
        <v>1156</v>
      </c>
      <c r="B338" s="3473" t="s">
        <v>1067</v>
      </c>
      <c r="C338" s="3474">
        <v>0.15</v>
      </c>
      <c r="D338" s="3474">
        <v>0.15</v>
      </c>
      <c r="E338" s="3474">
        <v>0.15</v>
      </c>
      <c r="F338" s="3474">
        <v>0.15</v>
      </c>
      <c r="G338" s="3475">
        <v>0.15</v>
      </c>
    </row>
    <row r="339" spans="1:7">
      <c r="A339" s="3484" t="s">
        <v>1156</v>
      </c>
      <c r="B339" s="3473" t="s">
        <v>1075</v>
      </c>
      <c r="C339" s="3474">
        <v>0.15</v>
      </c>
      <c r="D339" s="3474">
        <v>0.15</v>
      </c>
      <c r="E339" s="3474">
        <v>0.15</v>
      </c>
      <c r="F339" s="3474">
        <v>0.14699999999999999</v>
      </c>
      <c r="G339" s="3475">
        <v>0.15</v>
      </c>
    </row>
    <row r="340" spans="1:7">
      <c r="A340" s="3484" t="s">
        <v>1156</v>
      </c>
      <c r="B340" s="3473" t="s">
        <v>3161</v>
      </c>
      <c r="C340" s="3474">
        <v>0.14599999999999999</v>
      </c>
      <c r="D340" s="3474">
        <v>0.14599999999999999</v>
      </c>
      <c r="E340" s="3474">
        <v>0.15</v>
      </c>
      <c r="F340" s="3474">
        <v>0.14099999999999999</v>
      </c>
      <c r="G340" s="3475">
        <v>0.14699999999999999</v>
      </c>
    </row>
    <row r="341" spans="1:7">
      <c r="A341" s="3484" t="s">
        <v>1156</v>
      </c>
      <c r="B341" s="3473" t="s">
        <v>1053</v>
      </c>
      <c r="C341" s="3474">
        <v>0.126</v>
      </c>
      <c r="D341" s="3474">
        <v>0.124</v>
      </c>
      <c r="E341" s="3474">
        <v>0.14099999999999999</v>
      </c>
      <c r="F341" s="3474">
        <v>0.14399999999999999</v>
      </c>
      <c r="G341" s="3475">
        <v>0.13</v>
      </c>
    </row>
    <row r="342" spans="1:7">
      <c r="A342" s="3484" t="s">
        <v>1156</v>
      </c>
      <c r="B342" s="3473" t="s">
        <v>3162</v>
      </c>
      <c r="C342" s="3474">
        <v>0.15</v>
      </c>
      <c r="D342" s="3474">
        <v>0.15</v>
      </c>
      <c r="E342" s="3474">
        <v>0.15</v>
      </c>
      <c r="F342" s="3474">
        <v>0.14399999999999999</v>
      </c>
      <c r="G342" s="3475">
        <v>0.15</v>
      </c>
    </row>
    <row r="343" spans="1:7">
      <c r="A343" s="3484" t="s">
        <v>1156</v>
      </c>
      <c r="B343" s="3473" t="s">
        <v>1104</v>
      </c>
      <c r="C343" s="3474">
        <v>0.15</v>
      </c>
      <c r="D343" s="3474">
        <v>0.15</v>
      </c>
      <c r="E343" s="3474">
        <v>0.15</v>
      </c>
      <c r="F343" s="3474">
        <v>0.128</v>
      </c>
      <c r="G343" s="3475">
        <v>0.15</v>
      </c>
    </row>
    <row r="344" spans="1:7">
      <c r="A344" s="3484" t="s">
        <v>1156</v>
      </c>
      <c r="B344" s="3473" t="s">
        <v>1112</v>
      </c>
      <c r="C344" s="3474">
        <v>0.15</v>
      </c>
      <c r="D344" s="3474">
        <v>0.15</v>
      </c>
      <c r="E344" s="3474">
        <v>0.15</v>
      </c>
      <c r="F344" s="3474">
        <v>0.14799999999999999</v>
      </c>
      <c r="G344" s="3475">
        <v>0.15</v>
      </c>
    </row>
    <row r="345" spans="1:7">
      <c r="A345" s="3484" t="s">
        <v>1156</v>
      </c>
      <c r="B345" s="3473" t="s">
        <v>2996</v>
      </c>
      <c r="C345" s="3474">
        <v>0.15</v>
      </c>
      <c r="D345" s="3474">
        <v>0.15</v>
      </c>
      <c r="E345" s="3474">
        <v>0.15</v>
      </c>
      <c r="F345" s="3474">
        <v>0.13800000000000001</v>
      </c>
      <c r="G345" s="3475">
        <v>0.15</v>
      </c>
    </row>
    <row r="346" spans="1:7">
      <c r="A346" s="3484" t="s">
        <v>1156</v>
      </c>
      <c r="B346" s="3473" t="s">
        <v>3163</v>
      </c>
      <c r="C346" s="3474">
        <v>0.15</v>
      </c>
      <c r="D346" s="3474">
        <v>0.15</v>
      </c>
      <c r="E346" s="3474">
        <v>0.15</v>
      </c>
      <c r="F346" s="3474">
        <v>0.14399999999999999</v>
      </c>
      <c r="G346" s="3475">
        <v>0.15</v>
      </c>
    </row>
    <row r="347" spans="1:7">
      <c r="A347" s="3484" t="s">
        <v>1156</v>
      </c>
      <c r="B347" s="3473" t="s">
        <v>1090</v>
      </c>
      <c r="C347" s="3474">
        <v>0.15</v>
      </c>
      <c r="D347" s="3474">
        <v>0.15</v>
      </c>
      <c r="E347" s="3474">
        <v>0.15</v>
      </c>
      <c r="F347" s="3474">
        <v>0.14599999999999999</v>
      </c>
      <c r="G347" s="3475">
        <v>0.15</v>
      </c>
    </row>
    <row r="348" spans="1:7">
      <c r="A348" s="3484" t="s">
        <v>1156</v>
      </c>
      <c r="B348" s="3473" t="s">
        <v>2998</v>
      </c>
      <c r="C348" s="3474">
        <v>0.15</v>
      </c>
      <c r="D348" s="3474">
        <v>0.15</v>
      </c>
      <c r="E348" s="3474">
        <v>0.15</v>
      </c>
      <c r="F348" s="3474">
        <v>0.14399999999999999</v>
      </c>
      <c r="G348" s="3475">
        <v>0.15</v>
      </c>
    </row>
    <row r="349" spans="1:7">
      <c r="A349" s="3484" t="s">
        <v>1156</v>
      </c>
      <c r="B349" s="3473" t="s">
        <v>2999</v>
      </c>
      <c r="C349" s="3474">
        <v>0.15</v>
      </c>
      <c r="D349" s="3474">
        <v>0.15</v>
      </c>
      <c r="E349" s="3474">
        <v>0.15</v>
      </c>
      <c r="F349" s="3474">
        <v>0.15</v>
      </c>
      <c r="G349" s="3475">
        <v>0.15</v>
      </c>
    </row>
    <row r="350" spans="1:7">
      <c r="A350" s="3484" t="s">
        <v>1156</v>
      </c>
      <c r="B350" s="3473" t="s">
        <v>3164</v>
      </c>
      <c r="C350" s="3474">
        <v>0.15</v>
      </c>
      <c r="D350" s="3474">
        <v>0.15</v>
      </c>
      <c r="E350" s="3474">
        <v>0.15</v>
      </c>
      <c r="F350" s="3474">
        <v>0.14699999999999999</v>
      </c>
      <c r="G350" s="3475">
        <v>0.15</v>
      </c>
    </row>
    <row r="351" spans="1:7">
      <c r="A351" s="3484" t="s">
        <v>1156</v>
      </c>
      <c r="B351" s="3473" t="s">
        <v>3001</v>
      </c>
      <c r="C351" s="3474">
        <v>0.15</v>
      </c>
      <c r="D351" s="3474">
        <v>0.15</v>
      </c>
      <c r="E351" s="3474">
        <v>0.15</v>
      </c>
      <c r="F351" s="3474">
        <v>0.13</v>
      </c>
      <c r="G351" s="3475">
        <v>0.15</v>
      </c>
    </row>
    <row r="352" spans="1:7">
      <c r="A352" s="3484" t="s">
        <v>1156</v>
      </c>
      <c r="B352" s="3473" t="s">
        <v>3002</v>
      </c>
      <c r="C352" s="3474">
        <v>0.15</v>
      </c>
      <c r="D352" s="3474">
        <v>0.15</v>
      </c>
      <c r="E352" s="3474">
        <v>0.15</v>
      </c>
      <c r="F352" s="3474">
        <v>0.14599999999999999</v>
      </c>
      <c r="G352" s="3475">
        <v>0.15</v>
      </c>
    </row>
    <row r="353" spans="1:7">
      <c r="A353" s="3484" t="s">
        <v>1156</v>
      </c>
      <c r="B353" s="3473" t="s">
        <v>3165</v>
      </c>
      <c r="C353" s="3474">
        <v>0.15</v>
      </c>
      <c r="D353" s="3474">
        <v>0.15</v>
      </c>
      <c r="E353" s="3474">
        <v>0.15</v>
      </c>
      <c r="F353" s="3474">
        <v>0.14499999999999999</v>
      </c>
      <c r="G353" s="3475">
        <v>0.15</v>
      </c>
    </row>
    <row r="354" spans="1:7">
      <c r="A354" s="3484" t="s">
        <v>1156</v>
      </c>
      <c r="B354" s="3473" t="s">
        <v>1128</v>
      </c>
      <c r="C354" s="3474">
        <v>0.15</v>
      </c>
      <c r="D354" s="3474">
        <v>0.15</v>
      </c>
      <c r="E354" s="3474">
        <v>0.15</v>
      </c>
      <c r="F354" s="3474">
        <v>0.14099999999999999</v>
      </c>
      <c r="G354" s="3475">
        <v>0.15</v>
      </c>
    </row>
    <row r="355" spans="1:7">
      <c r="A355" s="3484" t="s">
        <v>1156</v>
      </c>
      <c r="B355" s="3473" t="s">
        <v>3004</v>
      </c>
      <c r="C355" s="3474">
        <v>0.15</v>
      </c>
      <c r="D355" s="3474">
        <v>0.15</v>
      </c>
      <c r="E355" s="3474">
        <v>0.15</v>
      </c>
      <c r="F355" s="3474">
        <v>0.15</v>
      </c>
      <c r="G355" s="3475">
        <v>0.15</v>
      </c>
    </row>
    <row r="356" spans="1:7">
      <c r="A356" s="3484" t="s">
        <v>1156</v>
      </c>
      <c r="B356" s="3473" t="s">
        <v>3005</v>
      </c>
      <c r="C356" s="3474">
        <v>0.15</v>
      </c>
      <c r="D356" s="3474">
        <v>0.15</v>
      </c>
      <c r="E356" s="3474">
        <v>0.15</v>
      </c>
      <c r="F356" s="3474">
        <v>0.15</v>
      </c>
      <c r="G356" s="3475">
        <v>0.15</v>
      </c>
    </row>
    <row r="357" spans="1:7" ht="14.25" thickBot="1">
      <c r="A357" s="3487" t="s">
        <v>1156</v>
      </c>
      <c r="B357" s="3477" t="s">
        <v>3166</v>
      </c>
      <c r="C357" s="3478">
        <v>0.126</v>
      </c>
      <c r="D357" s="3478">
        <v>0.127</v>
      </c>
      <c r="E357" s="3478">
        <v>0.14299999999999999</v>
      </c>
      <c r="F357" s="3478">
        <v>0.125</v>
      </c>
      <c r="G357" s="3480">
        <v>0.129</v>
      </c>
    </row>
    <row r="358" spans="1:7">
      <c r="A358" s="3483" t="s">
        <v>3167</v>
      </c>
      <c r="B358" s="3469" t="s">
        <v>3168</v>
      </c>
      <c r="C358" s="3470">
        <v>0.15</v>
      </c>
      <c r="D358" s="3470">
        <v>0.15</v>
      </c>
      <c r="E358" s="3470">
        <v>0.15</v>
      </c>
      <c r="F358" s="3470">
        <v>0.15</v>
      </c>
      <c r="G358" s="3471">
        <v>0.15</v>
      </c>
    </row>
    <row r="359" spans="1:7">
      <c r="A359" s="3484" t="s">
        <v>3167</v>
      </c>
      <c r="B359" s="3473" t="s">
        <v>3169</v>
      </c>
      <c r="C359" s="3474">
        <v>0.1</v>
      </c>
      <c r="D359" s="3474">
        <v>0.1</v>
      </c>
      <c r="E359" s="3474">
        <v>0.1</v>
      </c>
      <c r="F359" s="3474">
        <v>0.1</v>
      </c>
      <c r="G359" s="3475">
        <v>0.1</v>
      </c>
    </row>
    <row r="360" spans="1:7">
      <c r="A360" s="3484" t="s">
        <v>3167</v>
      </c>
      <c r="B360" s="3473" t="s">
        <v>3170</v>
      </c>
      <c r="C360" s="3474">
        <v>0.15</v>
      </c>
      <c r="D360" s="3474">
        <v>0.15</v>
      </c>
      <c r="E360" s="3474">
        <v>0.15</v>
      </c>
      <c r="F360" s="3474">
        <v>0.14899999999999999</v>
      </c>
      <c r="G360" s="3475">
        <v>0.15</v>
      </c>
    </row>
    <row r="361" spans="1:7">
      <c r="A361" s="3484" t="s">
        <v>3167</v>
      </c>
      <c r="B361" s="3473" t="s">
        <v>998</v>
      </c>
      <c r="C361" s="3474">
        <v>0.15</v>
      </c>
      <c r="D361" s="3474">
        <v>0.15</v>
      </c>
      <c r="E361" s="3474">
        <v>0.15</v>
      </c>
      <c r="F361" s="3474">
        <v>0.115</v>
      </c>
      <c r="G361" s="3475">
        <v>0.15</v>
      </c>
    </row>
    <row r="362" spans="1:7">
      <c r="A362" s="3484" t="s">
        <v>3167</v>
      </c>
      <c r="B362" s="3473" t="s">
        <v>3171</v>
      </c>
      <c r="C362" s="3474">
        <v>0.15</v>
      </c>
      <c r="D362" s="3474">
        <v>0.15</v>
      </c>
      <c r="E362" s="3474">
        <v>0.15</v>
      </c>
      <c r="F362" s="3474">
        <v>0.106</v>
      </c>
      <c r="G362" s="3475">
        <v>0.15</v>
      </c>
    </row>
    <row r="363" spans="1:7">
      <c r="A363" s="3484" t="s">
        <v>3167</v>
      </c>
      <c r="B363" s="3473" t="s">
        <v>3011</v>
      </c>
      <c r="C363" s="3474">
        <v>0.15</v>
      </c>
      <c r="D363" s="3474">
        <v>0.15</v>
      </c>
      <c r="E363" s="3474">
        <v>0.15</v>
      </c>
      <c r="F363" s="3474">
        <v>0.14699999999999999</v>
      </c>
      <c r="G363" s="3475">
        <v>0.15</v>
      </c>
    </row>
    <row r="364" spans="1:7">
      <c r="A364" s="3484" t="s">
        <v>3167</v>
      </c>
      <c r="B364" s="3473" t="s">
        <v>3172</v>
      </c>
      <c r="C364" s="3474">
        <v>0.15</v>
      </c>
      <c r="D364" s="3474">
        <v>0.15</v>
      </c>
      <c r="E364" s="3474">
        <v>0.15</v>
      </c>
      <c r="F364" s="3474">
        <v>0.14799999999999999</v>
      </c>
      <c r="G364" s="3475">
        <v>0.15</v>
      </c>
    </row>
    <row r="365" spans="1:7">
      <c r="A365" s="3484" t="s">
        <v>3167</v>
      </c>
      <c r="B365" s="3473" t="s">
        <v>1046</v>
      </c>
      <c r="C365" s="3474">
        <v>0.15</v>
      </c>
      <c r="D365" s="3474">
        <v>0.15</v>
      </c>
      <c r="E365" s="3474">
        <v>0.15</v>
      </c>
      <c r="F365" s="3474">
        <v>0.15</v>
      </c>
      <c r="G365" s="3475">
        <v>0.15</v>
      </c>
    </row>
    <row r="366" spans="1:7">
      <c r="A366" s="3484" t="s">
        <v>3167</v>
      </c>
      <c r="B366" s="3473" t="s">
        <v>3013</v>
      </c>
      <c r="C366" s="3474">
        <v>0.15</v>
      </c>
      <c r="D366" s="3474">
        <v>0.15</v>
      </c>
      <c r="E366" s="3474">
        <v>0.15</v>
      </c>
      <c r="F366" s="3474">
        <v>0.15</v>
      </c>
      <c r="G366" s="3475">
        <v>0.15</v>
      </c>
    </row>
    <row r="367" spans="1:7">
      <c r="A367" s="3484" t="s">
        <v>3167</v>
      </c>
      <c r="B367" s="3473" t="s">
        <v>3173</v>
      </c>
      <c r="C367" s="3474">
        <v>0.15</v>
      </c>
      <c r="D367" s="3474">
        <v>0.15</v>
      </c>
      <c r="E367" s="3474">
        <v>0.15</v>
      </c>
      <c r="F367" s="3474">
        <v>0.14699999999999999</v>
      </c>
      <c r="G367" s="3475">
        <v>0.15</v>
      </c>
    </row>
    <row r="368" spans="1:7">
      <c r="A368" s="3484" t="s">
        <v>3167</v>
      </c>
      <c r="B368" s="3473" t="s">
        <v>3174</v>
      </c>
      <c r="C368" s="3474">
        <v>0.15</v>
      </c>
      <c r="D368" s="3474">
        <v>0.15</v>
      </c>
      <c r="E368" s="3474">
        <v>0.15</v>
      </c>
      <c r="F368" s="3474">
        <v>0.13600000000000001</v>
      </c>
      <c r="G368" s="3475">
        <v>0.15</v>
      </c>
    </row>
    <row r="369" spans="1:7">
      <c r="A369" s="3484" t="s">
        <v>3167</v>
      </c>
      <c r="B369" s="3473" t="s">
        <v>1060</v>
      </c>
      <c r="C369" s="3474">
        <v>0.15</v>
      </c>
      <c r="D369" s="3474">
        <v>0.15</v>
      </c>
      <c r="E369" s="3474">
        <v>0.15</v>
      </c>
      <c r="F369" s="3474">
        <v>0.14399999999999999</v>
      </c>
      <c r="G369" s="3475">
        <v>0.15</v>
      </c>
    </row>
    <row r="370" spans="1:7">
      <c r="A370" s="3484" t="s">
        <v>3167</v>
      </c>
      <c r="B370" s="3473" t="s">
        <v>1068</v>
      </c>
      <c r="C370" s="3474">
        <v>0.15</v>
      </c>
      <c r="D370" s="3474">
        <v>0.15</v>
      </c>
      <c r="E370" s="3474">
        <v>0.15</v>
      </c>
      <c r="F370" s="3474">
        <v>0.14599999999999999</v>
      </c>
      <c r="G370" s="3475">
        <v>0.15</v>
      </c>
    </row>
    <row r="371" spans="1:7">
      <c r="A371" s="3484" t="s">
        <v>3167</v>
      </c>
      <c r="B371" s="3473" t="s">
        <v>1076</v>
      </c>
      <c r="C371" s="3474">
        <v>0.15</v>
      </c>
      <c r="D371" s="3474">
        <v>0.15</v>
      </c>
      <c r="E371" s="3474">
        <v>0.15</v>
      </c>
      <c r="F371" s="3474">
        <v>0.12</v>
      </c>
      <c r="G371" s="3475">
        <v>0.15</v>
      </c>
    </row>
    <row r="372" spans="1:7">
      <c r="A372" s="3484" t="s">
        <v>3167</v>
      </c>
      <c r="B372" s="3473" t="s">
        <v>3175</v>
      </c>
      <c r="C372" s="3474">
        <v>0.15</v>
      </c>
      <c r="D372" s="3474">
        <v>0.15</v>
      </c>
      <c r="E372" s="3474">
        <v>0.15</v>
      </c>
      <c r="F372" s="3474">
        <v>0.14299999999999999</v>
      </c>
      <c r="G372" s="3475">
        <v>0.15</v>
      </c>
    </row>
    <row r="373" spans="1:7">
      <c r="A373" s="3484" t="s">
        <v>3167</v>
      </c>
      <c r="B373" s="3473" t="s">
        <v>1105</v>
      </c>
      <c r="C373" s="3474">
        <v>0.15</v>
      </c>
      <c r="D373" s="3474">
        <v>0.15</v>
      </c>
      <c r="E373" s="3474">
        <v>0.15</v>
      </c>
      <c r="F373" s="3474">
        <v>0.14599999999999999</v>
      </c>
      <c r="G373" s="3475">
        <v>0.15</v>
      </c>
    </row>
    <row r="374" spans="1:7">
      <c r="A374" s="3484" t="s">
        <v>3167</v>
      </c>
      <c r="B374" s="3473" t="s">
        <v>1113</v>
      </c>
      <c r="C374" s="3474">
        <v>0.15</v>
      </c>
      <c r="D374" s="3474">
        <v>0.15</v>
      </c>
      <c r="E374" s="3474">
        <v>0.15</v>
      </c>
      <c r="F374" s="3474">
        <v>0.14399999999999999</v>
      </c>
      <c r="G374" s="3475">
        <v>0.15</v>
      </c>
    </row>
    <row r="375" spans="1:7">
      <c r="A375" s="3484" t="s">
        <v>3167</v>
      </c>
      <c r="B375" s="3473" t="s">
        <v>3176</v>
      </c>
      <c r="C375" s="3474">
        <v>0.15</v>
      </c>
      <c r="D375" s="3474">
        <v>0.15</v>
      </c>
      <c r="E375" s="3474">
        <v>0.15</v>
      </c>
      <c r="F375" s="3474">
        <v>0.13</v>
      </c>
      <c r="G375" s="3475">
        <v>0.15</v>
      </c>
    </row>
    <row r="376" spans="1:7">
      <c r="A376" s="3484" t="s">
        <v>3167</v>
      </c>
      <c r="B376" s="3473" t="s">
        <v>1125</v>
      </c>
      <c r="C376" s="3474">
        <v>0.15</v>
      </c>
      <c r="D376" s="3474">
        <v>0.15</v>
      </c>
      <c r="E376" s="3474">
        <v>0.15</v>
      </c>
      <c r="F376" s="3474">
        <v>0.14199999999999999</v>
      </c>
      <c r="G376" s="3475">
        <v>0.15</v>
      </c>
    </row>
    <row r="377" spans="1:7" ht="14.25" thickBot="1">
      <c r="A377" s="3487" t="s">
        <v>3167</v>
      </c>
      <c r="B377" s="3477" t="s">
        <v>3018</v>
      </c>
      <c r="C377" s="3478">
        <v>0.15</v>
      </c>
      <c r="D377" s="3478">
        <v>0.15</v>
      </c>
      <c r="E377" s="3478">
        <v>0.15</v>
      </c>
      <c r="F377" s="3478">
        <v>0.14000000000000001</v>
      </c>
      <c r="G377" s="3480">
        <v>0.15</v>
      </c>
    </row>
    <row r="378" spans="1:7">
      <c r="A378" s="3483" t="s">
        <v>3177</v>
      </c>
      <c r="B378" s="3469" t="s">
        <v>3178</v>
      </c>
      <c r="C378" s="3470">
        <v>0.15</v>
      </c>
      <c r="D378" s="3470">
        <v>0.15</v>
      </c>
      <c r="E378" s="3470">
        <v>0.15</v>
      </c>
      <c r="F378" s="3470">
        <v>0.107</v>
      </c>
      <c r="G378" s="3471">
        <v>0.15</v>
      </c>
    </row>
    <row r="379" spans="1:7">
      <c r="A379" s="3484" t="s">
        <v>3177</v>
      </c>
      <c r="B379" s="3473" t="s">
        <v>3179</v>
      </c>
      <c r="C379" s="3474">
        <v>0.15</v>
      </c>
      <c r="D379" s="3474">
        <v>0.15</v>
      </c>
      <c r="E379" s="3474">
        <v>0.15</v>
      </c>
      <c r="F379" s="3474">
        <v>0.115</v>
      </c>
      <c r="G379" s="3475">
        <v>0.14899999999999999</v>
      </c>
    </row>
    <row r="380" spans="1:7">
      <c r="A380" s="3484" t="s">
        <v>3180</v>
      </c>
      <c r="B380" s="3473" t="s">
        <v>3181</v>
      </c>
      <c r="C380" s="3474">
        <v>0.15</v>
      </c>
      <c r="D380" s="3474">
        <v>0.15</v>
      </c>
      <c r="E380" s="3474">
        <v>0.15</v>
      </c>
      <c r="F380" s="3474">
        <v>0.1</v>
      </c>
      <c r="G380" s="3475">
        <v>0.14799999999999999</v>
      </c>
    </row>
    <row r="381" spans="1:7">
      <c r="A381" s="3484" t="s">
        <v>3180</v>
      </c>
      <c r="B381" s="3473" t="s">
        <v>3182</v>
      </c>
      <c r="C381" s="3474">
        <v>0.15</v>
      </c>
      <c r="D381" s="3474">
        <v>0.15</v>
      </c>
      <c r="E381" s="3474">
        <v>0.15</v>
      </c>
      <c r="F381" s="3474">
        <v>0.126</v>
      </c>
      <c r="G381" s="3475">
        <v>0.15</v>
      </c>
    </row>
    <row r="382" spans="1:7">
      <c r="A382" s="3484" t="s">
        <v>3180</v>
      </c>
      <c r="B382" s="3473" t="s">
        <v>3183</v>
      </c>
      <c r="C382" s="3474">
        <v>0.15</v>
      </c>
      <c r="D382" s="3474">
        <v>0.15</v>
      </c>
      <c r="E382" s="3474">
        <v>0.15</v>
      </c>
      <c r="F382" s="3474">
        <v>0.15</v>
      </c>
      <c r="G382" s="3475">
        <v>0.15</v>
      </c>
    </row>
    <row r="383" spans="1:7">
      <c r="A383" s="3484" t="s">
        <v>3180</v>
      </c>
      <c r="B383" s="3473" t="s">
        <v>3184</v>
      </c>
      <c r="C383" s="3474">
        <v>0.15</v>
      </c>
      <c r="D383" s="3474">
        <v>0.15</v>
      </c>
      <c r="E383" s="3474">
        <v>0.15</v>
      </c>
      <c r="F383" s="3474">
        <v>0.14699999999999999</v>
      </c>
      <c r="G383" s="3475">
        <v>0.15</v>
      </c>
    </row>
    <row r="384" spans="1:7" ht="14.25" thickBot="1">
      <c r="A384" s="3494" t="s">
        <v>3180</v>
      </c>
      <c r="B384" s="3495" t="s">
        <v>3185</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71" t="s">
        <v>1855</v>
      </c>
      <c r="C1" s="3971"/>
      <c r="D1" s="3971"/>
      <c r="E1" s="3971"/>
      <c r="F1" s="3971"/>
      <c r="G1" s="3970" t="s">
        <v>1856</v>
      </c>
      <c r="H1" s="3970"/>
      <c r="I1" s="3970"/>
      <c r="J1" s="3970"/>
      <c r="K1" s="3970"/>
      <c r="L1" s="3970"/>
      <c r="N1" s="3970" t="s">
        <v>1857</v>
      </c>
      <c r="O1" s="3970"/>
      <c r="P1" s="3970"/>
      <c r="Q1" s="3970"/>
      <c r="S1" s="3970" t="s">
        <v>1858</v>
      </c>
      <c r="T1" s="3970"/>
      <c r="U1" s="3970"/>
      <c r="V1" s="3970"/>
      <c r="X1" s="3969" t="s">
        <v>1918</v>
      </c>
      <c r="Y1" s="3970"/>
      <c r="Z1" s="3970"/>
      <c r="AA1" s="3970"/>
      <c r="AB1" s="3970"/>
      <c r="AD1" s="3969" t="s">
        <v>1922</v>
      </c>
      <c r="AE1" s="3970"/>
      <c r="AF1" s="3970"/>
      <c r="AG1" s="3970"/>
      <c r="AH1" s="3970"/>
    </row>
    <row r="2" spans="1:34" s="2617" customFormat="1" ht="14.25" thickBot="1">
      <c r="B2" s="2618" t="s">
        <v>1859</v>
      </c>
      <c r="C2" s="2618" t="s">
        <v>1920</v>
      </c>
      <c r="D2" s="2619" t="s">
        <v>1178</v>
      </c>
      <c r="E2" s="2619" t="s">
        <v>1468</v>
      </c>
      <c r="F2" s="2618" t="s">
        <v>1921</v>
      </c>
      <c r="G2" s="2620"/>
      <c r="I2" s="2618" t="s">
        <v>2213</v>
      </c>
      <c r="J2" s="2619" t="s">
        <v>2215</v>
      </c>
      <c r="K2" s="2619" t="s">
        <v>2216</v>
      </c>
      <c r="L2" s="2618" t="s">
        <v>2217</v>
      </c>
      <c r="N2" s="2618" t="s">
        <v>1859</v>
      </c>
      <c r="O2" s="2619" t="s">
        <v>2214</v>
      </c>
      <c r="P2" s="2619" t="s">
        <v>1468</v>
      </c>
      <c r="Q2" s="2618" t="s">
        <v>1921</v>
      </c>
      <c r="S2" s="2618" t="s">
        <v>1859</v>
      </c>
      <c r="T2" s="2619" t="s">
        <v>2214</v>
      </c>
      <c r="U2" s="2619" t="s">
        <v>1468</v>
      </c>
      <c r="V2" s="2618" t="s">
        <v>1921</v>
      </c>
      <c r="X2" s="2618" t="s">
        <v>1859</v>
      </c>
      <c r="Y2" s="2618" t="s">
        <v>1920</v>
      </c>
      <c r="Z2" s="2619" t="s">
        <v>1178</v>
      </c>
      <c r="AA2" s="2619" t="s">
        <v>1468</v>
      </c>
      <c r="AB2" s="2618" t="s">
        <v>1921</v>
      </c>
      <c r="AD2" s="2618" t="s">
        <v>1859</v>
      </c>
      <c r="AE2" s="2618" t="s">
        <v>1920</v>
      </c>
      <c r="AF2" s="2619" t="s">
        <v>1178</v>
      </c>
      <c r="AG2" s="2619" t="s">
        <v>1468</v>
      </c>
      <c r="AH2" s="2618" t="s">
        <v>1921</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65">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65"/>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65"/>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66"/>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64">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65"/>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1860</v>
      </c>
      <c r="B28" s="2641">
        <f t="shared" si="16"/>
        <v>419.31181600000002</v>
      </c>
      <c r="C28" s="2641">
        <f t="shared" si="16"/>
        <v>313.95436800000004</v>
      </c>
      <c r="D28" s="2641">
        <f t="shared" si="13"/>
        <v>313.95436800000004</v>
      </c>
      <c r="E28" s="2641">
        <f t="shared" si="17"/>
        <v>596.63028431999999</v>
      </c>
      <c r="F28" s="2641">
        <f t="shared" si="17"/>
        <v>274.74220703999998</v>
      </c>
      <c r="G28" s="3965"/>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1861</v>
      </c>
      <c r="B29" s="2641">
        <f t="shared" si="16"/>
        <v>405.524</v>
      </c>
      <c r="C29" s="2641">
        <f t="shared" si="16"/>
        <v>307.79840000000002</v>
      </c>
      <c r="D29" s="2641">
        <f t="shared" si="13"/>
        <v>307.79840000000002</v>
      </c>
      <c r="E29" s="2641">
        <f t="shared" si="17"/>
        <v>574.67759999999998</v>
      </c>
      <c r="F29" s="2641">
        <f t="shared" si="17"/>
        <v>270.20280000000002</v>
      </c>
      <c r="G29" s="3966"/>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894</v>
      </c>
      <c r="B30" s="2662">
        <v>392</v>
      </c>
      <c r="C30" s="2662">
        <v>302</v>
      </c>
      <c r="D30" s="2662">
        <f t="shared" si="13"/>
        <v>302</v>
      </c>
      <c r="E30" s="2662">
        <v>553</v>
      </c>
      <c r="F30" s="2663">
        <v>266</v>
      </c>
      <c r="G30" s="3964">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893</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65"/>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883</v>
      </c>
      <c r="B32" s="2641">
        <f t="shared" si="19"/>
        <v>360.06949782209392</v>
      </c>
      <c r="C32" s="2641">
        <f t="shared" si="19"/>
        <v>289.84672674747821</v>
      </c>
      <c r="D32" s="2641">
        <f t="shared" si="20"/>
        <v>289.84672674747821</v>
      </c>
      <c r="E32" s="2641">
        <f t="shared" si="21"/>
        <v>501.06543001181495</v>
      </c>
      <c r="F32" s="2641">
        <f t="shared" si="21"/>
        <v>256.82882500744967</v>
      </c>
      <c r="G32" s="3965"/>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892</v>
      </c>
      <c r="B33" s="2641">
        <f t="shared" si="19"/>
        <v>346.720748986128</v>
      </c>
      <c r="C33" s="2641">
        <f t="shared" si="19"/>
        <v>284.30282172386285</v>
      </c>
      <c r="D33" s="2641">
        <f t="shared" si="20"/>
        <v>284.30282172386285</v>
      </c>
      <c r="E33" s="2641">
        <f t="shared" si="21"/>
        <v>479.58023546306947</v>
      </c>
      <c r="F33" s="2641">
        <f t="shared" si="21"/>
        <v>253.25788877571213</v>
      </c>
      <c r="G33" s="3968"/>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891</v>
      </c>
      <c r="B34" s="2662">
        <v>333</v>
      </c>
      <c r="C34" s="2662">
        <v>277</v>
      </c>
      <c r="D34" s="2662">
        <f t="shared" si="20"/>
        <v>277</v>
      </c>
      <c r="E34" s="2662">
        <v>459</v>
      </c>
      <c r="F34" s="2663">
        <v>249</v>
      </c>
      <c r="G34" s="3967">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890</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65"/>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889</v>
      </c>
      <c r="B36" s="2641">
        <f t="shared" si="23"/>
        <v>322.34053690220776</v>
      </c>
      <c r="C36" s="2641">
        <f t="shared" si="23"/>
        <v>271.46160770422546</v>
      </c>
      <c r="D36" s="2641">
        <f t="shared" si="20"/>
        <v>271.46160770422546</v>
      </c>
      <c r="E36" s="2641">
        <f t="shared" si="24"/>
        <v>442.69434542172456</v>
      </c>
      <c r="F36" s="2641">
        <f t="shared" si="24"/>
        <v>241.34030753190925</v>
      </c>
      <c r="G36" s="3965"/>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888</v>
      </c>
      <c r="B37" s="2641">
        <f t="shared" si="23"/>
        <v>319.87748030386797</v>
      </c>
      <c r="C37" s="2641">
        <f t="shared" si="23"/>
        <v>269.60135833173649</v>
      </c>
      <c r="D37" s="2641">
        <f t="shared" si="20"/>
        <v>269.60135833173649</v>
      </c>
      <c r="E37" s="2641">
        <f t="shared" si="24"/>
        <v>439.18089823583784</v>
      </c>
      <c r="F37" s="2641">
        <f t="shared" si="24"/>
        <v>239.23503918706311</v>
      </c>
      <c r="G37" s="3968"/>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887</v>
      </c>
      <c r="B38" s="2669">
        <v>318</v>
      </c>
      <c r="C38" s="2669">
        <v>268</v>
      </c>
      <c r="D38" s="2669">
        <f t="shared" si="20"/>
        <v>268</v>
      </c>
      <c r="E38" s="2669">
        <v>437</v>
      </c>
      <c r="F38" s="2670">
        <v>237</v>
      </c>
      <c r="G38" s="3967">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886</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65"/>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885</v>
      </c>
      <c r="B40" s="2641">
        <f t="shared" si="25"/>
        <v>314.72141172386546</v>
      </c>
      <c r="C40" s="2641">
        <f t="shared" si="25"/>
        <v>263.03901319069001</v>
      </c>
      <c r="D40" s="2641">
        <f t="shared" si="20"/>
        <v>263.03901319069001</v>
      </c>
      <c r="E40" s="2641">
        <f t="shared" si="26"/>
        <v>433.65745506782821</v>
      </c>
      <c r="F40" s="2641">
        <f t="shared" si="26"/>
        <v>233.23005080045735</v>
      </c>
      <c r="G40" s="3965"/>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884</v>
      </c>
      <c r="B41" s="2674">
        <f t="shared" si="25"/>
        <v>307.34512863658733</v>
      </c>
      <c r="C41" s="2674">
        <f t="shared" si="25"/>
        <v>257.80556031626975</v>
      </c>
      <c r="D41" s="2674">
        <f t="shared" si="20"/>
        <v>257.80556031626975</v>
      </c>
      <c r="E41" s="2674">
        <f t="shared" si="26"/>
        <v>422.70928459677179</v>
      </c>
      <c r="F41" s="2674">
        <f t="shared" si="26"/>
        <v>229.73803270336617</v>
      </c>
      <c r="G41" s="3968"/>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1919</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1862</v>
      </c>
      <c r="B42" s="2662">
        <v>299</v>
      </c>
      <c r="C42" s="2662">
        <v>252</v>
      </c>
      <c r="D42" s="2662">
        <f t="shared" si="20"/>
        <v>252</v>
      </c>
      <c r="E42" s="2662">
        <v>409</v>
      </c>
      <c r="F42" s="2663">
        <v>227</v>
      </c>
      <c r="G42" s="3972">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1863</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73"/>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1864</v>
      </c>
      <c r="B44" s="2641">
        <f t="shared" si="27"/>
        <v>288.2649053828776</v>
      </c>
      <c r="C44" s="2641">
        <f t="shared" si="27"/>
        <v>243.64564425013293</v>
      </c>
      <c r="D44" s="2641">
        <f t="shared" si="20"/>
        <v>243.64564425013293</v>
      </c>
      <c r="E44" s="2641">
        <f t="shared" si="28"/>
        <v>393.31080825986544</v>
      </c>
      <c r="F44" s="2641">
        <f t="shared" si="28"/>
        <v>223.07903790551154</v>
      </c>
      <c r="G44" s="3973"/>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1865</v>
      </c>
      <c r="B45" s="2641">
        <f t="shared" si="27"/>
        <v>282.50186729015837</v>
      </c>
      <c r="C45" s="2641">
        <f t="shared" si="27"/>
        <v>238.09796174155468</v>
      </c>
      <c r="D45" s="2641">
        <f t="shared" si="20"/>
        <v>238.09796174155468</v>
      </c>
      <c r="E45" s="2641">
        <f t="shared" si="28"/>
        <v>385.33438646014054</v>
      </c>
      <c r="F45" s="2641">
        <f t="shared" si="28"/>
        <v>221.55034055567739</v>
      </c>
      <c r="G45" s="3974"/>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1866</v>
      </c>
      <c r="B46" s="2690">
        <v>278</v>
      </c>
      <c r="C46" s="2690">
        <v>234</v>
      </c>
      <c r="D46" s="2690">
        <f t="shared" si="20"/>
        <v>234</v>
      </c>
      <c r="E46" s="2690">
        <v>379</v>
      </c>
      <c r="F46" s="2691">
        <v>220</v>
      </c>
      <c r="G46" s="3967">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1867</v>
      </c>
      <c r="B47" s="2641">
        <f>B46/(1+N46)</f>
        <v>275.49301357645425</v>
      </c>
      <c r="C47" s="2641">
        <f>C46/(1+O46)</f>
        <v>232.41954707985698</v>
      </c>
      <c r="D47" s="2641">
        <f t="shared" si="20"/>
        <v>232.41954707985698</v>
      </c>
      <c r="E47" s="2641">
        <f t="shared" ref="E47:F49" si="29">E46/(1+P46)</f>
        <v>375.32184591008121</v>
      </c>
      <c r="F47" s="2641">
        <f t="shared" si="29"/>
        <v>218.03766105054513</v>
      </c>
      <c r="G47" s="3965"/>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1868</v>
      </c>
      <c r="B48" s="2641">
        <f>B47/(1+N47)</f>
        <v>275.24529281292263</v>
      </c>
      <c r="C48" s="2641">
        <f>C47/(1+O47)</f>
        <v>231.74747938962707</v>
      </c>
      <c r="D48" s="2641">
        <f t="shared" si="20"/>
        <v>231.74747938962707</v>
      </c>
      <c r="E48" s="2641">
        <f t="shared" si="29"/>
        <v>375.35938184826603</v>
      </c>
      <c r="F48" s="2641">
        <f t="shared" si="29"/>
        <v>216.78033510692495</v>
      </c>
      <c r="G48" s="3965"/>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1869</v>
      </c>
      <c r="B49" s="2641">
        <f>B48/(1+N48)</f>
        <v>275.19025476197027</v>
      </c>
      <c r="C49" s="2692">
        <v>232</v>
      </c>
      <c r="D49" s="2692">
        <f t="shared" si="20"/>
        <v>232</v>
      </c>
      <c r="E49" s="2641">
        <f t="shared" si="29"/>
        <v>375.65990977608692</v>
      </c>
      <c r="F49" s="2641">
        <f t="shared" si="29"/>
        <v>214.12518283971252</v>
      </c>
      <c r="G49" s="3968"/>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1870</v>
      </c>
      <c r="B50" s="2662">
        <v>275</v>
      </c>
      <c r="C50" s="2662">
        <v>232</v>
      </c>
      <c r="D50" s="2662">
        <f t="shared" si="20"/>
        <v>232</v>
      </c>
      <c r="E50" s="2662">
        <v>376</v>
      </c>
      <c r="F50" s="2663">
        <v>213</v>
      </c>
      <c r="G50" s="3967">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1871</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65">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1872</v>
      </c>
      <c r="B52" s="2641">
        <f t="shared" si="30"/>
        <v>275.19335084830601</v>
      </c>
      <c r="C52" s="2641">
        <f t="shared" si="30"/>
        <v>230.18088050139744</v>
      </c>
      <c r="D52" s="2641">
        <f t="shared" si="20"/>
        <v>230.18088050139744</v>
      </c>
      <c r="E52" s="2641">
        <f t="shared" si="31"/>
        <v>377.58482925212331</v>
      </c>
      <c r="F52" s="2641">
        <f t="shared" si="31"/>
        <v>210.90687997847917</v>
      </c>
      <c r="G52" s="3965">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1873</v>
      </c>
      <c r="B53" s="2641">
        <f t="shared" si="30"/>
        <v>276.29854502841971</v>
      </c>
      <c r="C53" s="2641">
        <f t="shared" si="30"/>
        <v>229.79023709833027</v>
      </c>
      <c r="D53" s="2641">
        <f t="shared" si="20"/>
        <v>229.79023709833027</v>
      </c>
      <c r="E53" s="2641">
        <f t="shared" si="31"/>
        <v>379.78759731655936</v>
      </c>
      <c r="F53" s="2641">
        <f t="shared" si="31"/>
        <v>211.32953905659235</v>
      </c>
      <c r="G53" s="3968">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1874</v>
      </c>
      <c r="B54" s="2662">
        <v>269</v>
      </c>
      <c r="C54" s="2662">
        <v>221</v>
      </c>
      <c r="D54" s="2662">
        <f t="shared" si="20"/>
        <v>221</v>
      </c>
      <c r="E54" s="2662">
        <v>373</v>
      </c>
      <c r="F54" s="2663">
        <v>196</v>
      </c>
      <c r="G54" s="3967">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1875</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65">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1876</v>
      </c>
      <c r="B56" s="2641">
        <f t="shared" si="32"/>
        <v>242.95398227588385</v>
      </c>
      <c r="C56" s="2641">
        <f t="shared" si="32"/>
        <v>199.59137053614126</v>
      </c>
      <c r="D56" s="2641">
        <f t="shared" si="20"/>
        <v>199.59137053614126</v>
      </c>
      <c r="E56" s="2641">
        <f t="shared" si="33"/>
        <v>335.92189522342125</v>
      </c>
      <c r="F56" s="2641">
        <f t="shared" si="33"/>
        <v>183.10139991109489</v>
      </c>
      <c r="G56" s="3965">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1877</v>
      </c>
      <c r="B57" s="2641">
        <f t="shared" si="32"/>
        <v>232.06990378821649</v>
      </c>
      <c r="C57" s="2641">
        <f t="shared" si="32"/>
        <v>192.74878854286936</v>
      </c>
      <c r="D57" s="2641">
        <f t="shared" si="20"/>
        <v>192.74878854286936</v>
      </c>
      <c r="E57" s="2641">
        <f t="shared" si="33"/>
        <v>319.71247284992984</v>
      </c>
      <c r="F57" s="2641">
        <f t="shared" si="33"/>
        <v>175.67053622862409</v>
      </c>
      <c r="G57" s="3968">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1878</v>
      </c>
      <c r="B58" s="2662">
        <v>220</v>
      </c>
      <c r="C58" s="2662">
        <v>187</v>
      </c>
      <c r="D58" s="2662">
        <f t="shared" si="20"/>
        <v>187</v>
      </c>
      <c r="E58" s="2662">
        <v>301</v>
      </c>
      <c r="F58" s="2663">
        <v>168</v>
      </c>
      <c r="G58" s="3967">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1879</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65">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1880</v>
      </c>
      <c r="B60" s="2641">
        <f t="shared" si="34"/>
        <v>210.630522469011</v>
      </c>
      <c r="C60" s="2641">
        <f t="shared" si="34"/>
        <v>181.69567812247232</v>
      </c>
      <c r="D60" s="2641">
        <f t="shared" si="20"/>
        <v>181.69567812247232</v>
      </c>
      <c r="E60" s="2641">
        <f t="shared" si="35"/>
        <v>286.13517466736738</v>
      </c>
      <c r="F60" s="2641">
        <f t="shared" si="35"/>
        <v>165.47535084591149</v>
      </c>
      <c r="G60" s="3965">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1881</v>
      </c>
      <c r="B61" s="2641">
        <f t="shared" si="34"/>
        <v>208.83454537875372</v>
      </c>
      <c r="C61" s="2641">
        <f t="shared" si="34"/>
        <v>183.77230517090351</v>
      </c>
      <c r="D61" s="2641">
        <f t="shared" si="20"/>
        <v>183.77230517090351</v>
      </c>
      <c r="E61" s="2641">
        <f t="shared" si="35"/>
        <v>281.10342338870947</v>
      </c>
      <c r="F61" s="2641">
        <f t="shared" si="35"/>
        <v>168.97309388942256</v>
      </c>
      <c r="G61" s="3968">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1882</v>
      </c>
      <c r="B62" s="2690">
        <v>214</v>
      </c>
      <c r="C62" s="2690">
        <v>188</v>
      </c>
      <c r="D62" s="2690">
        <f t="shared" si="20"/>
        <v>188</v>
      </c>
      <c r="E62" s="2690">
        <v>289</v>
      </c>
      <c r="F62" s="2691">
        <v>166</v>
      </c>
      <c r="G62" s="3967">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1883</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65">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1884</v>
      </c>
      <c r="B64" s="2641">
        <f t="shared" si="36"/>
        <v>206.31694671589116</v>
      </c>
      <c r="C64" s="2641">
        <f t="shared" si="36"/>
        <v>183.61041121036101</v>
      </c>
      <c r="D64" s="2641">
        <f t="shared" si="20"/>
        <v>183.61041121036101</v>
      </c>
      <c r="E64" s="2641">
        <f t="shared" si="37"/>
        <v>276.66850301795557</v>
      </c>
      <c r="F64" s="2641">
        <f t="shared" si="37"/>
        <v>165.1360938278614</v>
      </c>
      <c r="G64" s="3965">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1885</v>
      </c>
      <c r="B65" s="2693">
        <f t="shared" si="36"/>
        <v>196.62341248059772</v>
      </c>
      <c r="C65" s="2693">
        <f t="shared" si="36"/>
        <v>170.99125648199012</v>
      </c>
      <c r="D65" s="2693">
        <f t="shared" si="20"/>
        <v>170.99125648199012</v>
      </c>
      <c r="E65" s="2693">
        <f t="shared" si="37"/>
        <v>266.07857570490052</v>
      </c>
      <c r="F65" s="2693">
        <f t="shared" si="37"/>
        <v>154.53499328828505</v>
      </c>
      <c r="G65" s="3968">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1886</v>
      </c>
      <c r="B66" s="2662">
        <v>188</v>
      </c>
      <c r="C66" s="2662">
        <v>165</v>
      </c>
      <c r="D66" s="2662">
        <f t="shared" si="20"/>
        <v>165</v>
      </c>
      <c r="E66" s="2662">
        <v>254</v>
      </c>
      <c r="F66" s="2663">
        <v>148</v>
      </c>
      <c r="G66" s="3967">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1887</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65">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1888</v>
      </c>
      <c r="B68" s="2641">
        <f t="shared" si="40"/>
        <v>168.82017748715555</v>
      </c>
      <c r="C68" s="2641">
        <f t="shared" si="40"/>
        <v>148.06267029972753</v>
      </c>
      <c r="D68" s="2641">
        <f t="shared" si="20"/>
        <v>148.06267029972753</v>
      </c>
      <c r="E68" s="2641">
        <f t="shared" si="41"/>
        <v>216.46288379323747</v>
      </c>
      <c r="F68" s="2641">
        <f t="shared" si="41"/>
        <v>134.23529411764704</v>
      </c>
      <c r="G68" s="3965">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1889</v>
      </c>
      <c r="B69" s="2641">
        <f t="shared" si="40"/>
        <v>163.84913591779542</v>
      </c>
      <c r="C69" s="2641">
        <f t="shared" si="40"/>
        <v>145.0283378746594</v>
      </c>
      <c r="D69" s="2641">
        <f t="shared" si="20"/>
        <v>145.0283378746594</v>
      </c>
      <c r="E69" s="2641">
        <f t="shared" si="41"/>
        <v>204.95180722891567</v>
      </c>
      <c r="F69" s="2641">
        <f t="shared" si="41"/>
        <v>125.95920303605313</v>
      </c>
      <c r="G69" s="3968">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1890</v>
      </c>
      <c r="B70" s="2669">
        <v>159</v>
      </c>
      <c r="C70" s="2669">
        <v>141</v>
      </c>
      <c r="D70" s="2669">
        <f t="shared" si="20"/>
        <v>141</v>
      </c>
      <c r="E70" s="2669">
        <v>195</v>
      </c>
      <c r="F70" s="2670">
        <v>122</v>
      </c>
      <c r="G70" s="3967">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1891</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65">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1892</v>
      </c>
      <c r="B72" s="2641">
        <f t="shared" si="44"/>
        <v>146.57412060301507</v>
      </c>
      <c r="C72" s="2641">
        <f t="shared" si="44"/>
        <v>136.46831955922866</v>
      </c>
      <c r="D72" s="2641">
        <f t="shared" si="20"/>
        <v>136.46831955922866</v>
      </c>
      <c r="E72" s="2641">
        <f t="shared" si="45"/>
        <v>166.73864894795128</v>
      </c>
      <c r="F72" s="2641">
        <f t="shared" si="45"/>
        <v>115.05882352941177</v>
      </c>
      <c r="G72" s="3965">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1893</v>
      </c>
      <c r="B73" s="2641">
        <f t="shared" si="44"/>
        <v>144.04145728643215</v>
      </c>
      <c r="C73" s="2641">
        <f t="shared" si="44"/>
        <v>136.12396694214877</v>
      </c>
      <c r="D73" s="2641">
        <f t="shared" si="20"/>
        <v>136.12396694214877</v>
      </c>
      <c r="E73" s="2641">
        <f t="shared" si="45"/>
        <v>158.32225913621264</v>
      </c>
      <c r="F73" s="2641">
        <f t="shared" si="45"/>
        <v>114.04278074866311</v>
      </c>
      <c r="G73" s="3968">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1894</v>
      </c>
      <c r="B74" s="2669">
        <v>138</v>
      </c>
      <c r="C74" s="2669">
        <v>131</v>
      </c>
      <c r="D74" s="2669">
        <f t="shared" si="20"/>
        <v>131</v>
      </c>
      <c r="E74" s="2669">
        <v>155</v>
      </c>
      <c r="F74" s="2670">
        <v>114</v>
      </c>
      <c r="G74" s="3967">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1895</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65">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1896</v>
      </c>
      <c r="B76" s="2641">
        <f t="shared" si="48"/>
        <v>124.29032258064517</v>
      </c>
      <c r="C76" s="2641">
        <f t="shared" si="48"/>
        <v>123.8968609865471</v>
      </c>
      <c r="D76" s="2641">
        <f t="shared" si="20"/>
        <v>123.8968609865471</v>
      </c>
      <c r="E76" s="2641">
        <f t="shared" si="49"/>
        <v>138.00507614213197</v>
      </c>
      <c r="F76" s="2641">
        <f t="shared" si="49"/>
        <v>107.96106557377048</v>
      </c>
      <c r="G76" s="3965">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1897</v>
      </c>
      <c r="B77" s="2641">
        <f t="shared" si="48"/>
        <v>122.57204301075269</v>
      </c>
      <c r="C77" s="2641">
        <f t="shared" si="48"/>
        <v>123.4932735426009</v>
      </c>
      <c r="D77" s="2641">
        <f t="shared" si="20"/>
        <v>123.4932735426009</v>
      </c>
      <c r="E77" s="2641">
        <f t="shared" si="49"/>
        <v>129.82233502538071</v>
      </c>
      <c r="F77" s="2641">
        <f t="shared" si="49"/>
        <v>107.39446721311475</v>
      </c>
      <c r="G77" s="3968">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1898</v>
      </c>
      <c r="B78" s="2690">
        <v>121</v>
      </c>
      <c r="C78" s="2690">
        <v>122</v>
      </c>
      <c r="D78" s="2690">
        <f t="shared" si="20"/>
        <v>122</v>
      </c>
      <c r="E78" s="2690">
        <v>124</v>
      </c>
      <c r="F78" s="2691">
        <v>107</v>
      </c>
      <c r="G78" s="3967">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1899</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65">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1900</v>
      </c>
      <c r="B80" s="2641">
        <f t="shared" si="52"/>
        <v>116.99099099099099</v>
      </c>
      <c r="C80" s="2641">
        <f t="shared" si="52"/>
        <v>118.84848484848486</v>
      </c>
      <c r="D80" s="2641">
        <f t="shared" si="20"/>
        <v>118.84848484848486</v>
      </c>
      <c r="E80" s="2641">
        <f t="shared" si="53"/>
        <v>117.60960960960961</v>
      </c>
      <c r="F80" s="2641">
        <f t="shared" si="53"/>
        <v>104</v>
      </c>
      <c r="G80" s="3965">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1901</v>
      </c>
      <c r="B81" s="2693">
        <f t="shared" si="52"/>
        <v>112.48648648648648</v>
      </c>
      <c r="C81" s="2693">
        <f t="shared" si="52"/>
        <v>115.21212121212122</v>
      </c>
      <c r="D81" s="2693">
        <f t="shared" si="20"/>
        <v>115.21212121212122</v>
      </c>
      <c r="E81" s="2693">
        <f t="shared" si="53"/>
        <v>110.4024024024024</v>
      </c>
      <c r="F81" s="2693">
        <f t="shared" si="53"/>
        <v>104</v>
      </c>
      <c r="G81" s="3968">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1902</v>
      </c>
      <c r="B82" s="2710">
        <v>111</v>
      </c>
      <c r="C82" s="2710">
        <v>114</v>
      </c>
      <c r="D82" s="2710">
        <f t="shared" si="20"/>
        <v>114</v>
      </c>
      <c r="E82" s="2710">
        <v>108</v>
      </c>
      <c r="F82" s="2711">
        <v>104</v>
      </c>
      <c r="G82" s="3967">
        <v>2003</v>
      </c>
      <c r="H82" s="2700">
        <v>4</v>
      </c>
      <c r="I82" s="2712"/>
      <c r="J82" s="2712"/>
      <c r="K82" s="2712"/>
      <c r="L82" s="2712"/>
      <c r="N82" s="2713"/>
      <c r="O82" s="2712"/>
      <c r="P82" s="2712"/>
      <c r="Q82" s="2712"/>
      <c r="S82" s="2713"/>
      <c r="T82" s="2712"/>
      <c r="U82" s="2712"/>
      <c r="V82" s="2712"/>
      <c r="X82" s="2704"/>
      <c r="Y82" s="2704"/>
      <c r="Z82" s="2704"/>
    </row>
    <row r="83" spans="1:26">
      <c r="A83" s="2640" t="s">
        <v>1903</v>
      </c>
      <c r="B83" s="2714">
        <f t="shared" ref="B83:C85" si="54">B84+(B$82-B$86)/4</f>
        <v>109.75</v>
      </c>
      <c r="C83" s="2714">
        <f t="shared" si="54"/>
        <v>112.25</v>
      </c>
      <c r="D83" s="2714">
        <f t="shared" si="20"/>
        <v>112.25</v>
      </c>
      <c r="E83" s="2714">
        <f t="shared" ref="E83:F85" si="55">E84+(E$82-E$86)/4</f>
        <v>107.25</v>
      </c>
      <c r="F83" s="2714">
        <f t="shared" si="55"/>
        <v>103.5</v>
      </c>
      <c r="G83" s="3965">
        <v>2003</v>
      </c>
      <c r="H83" s="2667">
        <v>3</v>
      </c>
      <c r="I83" s="2712"/>
      <c r="J83" s="2712"/>
      <c r="K83" s="2712"/>
      <c r="L83" s="2712"/>
      <c r="X83" s="2704"/>
      <c r="Y83" s="2704"/>
      <c r="Z83" s="2704"/>
    </row>
    <row r="84" spans="1:26">
      <c r="A84" s="2640" t="s">
        <v>1904</v>
      </c>
      <c r="B84" s="2714">
        <f t="shared" si="54"/>
        <v>108.5</v>
      </c>
      <c r="C84" s="2714">
        <f t="shared" si="54"/>
        <v>110.5</v>
      </c>
      <c r="D84" s="2714">
        <f t="shared" si="20"/>
        <v>110.5</v>
      </c>
      <c r="E84" s="2714">
        <f t="shared" si="55"/>
        <v>106.5</v>
      </c>
      <c r="F84" s="2714">
        <f t="shared" si="55"/>
        <v>103</v>
      </c>
      <c r="G84" s="3965">
        <v>2003</v>
      </c>
      <c r="H84" s="2655">
        <v>2</v>
      </c>
      <c r="I84" s="2712"/>
      <c r="J84" s="2712"/>
      <c r="K84" s="2712"/>
      <c r="L84" s="2712"/>
      <c r="X84" s="2704"/>
      <c r="Y84" s="2704"/>
      <c r="Z84" s="2704"/>
    </row>
    <row r="85" spans="1:26" ht="13.5" thickBot="1">
      <c r="A85" s="2640" t="s">
        <v>1905</v>
      </c>
      <c r="B85" s="2714">
        <f t="shared" si="54"/>
        <v>107.25</v>
      </c>
      <c r="C85" s="2714">
        <f t="shared" si="54"/>
        <v>108.75</v>
      </c>
      <c r="D85" s="2714">
        <f t="shared" si="20"/>
        <v>108.75</v>
      </c>
      <c r="E85" s="2714">
        <f t="shared" si="55"/>
        <v>105.75</v>
      </c>
      <c r="F85" s="2714">
        <f t="shared" si="55"/>
        <v>102.5</v>
      </c>
      <c r="G85" s="3968">
        <v>2003</v>
      </c>
      <c r="H85" s="2715">
        <v>1</v>
      </c>
      <c r="I85" s="2712"/>
      <c r="J85" s="2712"/>
      <c r="K85" s="2712"/>
      <c r="L85" s="2712"/>
      <c r="S85" s="2643"/>
      <c r="T85" s="2639"/>
      <c r="U85" s="2639"/>
      <c r="X85" s="2704"/>
      <c r="Y85" s="2704"/>
      <c r="Z85" s="2704"/>
    </row>
    <row r="86" spans="1:26" ht="13.5" thickBot="1">
      <c r="A86" s="2640" t="s">
        <v>1906</v>
      </c>
      <c r="B86" s="2716">
        <v>106</v>
      </c>
      <c r="C86" s="2716">
        <v>107</v>
      </c>
      <c r="D86" s="2716">
        <f t="shared" si="20"/>
        <v>107</v>
      </c>
      <c r="E86" s="2716">
        <v>105</v>
      </c>
      <c r="F86" s="2717">
        <v>102</v>
      </c>
      <c r="G86" s="3967">
        <v>2002</v>
      </c>
      <c r="H86" s="2664">
        <v>4</v>
      </c>
      <c r="I86" s="2712"/>
      <c r="J86" s="2712"/>
      <c r="K86" s="2712"/>
      <c r="L86" s="2712"/>
      <c r="N86" s="2713"/>
      <c r="O86" s="2712"/>
      <c r="P86" s="2712"/>
      <c r="Q86" s="2712"/>
      <c r="S86" s="2713"/>
      <c r="T86" s="2712"/>
      <c r="U86" s="2712"/>
      <c r="V86" s="2712"/>
      <c r="X86" s="2704"/>
      <c r="Y86" s="2704"/>
      <c r="Z86" s="2704"/>
    </row>
    <row r="87" spans="1:26">
      <c r="A87" s="2640" t="s">
        <v>1907</v>
      </c>
      <c r="B87" s="2714">
        <f t="shared" ref="B87:C89" si="56">B88+(B$86-B$90)/4</f>
        <v>105</v>
      </c>
      <c r="C87" s="2714">
        <f t="shared" si="56"/>
        <v>106</v>
      </c>
      <c r="D87" s="2714">
        <f t="shared" si="20"/>
        <v>106</v>
      </c>
      <c r="E87" s="2714">
        <f t="shared" ref="E87:F89" si="57">E88+(E$86-E$90)/4</f>
        <v>104.5</v>
      </c>
      <c r="F87" s="2714">
        <f t="shared" si="57"/>
        <v>101.5</v>
      </c>
      <c r="G87" s="3965">
        <v>2002</v>
      </c>
      <c r="H87" s="2667">
        <v>3</v>
      </c>
      <c r="I87" s="2712"/>
      <c r="J87" s="2712"/>
      <c r="K87" s="2712"/>
      <c r="L87" s="2712"/>
      <c r="X87" s="2704"/>
      <c r="Y87" s="2704"/>
      <c r="Z87" s="2704"/>
    </row>
    <row r="88" spans="1:26">
      <c r="A88" s="2640" t="s">
        <v>1908</v>
      </c>
      <c r="B88" s="2714">
        <f t="shared" si="56"/>
        <v>104</v>
      </c>
      <c r="C88" s="2714">
        <f t="shared" si="56"/>
        <v>105</v>
      </c>
      <c r="D88" s="2714">
        <f t="shared" si="20"/>
        <v>105</v>
      </c>
      <c r="E88" s="2714">
        <f t="shared" si="57"/>
        <v>104</v>
      </c>
      <c r="F88" s="2714">
        <f t="shared" si="57"/>
        <v>101</v>
      </c>
      <c r="G88" s="3965">
        <v>2002</v>
      </c>
      <c r="H88" s="2655">
        <v>2</v>
      </c>
      <c r="I88" s="2712"/>
      <c r="J88" s="2712"/>
      <c r="K88" s="2712"/>
      <c r="L88" s="2712"/>
      <c r="X88" s="2704"/>
      <c r="Y88" s="2704"/>
      <c r="Z88" s="2704"/>
    </row>
    <row r="89" spans="1:26" s="2677" customFormat="1" ht="13.5" thickBot="1">
      <c r="A89" s="2673" t="s">
        <v>1909</v>
      </c>
      <c r="B89" s="2680">
        <f t="shared" si="56"/>
        <v>103</v>
      </c>
      <c r="C89" s="2680">
        <f t="shared" si="56"/>
        <v>104</v>
      </c>
      <c r="D89" s="2680">
        <f t="shared" si="20"/>
        <v>104</v>
      </c>
      <c r="E89" s="2680">
        <f t="shared" si="57"/>
        <v>103.5</v>
      </c>
      <c r="F89" s="2680">
        <f t="shared" si="57"/>
        <v>100.5</v>
      </c>
      <c r="G89" s="3968">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1910</v>
      </c>
      <c r="G92" s="2727"/>
      <c r="N92" s="2727"/>
      <c r="S92" s="2727"/>
    </row>
    <row r="93" spans="1:26" s="2726" customFormat="1">
      <c r="A93" s="2726" t="s">
        <v>1911</v>
      </c>
      <c r="G93" s="2727"/>
      <c r="N93" s="2727"/>
      <c r="S93" s="2727"/>
    </row>
    <row r="94" spans="1:26" s="2726" customFormat="1">
      <c r="A94" s="2726" t="s">
        <v>1912</v>
      </c>
      <c r="G94" s="2727"/>
      <c r="I94" s="2728"/>
      <c r="J94" s="2728"/>
      <c r="K94" s="2728"/>
      <c r="L94" s="2728"/>
      <c r="N94" s="2729"/>
      <c r="O94" s="2728"/>
      <c r="P94" s="2728"/>
      <c r="Q94" s="2728"/>
      <c r="S94" s="2729"/>
      <c r="T94" s="2728"/>
      <c r="U94" s="2728"/>
      <c r="V94" s="2728"/>
    </row>
    <row r="95" spans="1:26" s="2726" customFormat="1">
      <c r="A95" s="2726" t="s">
        <v>1913</v>
      </c>
      <c r="G95" s="2727"/>
      <c r="N95" s="2727"/>
      <c r="S95" s="2727"/>
    </row>
    <row r="102" spans="7:22" ht="13.5" thickBot="1"/>
    <row r="103" spans="7:22">
      <c r="G103" s="2638"/>
      <c r="S103" s="2730" t="s">
        <v>1914</v>
      </c>
      <c r="T103" s="2731" t="s">
        <v>1915</v>
      </c>
      <c r="U103" s="2731" t="s">
        <v>1916</v>
      </c>
      <c r="V103" s="2731" t="s">
        <v>1917</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9">
        <f>基准地价!G23</f>
        <v>44942</v>
      </c>
      <c r="B1" s="3347" t="s">
        <v>2789</v>
      </c>
      <c r="C1" s="3348"/>
      <c r="D1" s="3348"/>
      <c r="E1" s="3348"/>
      <c r="F1" s="3348"/>
      <c r="G1" s="3348"/>
      <c r="H1" s="3348"/>
      <c r="I1" s="3348"/>
      <c r="J1" s="3349"/>
      <c r="K1" s="3348" t="s">
        <v>2790</v>
      </c>
      <c r="L1" s="3348"/>
      <c r="M1" s="3348"/>
      <c r="N1" s="3348"/>
      <c r="O1" s="3348"/>
      <c r="P1" s="3348"/>
      <c r="Q1" s="3349"/>
      <c r="R1" s="3975" t="s">
        <v>2799</v>
      </c>
      <c r="S1" s="3976"/>
      <c r="T1" s="3976"/>
      <c r="U1" s="3976"/>
      <c r="V1" s="3976"/>
      <c r="W1" s="3976"/>
      <c r="X1" s="3349"/>
      <c r="Y1" s="3975" t="s">
        <v>2810</v>
      </c>
      <c r="Z1" s="3976"/>
      <c r="AA1" s="3976"/>
      <c r="AB1" s="3976"/>
      <c r="AC1" s="3976"/>
      <c r="AD1" s="3976"/>
    </row>
    <row r="2" spans="1:30" ht="14.25" thickBot="1">
      <c r="A2" s="3340"/>
      <c r="B2" s="3350"/>
      <c r="C2" s="3351"/>
      <c r="D2" s="3352" t="s">
        <v>2792</v>
      </c>
      <c r="E2" s="3353" t="s">
        <v>2793</v>
      </c>
      <c r="F2" s="3353" t="s">
        <v>2794</v>
      </c>
      <c r="G2" s="3353" t="s">
        <v>2795</v>
      </c>
      <c r="H2" s="3353" t="s">
        <v>2796</v>
      </c>
      <c r="I2" s="3353" t="s">
        <v>2736</v>
      </c>
      <c r="J2" s="3354"/>
      <c r="K2" s="3352" t="s">
        <v>2792</v>
      </c>
      <c r="L2" s="3353" t="s">
        <v>2793</v>
      </c>
      <c r="M2" s="3353" t="s">
        <v>2794</v>
      </c>
      <c r="N2" s="3353" t="s">
        <v>2795</v>
      </c>
      <c r="O2" s="3353" t="s">
        <v>2796</v>
      </c>
      <c r="P2" s="3353" t="s">
        <v>2736</v>
      </c>
      <c r="Q2" s="3354"/>
      <c r="R2" s="3352" t="s">
        <v>2800</v>
      </c>
      <c r="S2" s="3353" t="s">
        <v>2801</v>
      </c>
      <c r="T2" s="3353" t="s">
        <v>2802</v>
      </c>
      <c r="U2" s="3353" t="s">
        <v>2803</v>
      </c>
      <c r="V2" s="3353" t="s">
        <v>2804</v>
      </c>
      <c r="W2" s="3353" t="s">
        <v>2805</v>
      </c>
      <c r="X2" s="3354"/>
      <c r="Y2" s="3352" t="s">
        <v>2792</v>
      </c>
      <c r="Z2" s="3353" t="s">
        <v>1469</v>
      </c>
      <c r="AA2" s="3353" t="s">
        <v>2811</v>
      </c>
      <c r="AB2" s="3353" t="s">
        <v>1468</v>
      </c>
      <c r="AC2" s="3353" t="s">
        <v>2796</v>
      </c>
      <c r="AD2" s="3353" t="s">
        <v>2453</v>
      </c>
    </row>
    <row r="3" spans="1:30">
      <c r="A3" s="3341" t="s">
        <v>2779</v>
      </c>
      <c r="B3" s="3355"/>
      <c r="C3" s="3356"/>
      <c r="D3" s="3356">
        <f>ROUND(AVERAGEIF(D4:D16,"&lt;&gt;0"),2)</f>
        <v>0.81</v>
      </c>
      <c r="E3" s="3356">
        <f>ROUND(AVERAGEIF(E4:E16,"&lt;&gt;0"),2)</f>
        <v>0.33</v>
      </c>
      <c r="F3" s="3356">
        <f>ROUND(AVERAGEIF(F4:F16,"&lt;&gt;0"),2)</f>
        <v>0.15</v>
      </c>
      <c r="G3" s="3356">
        <f>ROUND(AVERAGEIF(G4:G16,"&lt;&gt;0"),2)</f>
        <v>0.89</v>
      </c>
      <c r="H3" s="3356">
        <f>ROUND(AVERAGEIF(H4:H16,"&lt;&gt;0"),2)</f>
        <v>0.66</v>
      </c>
      <c r="I3" s="3356">
        <f>F3</f>
        <v>0.15</v>
      </c>
      <c r="J3" s="3357"/>
      <c r="K3" s="3358">
        <f>ROUND(AVERAGEIF(K4:K16,"&lt;&gt;0"),4)</f>
        <v>8.0999999999999996E-3</v>
      </c>
      <c r="L3" s="3359">
        <f>ROUND(AVERAGEIF(L4:L16,"&lt;&gt;0"),4)</f>
        <v>3.3E-3</v>
      </c>
      <c r="M3" s="3359">
        <f>ROUND(AVERAGEIF(M4:M16,"&lt;&gt;0"),4)</f>
        <v>1.5E-3</v>
      </c>
      <c r="N3" s="3359">
        <f>ROUND(AVERAGEIF(N4:N16,"&lt;&gt;0"),4)</f>
        <v>8.8999999999999999E-3</v>
      </c>
      <c r="O3" s="3359">
        <f>ROUND(AVERAGEIF(O4:O16,"&lt;&gt;0"),4)</f>
        <v>6.6E-3</v>
      </c>
      <c r="P3" s="3359">
        <f>M3</f>
        <v>1.5E-3</v>
      </c>
      <c r="Q3" s="3357"/>
      <c r="R3" s="3374">
        <f>ROUND(SUMPRODUCT(PRODUCT(1+K4:K16)),4)</f>
        <v>1.0668</v>
      </c>
      <c r="S3" s="3375">
        <f>ROUND(SUMPRODUCT(PRODUCT(1+L4:L16)),4)</f>
        <v>1.0266999999999999</v>
      </c>
      <c r="T3" s="3375">
        <f>ROUND(SUMPRODUCT(PRODUCT(1+M4:M16)),4)</f>
        <v>1.0119</v>
      </c>
      <c r="U3" s="3375">
        <f>ROUND(SUMPRODUCT(PRODUCT(1+N4:N16)),4)</f>
        <v>1.0734999999999999</v>
      </c>
      <c r="V3" s="3375">
        <f>ROUND(SUMPRODUCT(PRODUCT(1+O4:O16)),4)</f>
        <v>1.054</v>
      </c>
      <c r="W3" s="3374">
        <f>T3</f>
        <v>1.0119</v>
      </c>
      <c r="X3" s="3357"/>
      <c r="Y3" s="3382">
        <f>ROUND(AVERAGEIF(Y5:Y16,"&lt;&gt;0"),4)</f>
        <v>8.6999999999999994E-3</v>
      </c>
      <c r="Z3" s="3383">
        <f>ROUND(AVERAGEIF(Z5:Z16,"&lt;&gt;0"),4)</f>
        <v>3.5000000000000001E-3</v>
      </c>
      <c r="AA3" s="3384">
        <f>ROUND(AVERAGEIF(AA5:AA16,"&lt;&gt;0"),4)</f>
        <v>8.9999999999999998E-4</v>
      </c>
      <c r="AB3" s="3382">
        <f>ROUND(AVERAGEIF(AB5:AB16,"&lt;&gt;0"),4)</f>
        <v>9.4999999999999998E-3</v>
      </c>
      <c r="AC3" s="3385">
        <f>ROUND(AVERAGEIF(AC5:AC16,"&lt;&gt;0"),4)</f>
        <v>6.1000000000000004E-3</v>
      </c>
      <c r="AD3" s="3382">
        <f>AA3</f>
        <v>8.9999999999999998E-4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3252</v>
      </c>
      <c r="B5" s="3402">
        <v>2023</v>
      </c>
      <c r="C5" s="3403">
        <v>4</v>
      </c>
      <c r="D5" s="3403">
        <v>0</v>
      </c>
      <c r="E5" s="3403">
        <v>0</v>
      </c>
      <c r="F5" s="3403">
        <v>0</v>
      </c>
      <c r="G5" s="3403">
        <v>0</v>
      </c>
      <c r="H5" s="3403">
        <v>0</v>
      </c>
      <c r="I5" s="3404">
        <f t="shared" ref="I5:I16" si="0">F5</f>
        <v>0</v>
      </c>
      <c r="J5" s="3364"/>
      <c r="K5" s="3365">
        <f t="shared" ref="K5:O16" si="1">D5/100</f>
        <v>0</v>
      </c>
      <c r="L5" s="3366">
        <f t="shared" si="1"/>
        <v>0</v>
      </c>
      <c r="M5" s="3366">
        <f t="shared" si="1"/>
        <v>0</v>
      </c>
      <c r="N5" s="3366">
        <f t="shared" si="1"/>
        <v>0</v>
      </c>
      <c r="O5" s="3366">
        <f t="shared" si="1"/>
        <v>0</v>
      </c>
      <c r="P5" s="3366">
        <f>M5</f>
        <v>0</v>
      </c>
      <c r="Q5" s="3364"/>
      <c r="R5" s="3380">
        <f>ROUND(IF(项目基本情况!$B$8="出让",SUMPRODUCT(PRODUCT(1+K5:$K$16)),SUMPRODUCT(PRODUCT(1+K5:$K$15))),4)</f>
        <v>1.0565</v>
      </c>
      <c r="S5" s="3380">
        <f>ROUND(IF(项目基本情况!$B$8="出让",SUMPRODUCT(PRODUCT(1+L5:$L$16)),SUMPRODUCT(PRODUCT(1+L5:$L$15))),4)</f>
        <v>1.0250999999999999</v>
      </c>
      <c r="T5" s="3380">
        <f>ROUND(IF(项目基本情况!$B$8="出让",SUMPRODUCT(PRODUCT(1+M5:$M$16)),SUMPRODUCT(PRODUCT(1+M5:$M$15))),4)</f>
        <v>1.0145</v>
      </c>
      <c r="U5" s="3380">
        <f>ROUND(IF(项目基本情况!$B$8="出让",SUMPRODUCT(PRODUCT(1+N5:$N$16)),SUMPRODUCT(PRODUCT(1+N5:$N$15))),4)</f>
        <v>1.0618000000000001</v>
      </c>
      <c r="V5" s="3380">
        <f>ROUND(IF(项目基本情况!$B$8="出让",SUMPRODUCT(PRODUCT(1+O5:$O$16)),SUMPRODUCT(PRODUCT(1+O5:$O$15))),4)</f>
        <v>1.0502</v>
      </c>
      <c r="W5" s="3380">
        <f>T5</f>
        <v>1.0145</v>
      </c>
      <c r="X5" s="3364"/>
      <c r="Y5" s="3389">
        <f>IF(D5=0,0,ROUND(AVERAGE(D5:D16)/100,4))</f>
        <v>0</v>
      </c>
      <c r="Z5" s="3389">
        <f>IF(E5=0,0,ROUND(AVERAGE(E5:E16)/100,4))</f>
        <v>0</v>
      </c>
      <c r="AA5" s="3389">
        <f>IF(F5=0,0,ROUND(AVERAGE(F5:F16)/100,4))</f>
        <v>0</v>
      </c>
      <c r="AB5" s="3389">
        <f>IF(G5=0,0,ROUND(AVERAGE(G5:G16)/100,4))</f>
        <v>0</v>
      </c>
      <c r="AC5" s="3389">
        <f>IF(H5=0,0,ROUND(AVERAGE(H5:H16)/100,4))</f>
        <v>0</v>
      </c>
      <c r="AD5" s="3389">
        <f t="shared" ref="AD5:AD15" si="2">AA5</f>
        <v>0</v>
      </c>
    </row>
    <row r="6" spans="1:30">
      <c r="A6" s="3343" t="s">
        <v>3253</v>
      </c>
      <c r="B6" s="3402">
        <v>2023</v>
      </c>
      <c r="C6" s="3403">
        <v>3</v>
      </c>
      <c r="D6" s="3403">
        <v>0</v>
      </c>
      <c r="E6" s="3403">
        <v>0</v>
      </c>
      <c r="F6" s="3403">
        <v>0</v>
      </c>
      <c r="G6" s="3403">
        <v>0</v>
      </c>
      <c r="H6" s="3403">
        <v>0</v>
      </c>
      <c r="I6" s="3404">
        <f t="shared" si="0"/>
        <v>0</v>
      </c>
      <c r="J6" s="3364"/>
      <c r="K6" s="3365">
        <f t="shared" ref="K6:K8" si="3">D6/100</f>
        <v>0</v>
      </c>
      <c r="L6" s="3366">
        <f t="shared" ref="L6:L8" si="4">E6/100</f>
        <v>0</v>
      </c>
      <c r="M6" s="3366">
        <f t="shared" ref="M6:M8" si="5">F6/100</f>
        <v>0</v>
      </c>
      <c r="N6" s="3366">
        <f t="shared" ref="N6:N8" si="6">G6/100</f>
        <v>0</v>
      </c>
      <c r="O6" s="3366">
        <f t="shared" ref="O6:O8" si="7">H6/100</f>
        <v>0</v>
      </c>
      <c r="P6" s="3366">
        <f t="shared" ref="P6:P8" si="8">M6</f>
        <v>0</v>
      </c>
      <c r="Q6" s="3364"/>
      <c r="R6" s="3380">
        <f>ROUND(IF(项目基本情况!$B$8="出让",SUMPRODUCT(PRODUCT(1+K6:$K$16)),SUMPRODUCT(PRODUCT(1+K6:$K$15))),4)</f>
        <v>1.0565</v>
      </c>
      <c r="S6" s="3380">
        <f>ROUND(IF(项目基本情况!$B$8="出让",SUMPRODUCT(PRODUCT(1+L6:$L$16)),SUMPRODUCT(PRODUCT(1+L6:$L$15))),4)</f>
        <v>1.0250999999999999</v>
      </c>
      <c r="T6" s="3380">
        <f>ROUND(IF(项目基本情况!$B$8="出让",SUMPRODUCT(PRODUCT(1+M6:$M$16)),SUMPRODUCT(PRODUCT(1+M6:$M$15))),4)</f>
        <v>1.0145</v>
      </c>
      <c r="U6" s="3380">
        <f>ROUND(IF(项目基本情况!$B$8="出让",SUMPRODUCT(PRODUCT(1+N6:$N$16)),SUMPRODUCT(PRODUCT(1+N6:$N$15))),4)</f>
        <v>1.0618000000000001</v>
      </c>
      <c r="V6" s="3380">
        <f>ROUND(IF(项目基本情况!$B$8="出让",SUMPRODUCT(PRODUCT(1+O6:$O$16)),SUMPRODUCT(PRODUCT(1+O6:$O$15))),4)</f>
        <v>1.0502</v>
      </c>
      <c r="W6" s="3380">
        <f t="shared" ref="W6:W8" si="9">T6</f>
        <v>1.0145</v>
      </c>
      <c r="X6" s="3364"/>
      <c r="Y6" s="3389">
        <f t="shared" ref="Y6:AC6" si="10">IF(D6=0,0,ROUND(AVERAGE(D6:D17)/100,4))</f>
        <v>0</v>
      </c>
      <c r="Z6" s="3389">
        <f t="shared" si="10"/>
        <v>0</v>
      </c>
      <c r="AA6" s="3389">
        <f t="shared" si="10"/>
        <v>0</v>
      </c>
      <c r="AB6" s="3389">
        <f t="shared" si="10"/>
        <v>0</v>
      </c>
      <c r="AC6" s="3389">
        <f t="shared" si="10"/>
        <v>0</v>
      </c>
      <c r="AD6" s="3389">
        <f t="shared" ref="AD6:AD8" si="11">AA6</f>
        <v>0</v>
      </c>
    </row>
    <row r="7" spans="1:30">
      <c r="A7" s="3343" t="s">
        <v>3251</v>
      </c>
      <c r="B7" s="3402">
        <v>2023</v>
      </c>
      <c r="C7" s="3403">
        <v>2</v>
      </c>
      <c r="D7" s="3403">
        <v>0</v>
      </c>
      <c r="E7" s="3403">
        <v>0</v>
      </c>
      <c r="F7" s="3403">
        <v>0</v>
      </c>
      <c r="G7" s="3403">
        <v>0</v>
      </c>
      <c r="H7" s="3403">
        <v>0</v>
      </c>
      <c r="I7" s="3404">
        <f t="shared" si="0"/>
        <v>0</v>
      </c>
      <c r="J7" s="3364"/>
      <c r="K7" s="3365">
        <f t="shared" si="3"/>
        <v>0</v>
      </c>
      <c r="L7" s="3366">
        <f t="shared" si="4"/>
        <v>0</v>
      </c>
      <c r="M7" s="3366">
        <f t="shared" si="5"/>
        <v>0</v>
      </c>
      <c r="N7" s="3366">
        <f t="shared" si="6"/>
        <v>0</v>
      </c>
      <c r="O7" s="3366">
        <f t="shared" si="7"/>
        <v>0</v>
      </c>
      <c r="P7" s="3366">
        <f t="shared" si="8"/>
        <v>0</v>
      </c>
      <c r="Q7" s="3364"/>
      <c r="R7" s="3380">
        <f>ROUND(IF(项目基本情况!$B$8="出让",SUMPRODUCT(PRODUCT(1+K7:$K$16)),SUMPRODUCT(PRODUCT(1+K7:$K$15))),4)</f>
        <v>1.0565</v>
      </c>
      <c r="S7" s="3380">
        <f>ROUND(IF(项目基本情况!$B$8="出让",SUMPRODUCT(PRODUCT(1+L7:$L$16)),SUMPRODUCT(PRODUCT(1+L7:$L$15))),4)</f>
        <v>1.0250999999999999</v>
      </c>
      <c r="T7" s="3380">
        <f>ROUND(IF(项目基本情况!$B$8="出让",SUMPRODUCT(PRODUCT(1+M7:$M$16)),SUMPRODUCT(PRODUCT(1+M7:$M$15))),4)</f>
        <v>1.0145</v>
      </c>
      <c r="U7" s="3380">
        <f>ROUND(IF(项目基本情况!$B$8="出让",SUMPRODUCT(PRODUCT(1+N7:$N$16)),SUMPRODUCT(PRODUCT(1+N7:$N$15))),4)</f>
        <v>1.0618000000000001</v>
      </c>
      <c r="V7" s="3380">
        <f>ROUND(IF(项目基本情况!$B$8="出让",SUMPRODUCT(PRODUCT(1+O7:$O$16)),SUMPRODUCT(PRODUCT(1+O7:$O$15))),4)</f>
        <v>1.0502</v>
      </c>
      <c r="W7" s="3380">
        <f t="shared" si="9"/>
        <v>1.0145</v>
      </c>
      <c r="X7" s="3364"/>
      <c r="Y7" s="3389">
        <f t="shared" ref="Y7:AC7" si="12">IF(D7=0,0,ROUND(AVERAGE(D7:D18)/100,4))</f>
        <v>0</v>
      </c>
      <c r="Z7" s="3389">
        <f t="shared" si="12"/>
        <v>0</v>
      </c>
      <c r="AA7" s="3389">
        <f t="shared" si="12"/>
        <v>0</v>
      </c>
      <c r="AB7" s="3389">
        <f t="shared" si="12"/>
        <v>0</v>
      </c>
      <c r="AC7" s="3389">
        <f t="shared" si="12"/>
        <v>0</v>
      </c>
      <c r="AD7" s="3389">
        <f t="shared" si="11"/>
        <v>0</v>
      </c>
    </row>
    <row r="8" spans="1:30">
      <c r="A8" s="3343" t="s">
        <v>2780</v>
      </c>
      <c r="B8" s="3402">
        <v>2023</v>
      </c>
      <c r="C8" s="3403">
        <v>1</v>
      </c>
      <c r="D8" s="3403">
        <v>0</v>
      </c>
      <c r="E8" s="3403">
        <v>0</v>
      </c>
      <c r="F8" s="3403">
        <v>0</v>
      </c>
      <c r="G8" s="3403">
        <v>0</v>
      </c>
      <c r="H8" s="3403">
        <v>0</v>
      </c>
      <c r="I8" s="3404">
        <f t="shared" si="0"/>
        <v>0</v>
      </c>
      <c r="J8" s="3364"/>
      <c r="K8" s="3365">
        <f t="shared" si="3"/>
        <v>0</v>
      </c>
      <c r="L8" s="3366">
        <f t="shared" si="4"/>
        <v>0</v>
      </c>
      <c r="M8" s="3366">
        <f t="shared" si="5"/>
        <v>0</v>
      </c>
      <c r="N8" s="3366">
        <f t="shared" si="6"/>
        <v>0</v>
      </c>
      <c r="O8" s="3366">
        <f t="shared" si="7"/>
        <v>0</v>
      </c>
      <c r="P8" s="3366">
        <f t="shared" si="8"/>
        <v>0</v>
      </c>
      <c r="Q8" s="3364"/>
      <c r="R8" s="3380">
        <f>ROUND(IF(项目基本情况!$B$8="出让",SUMPRODUCT(PRODUCT(1+K8:$K$16)),SUMPRODUCT(PRODUCT(1+K8:$K$15))),4)</f>
        <v>1.0565</v>
      </c>
      <c r="S8" s="3380">
        <f>ROUND(IF(项目基本情况!$B$8="出让",SUMPRODUCT(PRODUCT(1+L8:$L$16)),SUMPRODUCT(PRODUCT(1+L8:$L$15))),4)</f>
        <v>1.0250999999999999</v>
      </c>
      <c r="T8" s="3380">
        <f>ROUND(IF(项目基本情况!$B$8="出让",SUMPRODUCT(PRODUCT(1+M8:$M$16)),SUMPRODUCT(PRODUCT(1+M8:$M$15))),4)</f>
        <v>1.0145</v>
      </c>
      <c r="U8" s="3380">
        <f>ROUND(IF(项目基本情况!$B$8="出让",SUMPRODUCT(PRODUCT(1+N8:$N$16)),SUMPRODUCT(PRODUCT(1+N8:$N$15))),4)</f>
        <v>1.0618000000000001</v>
      </c>
      <c r="V8" s="3380">
        <f>ROUND(IF(项目基本情况!$B$8="出让",SUMPRODUCT(PRODUCT(1+O8:$O$16)),SUMPRODUCT(PRODUCT(1+O8:$O$15))),4)</f>
        <v>1.0502</v>
      </c>
      <c r="W8" s="3380">
        <f t="shared" si="9"/>
        <v>1.0145</v>
      </c>
      <c r="X8" s="3364"/>
      <c r="Y8" s="3389">
        <f t="shared" ref="Y8:AC8" si="13">IF(D8=0,0,ROUND(AVERAGE(D8:D19)/100,4))</f>
        <v>0</v>
      </c>
      <c r="Z8" s="3389">
        <f t="shared" si="13"/>
        <v>0</v>
      </c>
      <c r="AA8" s="3389">
        <f t="shared" si="13"/>
        <v>0</v>
      </c>
      <c r="AB8" s="3389">
        <f t="shared" si="13"/>
        <v>0</v>
      </c>
      <c r="AC8" s="3389">
        <f t="shared" si="13"/>
        <v>0</v>
      </c>
      <c r="AD8" s="3389">
        <f t="shared" si="11"/>
        <v>0</v>
      </c>
    </row>
    <row r="9" spans="1:30">
      <c r="A9" s="3344" t="s">
        <v>3249</v>
      </c>
      <c r="B9" s="3405">
        <v>2022</v>
      </c>
      <c r="C9" s="3406">
        <v>4</v>
      </c>
      <c r="D9" s="3406">
        <v>0.62</v>
      </c>
      <c r="E9" s="3406">
        <v>0.2</v>
      </c>
      <c r="F9" s="3406">
        <v>0.11</v>
      </c>
      <c r="G9" s="3406">
        <v>0.69</v>
      </c>
      <c r="H9" s="3407">
        <v>0.53</v>
      </c>
      <c r="I9" s="3408">
        <f t="shared" si="0"/>
        <v>0.11</v>
      </c>
      <c r="J9" s="3367"/>
      <c r="K9" s="3368">
        <f t="shared" si="1"/>
        <v>6.1999999999999998E-3</v>
      </c>
      <c r="L9" s="3369">
        <f t="shared" si="1"/>
        <v>2E-3</v>
      </c>
      <c r="M9" s="3369">
        <f t="shared" si="1"/>
        <v>1.1000000000000001E-3</v>
      </c>
      <c r="N9" s="3369">
        <f t="shared" si="1"/>
        <v>6.8999999999999999E-3</v>
      </c>
      <c r="O9" s="3369">
        <f t="shared" si="1"/>
        <v>5.3E-3</v>
      </c>
      <c r="P9" s="3369">
        <f t="shared" ref="P9:P16" si="14">M9</f>
        <v>1.1000000000000001E-3</v>
      </c>
      <c r="Q9" s="3367"/>
      <c r="R9" s="3367">
        <f>ROUND(IF(项目基本情况!B8="出让",SUMPRODUCT(PRODUCT(1+K9:K16)),SUMPRODUCT(PRODUCT(1+K9:K15))),4)</f>
        <v>1.0565</v>
      </c>
      <c r="S9" s="3367">
        <f>ROUND(IF(项目基本情况!B8="出让",SUMPRODUCT(PRODUCT(1+L9:L16)),SUMPRODUCT(PRODUCT(1+L9:L15))),4)</f>
        <v>1.0250999999999999</v>
      </c>
      <c r="T9" s="3367">
        <f>ROUND(IF(项目基本情况!B8="出让",SUMPRODUCT(PRODUCT(1+M9:M16)),SUMPRODUCT(PRODUCT(1+M9:M15))),4)</f>
        <v>1.0145</v>
      </c>
      <c r="U9" s="3367">
        <f>ROUND(IF(项目基本情况!B8="出让",SUMPRODUCT(PRODUCT(1+N9:N16)),SUMPRODUCT(PRODUCT(1+N9:N15))),4)</f>
        <v>1.0618000000000001</v>
      </c>
      <c r="V9" s="3367">
        <f>ROUND(IF(项目基本情况!B8="出让",SUMPRODUCT(PRODUCT(1+O9:O16)),SUMPRODUCT(PRODUCT(1+O9:O15))),4)</f>
        <v>1.0502</v>
      </c>
      <c r="W9" s="3367">
        <f t="shared" ref="W9:W16" si="15">T9</f>
        <v>1.0145</v>
      </c>
      <c r="X9" s="3367"/>
      <c r="Y9" s="3369">
        <f>IF(D9=0,0,ROUND(AVERAGE(D9:D17)/100,4))</f>
        <v>8.0999999999999996E-3</v>
      </c>
      <c r="Z9" s="3369">
        <f>IF(E9=0,0,ROUND(AVERAGE(E9:E16)/100,4))</f>
        <v>3.3E-3</v>
      </c>
      <c r="AA9" s="3369">
        <f>IF(F9=0,0,ROUND(AVERAGE(F9:F16)/100,4))</f>
        <v>1.5E-3</v>
      </c>
      <c r="AB9" s="3369">
        <f>IF(G9=0,0,ROUND(AVERAGE(G9:G16)/100,4))</f>
        <v>8.8999999999999999E-3</v>
      </c>
      <c r="AC9" s="3369">
        <f>IF(H9=0,0,ROUND(AVERAGE(H9:H16)/100,4))</f>
        <v>6.6E-3</v>
      </c>
      <c r="AD9" s="3369">
        <f t="shared" si="2"/>
        <v>1.5E-3</v>
      </c>
    </row>
    <row r="10" spans="1:30">
      <c r="A10" s="3343" t="s">
        <v>3247</v>
      </c>
      <c r="B10" s="3402">
        <v>2022</v>
      </c>
      <c r="C10" s="3403">
        <v>3</v>
      </c>
      <c r="D10" s="3403">
        <v>0.66</v>
      </c>
      <c r="E10" s="3403">
        <v>0.32</v>
      </c>
      <c r="F10" s="3403">
        <v>0.23</v>
      </c>
      <c r="G10" s="3403">
        <v>0.72</v>
      </c>
      <c r="H10" s="3409">
        <v>0.63</v>
      </c>
      <c r="I10" s="3404">
        <f t="shared" si="0"/>
        <v>0.23</v>
      </c>
      <c r="J10" s="3364"/>
      <c r="K10" s="3365">
        <f t="shared" si="1"/>
        <v>6.6E-3</v>
      </c>
      <c r="L10" s="3366">
        <f t="shared" si="1"/>
        <v>3.2000000000000002E-3</v>
      </c>
      <c r="M10" s="3366">
        <f t="shared" si="1"/>
        <v>2.3E-3</v>
      </c>
      <c r="N10" s="3366">
        <f t="shared" si="1"/>
        <v>7.1999999999999998E-3</v>
      </c>
      <c r="O10" s="3366">
        <f t="shared" si="1"/>
        <v>6.3E-3</v>
      </c>
      <c r="P10" s="3366">
        <f t="shared" si="14"/>
        <v>2.3E-3</v>
      </c>
      <c r="Q10" s="3364"/>
      <c r="R10" s="3380">
        <f>ROUND(IF(项目基本情况!B8="出让",SUMPRODUCT(PRODUCT(1+K10:K16)),SUMPRODUCT(PRODUCT(1+K10:K15))),4)</f>
        <v>1.05</v>
      </c>
      <c r="S10" s="3380">
        <f>ROUND(IF(项目基本情况!B8="出让",SUMPRODUCT(PRODUCT(1+L10:L16)),SUMPRODUCT(PRODUCT(1+L10:L15))),4)</f>
        <v>1.0229999999999999</v>
      </c>
      <c r="T10" s="3380">
        <f>ROUND(IF(项目基本情况!B8="出让",SUMPRODUCT(PRODUCT(1+M10:M16)),SUMPRODUCT(PRODUCT(1+M10:M15))),4)</f>
        <v>1.0134000000000001</v>
      </c>
      <c r="U10" s="3380">
        <f>ROUND(IF(项目基本情况!B8="出让",SUMPRODUCT(PRODUCT(1+N10:N16)),SUMPRODUCT(PRODUCT(1+N10:N15))),4)</f>
        <v>1.0545</v>
      </c>
      <c r="V10" s="3380">
        <f>ROUND(IF(项目基本情况!B8="出让",SUMPRODUCT(PRODUCT(1+O10:O16)),SUMPRODUCT(PRODUCT(1+O10:O15))),4)</f>
        <v>1.0447</v>
      </c>
      <c r="W10" s="3380">
        <f t="shared" si="15"/>
        <v>1.0134000000000001</v>
      </c>
      <c r="X10" s="3364"/>
      <c r="Y10" s="3389">
        <f>IF(D10=0,0,ROUND(AVERAGE(D10:D16)/100,4))</f>
        <v>8.3999999999999995E-3</v>
      </c>
      <c r="Z10" s="3389">
        <f>IF(E10=0,0,ROUND(AVERAGE(E10:E16)/100,4))</f>
        <v>3.5000000000000001E-3</v>
      </c>
      <c r="AA10" s="3389">
        <f>IF(F10=0,0,ROUND(AVERAGE(F10:F16)/100,4))</f>
        <v>1.5E-3</v>
      </c>
      <c r="AB10" s="3389">
        <f>IF(G10=0,0,ROUND(AVERAGE(G10:G16)/100,4))</f>
        <v>9.1999999999999998E-3</v>
      </c>
      <c r="AC10" s="3389">
        <f>IF(H10=0,0,ROUND(AVERAGE(H10:H16)/100,4))</f>
        <v>6.7999999999999996E-3</v>
      </c>
      <c r="AD10" s="3389">
        <f t="shared" si="2"/>
        <v>1.5E-3</v>
      </c>
    </row>
    <row r="11" spans="1:30">
      <c r="A11" s="3343" t="s">
        <v>3248</v>
      </c>
      <c r="B11" s="3402">
        <v>2022</v>
      </c>
      <c r="C11" s="3403">
        <v>2</v>
      </c>
      <c r="D11" s="3403">
        <v>0.93</v>
      </c>
      <c r="E11" s="3403">
        <v>0.15</v>
      </c>
      <c r="F11" s="3403">
        <v>0.01</v>
      </c>
      <c r="G11" s="3403">
        <v>1.05</v>
      </c>
      <c r="H11" s="3409">
        <v>1.08</v>
      </c>
      <c r="I11" s="3404">
        <f t="shared" si="0"/>
        <v>0.01</v>
      </c>
      <c r="J11" s="3364"/>
      <c r="K11" s="3365">
        <f t="shared" si="1"/>
        <v>9.300000000000001E-3</v>
      </c>
      <c r="L11" s="3366">
        <f t="shared" si="1"/>
        <v>1.5E-3</v>
      </c>
      <c r="M11" s="3366">
        <f t="shared" si="1"/>
        <v>1E-4</v>
      </c>
      <c r="N11" s="3366">
        <f t="shared" si="1"/>
        <v>1.0500000000000001E-2</v>
      </c>
      <c r="O11" s="3366">
        <f t="shared" si="1"/>
        <v>1.0800000000000001E-2</v>
      </c>
      <c r="P11" s="3366">
        <f t="shared" si="14"/>
        <v>1E-4</v>
      </c>
      <c r="Q11" s="3364"/>
      <c r="R11" s="3380">
        <f>ROUND(IF(项目基本情况!B8="出让",SUMPRODUCT(PRODUCT(1+K11:K16)),SUMPRODUCT(PRODUCT(1+K11:K15))),4)</f>
        <v>1.0430999999999999</v>
      </c>
      <c r="S11" s="3380">
        <f>ROUND(IF(项目基本情况!B8="出让",SUMPRODUCT(PRODUCT(1+L11:L16)),SUMPRODUCT(PRODUCT(1+L11:L15))),4)</f>
        <v>1.0197000000000001</v>
      </c>
      <c r="T11" s="3380">
        <f>ROUND(IF(项目基本情况!B8="出让",SUMPRODUCT(PRODUCT(1+M11:M16)),SUMPRODUCT(PRODUCT(1+M11:M15))),4)</f>
        <v>1.0109999999999999</v>
      </c>
      <c r="U11" s="3380">
        <f>ROUND(IF(项目基本情况!B8="出让",SUMPRODUCT(PRODUCT(1+N11:N16)),SUMPRODUCT(PRODUCT(1+N11:N15))),4)</f>
        <v>1.0468999999999999</v>
      </c>
      <c r="V11" s="3380">
        <f>ROUND(IF(项目基本情况!B8="出让",SUMPRODUCT(PRODUCT(1+O11:O16)),SUMPRODUCT(PRODUCT(1+O11:O15))),4)</f>
        <v>1.0382</v>
      </c>
      <c r="W11" s="3380">
        <f t="shared" si="15"/>
        <v>1.0109999999999999</v>
      </c>
      <c r="X11" s="3364"/>
      <c r="Y11" s="3389">
        <f>IF(D11=0,0,ROUND(AVERAGE(D11:D16)/100,4))</f>
        <v>8.6999999999999994E-3</v>
      </c>
      <c r="Z11" s="3389">
        <f>IF(E11=0,0,ROUND(AVERAGE(E11:E16)/100,4))</f>
        <v>3.5000000000000001E-3</v>
      </c>
      <c r="AA11" s="3389">
        <f>IF(F11=0,0,ROUND(AVERAGE(F11:F16)/100,4))</f>
        <v>1.4E-3</v>
      </c>
      <c r="AB11" s="3389">
        <f>IF(G11=0,0,ROUND(AVERAGE(G11:G16)/100,4))</f>
        <v>9.4999999999999998E-3</v>
      </c>
      <c r="AC11" s="3389">
        <f>IF(H11=0,0,ROUND(AVERAGE(H11:H16)/100,4))</f>
        <v>6.8999999999999999E-3</v>
      </c>
      <c r="AD11" s="3389">
        <f t="shared" si="2"/>
        <v>1.4E-3</v>
      </c>
    </row>
    <row r="12" spans="1:30">
      <c r="A12" s="3343" t="s">
        <v>2781</v>
      </c>
      <c r="B12" s="3402">
        <v>2022</v>
      </c>
      <c r="C12" s="3403">
        <v>1</v>
      </c>
      <c r="D12" s="3403">
        <v>0.89</v>
      </c>
      <c r="E12" s="3403">
        <v>0.44</v>
      </c>
      <c r="F12" s="3403">
        <v>0.37</v>
      </c>
      <c r="G12" s="3403">
        <v>0.96</v>
      </c>
      <c r="H12" s="3409">
        <v>0.64</v>
      </c>
      <c r="I12" s="3404">
        <f t="shared" si="0"/>
        <v>0.37</v>
      </c>
      <c r="J12" s="3364"/>
      <c r="K12" s="3365">
        <f t="shared" si="1"/>
        <v>8.8999999999999999E-3</v>
      </c>
      <c r="L12" s="3366">
        <f t="shared" si="1"/>
        <v>4.4000000000000003E-3</v>
      </c>
      <c r="M12" s="3366">
        <f t="shared" si="1"/>
        <v>3.7000000000000002E-3</v>
      </c>
      <c r="N12" s="3366">
        <f t="shared" si="1"/>
        <v>9.5999999999999992E-3</v>
      </c>
      <c r="O12" s="3366">
        <f t="shared" si="1"/>
        <v>6.4000000000000003E-3</v>
      </c>
      <c r="P12" s="3366">
        <f t="shared" si="14"/>
        <v>3.7000000000000002E-3</v>
      </c>
      <c r="Q12" s="3364"/>
      <c r="R12" s="3380">
        <f>ROUND(IF(项目基本情况!B8="出让",SUMPRODUCT(PRODUCT(1+K12:K16)),SUMPRODUCT(PRODUCT(1+K12:K15))),4)</f>
        <v>1.0335000000000001</v>
      </c>
      <c r="S12" s="3380">
        <f>ROUND(IF(项目基本情况!B8="出让",SUMPRODUCT(PRODUCT(1+L12:L16)),SUMPRODUCT(PRODUCT(1+L12:L15))),4)</f>
        <v>1.0182</v>
      </c>
      <c r="T12" s="3380">
        <f>ROUND(IF(项目基本情况!B8="出让",SUMPRODUCT(PRODUCT(1+M12:M16)),SUMPRODUCT(PRODUCT(1+M12:M15))),4)</f>
        <v>1.0108999999999999</v>
      </c>
      <c r="U12" s="3380">
        <f>ROUND(IF(项目基本情况!B8="出让",SUMPRODUCT(PRODUCT(1+N12:N16)),SUMPRODUCT(PRODUCT(1+N12:N15))),4)</f>
        <v>1.0361</v>
      </c>
      <c r="V12" s="3380">
        <f>ROUND(IF(项目基本情况!B8="出让",SUMPRODUCT(PRODUCT(1+O12:O16)),SUMPRODUCT(PRODUCT(1+O12:O15))),4)</f>
        <v>1.0270999999999999</v>
      </c>
      <c r="W12" s="3380">
        <f t="shared" si="15"/>
        <v>1.0108999999999999</v>
      </c>
      <c r="X12" s="3364"/>
      <c r="Y12" s="3389">
        <f>IF(D12=0,0,ROUND(AVERAGE(D12:D16)/100,4))</f>
        <v>8.6E-3</v>
      </c>
      <c r="Z12" s="3389">
        <f>IF(E12=0,0,ROUND(AVERAGE(E12:E16)/100,4))</f>
        <v>3.8999999999999998E-3</v>
      </c>
      <c r="AA12" s="3389">
        <f>IF(F12=0,0,ROUND(AVERAGE(F12:F16)/100,4))</f>
        <v>1.6999999999999999E-3</v>
      </c>
      <c r="AB12" s="3389">
        <f>IF(G12=0,0,ROUND(AVERAGE(G12:G16)/100,4))</f>
        <v>9.2999999999999992E-3</v>
      </c>
      <c r="AC12" s="3389">
        <f>IF(H12=0,0,ROUND(AVERAGE(H12:H16)/100,4))</f>
        <v>6.1000000000000004E-3</v>
      </c>
      <c r="AD12" s="3389">
        <f t="shared" si="2"/>
        <v>1.6999999999999999E-3</v>
      </c>
    </row>
    <row r="13" spans="1:30">
      <c r="A13" s="3343" t="s">
        <v>2782</v>
      </c>
      <c r="B13" s="3402">
        <v>2021</v>
      </c>
      <c r="C13" s="3403">
        <v>4</v>
      </c>
      <c r="D13" s="3403">
        <v>1.03</v>
      </c>
      <c r="E13" s="3403">
        <v>0.24</v>
      </c>
      <c r="F13" s="3403">
        <v>7.0000000000000007E-2</v>
      </c>
      <c r="G13" s="3403">
        <v>1.17</v>
      </c>
      <c r="H13" s="3409">
        <v>0.55000000000000004</v>
      </c>
      <c r="I13" s="3404">
        <f t="shared" si="0"/>
        <v>7.0000000000000007E-2</v>
      </c>
      <c r="J13" s="3364"/>
      <c r="K13" s="3365">
        <f t="shared" si="1"/>
        <v>1.03E-2</v>
      </c>
      <c r="L13" s="3366">
        <f t="shared" si="1"/>
        <v>2.3999999999999998E-3</v>
      </c>
      <c r="M13" s="3366">
        <f t="shared" si="1"/>
        <v>7.000000000000001E-4</v>
      </c>
      <c r="N13" s="3366">
        <f t="shared" si="1"/>
        <v>1.1699999999999999E-2</v>
      </c>
      <c r="O13" s="3366">
        <f t="shared" si="1"/>
        <v>5.5000000000000005E-3</v>
      </c>
      <c r="P13" s="3366">
        <f t="shared" si="14"/>
        <v>7.000000000000001E-4</v>
      </c>
      <c r="Q13" s="3364"/>
      <c r="R13" s="3380">
        <f>ROUND(IF(项目基本情况!B8="出让",SUMPRODUCT(PRODUCT(1+K13:K16)),SUMPRODUCT(PRODUCT(1+K13:K15))),4)</f>
        <v>1.0244</v>
      </c>
      <c r="S13" s="3380">
        <f>ROUND(IF(项目基本情况!B8="出让",SUMPRODUCT(PRODUCT(1+L13:L16)),SUMPRODUCT(PRODUCT(1+L13:L15))),4)</f>
        <v>1.0138</v>
      </c>
      <c r="T13" s="3380">
        <f>ROUND(IF(项目基本情况!B8="出让",SUMPRODUCT(PRODUCT(1+M13:M16)),SUMPRODUCT(PRODUCT(1+M13:M15))),4)</f>
        <v>1.0072000000000001</v>
      </c>
      <c r="U13" s="3380">
        <f>ROUND(IF(项目基本情况!B8="出让",SUMPRODUCT(PRODUCT(1+N13:N16)),SUMPRODUCT(PRODUCT(1+N13:N15))),4)</f>
        <v>1.0262</v>
      </c>
      <c r="V13" s="3380">
        <f>ROUND(IF(项目基本情况!B8="出让",SUMPRODUCT(PRODUCT(1+O13:O16)),SUMPRODUCT(PRODUCT(1+O13:O15))),4)</f>
        <v>1.0205</v>
      </c>
      <c r="W13" s="3380">
        <f t="shared" si="15"/>
        <v>1.0072000000000001</v>
      </c>
      <c r="X13" s="3364"/>
      <c r="Y13" s="3389">
        <f>IF(D13=0,0,ROUND(AVERAGE(D13:D16)/100,4))</f>
        <v>8.5000000000000006E-3</v>
      </c>
      <c r="Z13" s="3389">
        <f>IF(E13=0,0,ROUND(AVERAGE(E13:E16)/100,4))</f>
        <v>3.8E-3</v>
      </c>
      <c r="AA13" s="3389">
        <f>IF(F13=0,0,ROUND(AVERAGE(F13:F16)/100,4))</f>
        <v>1.1999999999999999E-3</v>
      </c>
      <c r="AB13" s="3389">
        <f>IF(G13=0,0,ROUND(AVERAGE(G13:G16)/100,4))</f>
        <v>9.2999999999999992E-3</v>
      </c>
      <c r="AC13" s="3389">
        <f>IF(H13=0,0,ROUND(AVERAGE(H13:H16)/100,4))</f>
        <v>6.0000000000000001E-3</v>
      </c>
      <c r="AD13" s="3389">
        <f t="shared" si="2"/>
        <v>1.1999999999999999E-3</v>
      </c>
    </row>
    <row r="14" spans="1:30">
      <c r="A14" s="3343" t="s">
        <v>2783</v>
      </c>
      <c r="B14" s="3402">
        <v>2021</v>
      </c>
      <c r="C14" s="3403">
        <v>3</v>
      </c>
      <c r="D14" s="3403">
        <v>0.47</v>
      </c>
      <c r="E14" s="3403">
        <v>0.41</v>
      </c>
      <c r="F14" s="3403">
        <v>0.24</v>
      </c>
      <c r="G14" s="3403">
        <v>0.48</v>
      </c>
      <c r="H14" s="3409">
        <v>0.48</v>
      </c>
      <c r="I14" s="3404">
        <f t="shared" si="0"/>
        <v>0.24</v>
      </c>
      <c r="J14" s="3364"/>
      <c r="K14" s="3365">
        <f t="shared" si="1"/>
        <v>4.6999999999999993E-3</v>
      </c>
      <c r="L14" s="3366">
        <f t="shared" si="1"/>
        <v>4.0999999999999995E-3</v>
      </c>
      <c r="M14" s="3366">
        <f t="shared" si="1"/>
        <v>2.3999999999999998E-3</v>
      </c>
      <c r="N14" s="3366">
        <f t="shared" si="1"/>
        <v>4.7999999999999996E-3</v>
      </c>
      <c r="O14" s="3366">
        <f t="shared" si="1"/>
        <v>4.7999999999999996E-3</v>
      </c>
      <c r="P14" s="3366">
        <f t="shared" si="14"/>
        <v>2.3999999999999998E-3</v>
      </c>
      <c r="Q14" s="3364"/>
      <c r="R14" s="3380">
        <f>ROUND(IF(项目基本情况!B8="出让",SUMPRODUCT(PRODUCT(1+K14:K16)),SUMPRODUCT(PRODUCT(1+K14:K15))),4)</f>
        <v>1.0139</v>
      </c>
      <c r="S14" s="3380">
        <f>ROUND(IF(项目基本情况!B8="出让",SUMPRODUCT(PRODUCT(1+L14:L16)),SUMPRODUCT(PRODUCT(1+L14:L15))),4)</f>
        <v>1.0113000000000001</v>
      </c>
      <c r="T14" s="3380">
        <f>ROUND(IF(项目基本情况!B8="出让",SUMPRODUCT(PRODUCT(1+M14:M16)),SUMPRODUCT(PRODUCT(1+M14:M15))),4)</f>
        <v>1.0065</v>
      </c>
      <c r="U14" s="3380">
        <f>ROUND(IF(项目基本情况!B8="出让",SUMPRODUCT(PRODUCT(1+N14:N16)),SUMPRODUCT(PRODUCT(1+N14:N15))),4)</f>
        <v>1.0143</v>
      </c>
      <c r="V14" s="3380">
        <f>ROUND(IF(项目基本情况!B8="出让",SUMPRODUCT(PRODUCT(1+O14:O16)),SUMPRODUCT(PRODUCT(1+O14:O15))),4)</f>
        <v>1.0148999999999999</v>
      </c>
      <c r="W14" s="3380">
        <f t="shared" si="15"/>
        <v>1.0065</v>
      </c>
      <c r="X14" s="3364"/>
      <c r="Y14" s="3389">
        <f>IF(D14=0,0,ROUND(AVERAGE(D14:D16)/100,4))</f>
        <v>7.9000000000000008E-3</v>
      </c>
      <c r="Z14" s="3389">
        <f>IF(E14=0,0,ROUND(AVERAGE(E14:E16)/100,4))</f>
        <v>4.3E-3</v>
      </c>
      <c r="AA14" s="3389">
        <f>IF(F14=0,0,ROUND(AVERAGE(F14:F16)/100,4))</f>
        <v>1.2999999999999999E-3</v>
      </c>
      <c r="AB14" s="3389">
        <f>IF(G14=0,0,ROUND(AVERAGE(G14:G16)/100,4))</f>
        <v>8.5000000000000006E-3</v>
      </c>
      <c r="AC14" s="3389">
        <f>IF(H14=0,0,ROUND(AVERAGE(H14:H16)/100,4))</f>
        <v>6.1999999999999998E-3</v>
      </c>
      <c r="AD14" s="3389">
        <f t="shared" si="2"/>
        <v>1.2999999999999999E-3</v>
      </c>
    </row>
    <row r="15" spans="1:30">
      <c r="A15" s="3343" t="s">
        <v>2784</v>
      </c>
      <c r="B15" s="3402">
        <v>2021</v>
      </c>
      <c r="C15" s="3403">
        <v>2</v>
      </c>
      <c r="D15" s="3403">
        <v>0.92</v>
      </c>
      <c r="E15" s="3403">
        <v>0.72</v>
      </c>
      <c r="F15" s="3403">
        <v>0.41</v>
      </c>
      <c r="G15" s="3403">
        <v>0.95</v>
      </c>
      <c r="H15" s="3409">
        <v>1.01</v>
      </c>
      <c r="I15" s="3404">
        <f t="shared" si="0"/>
        <v>0.41</v>
      </c>
      <c r="J15" s="3364"/>
      <c r="K15" s="3365">
        <f t="shared" si="1"/>
        <v>9.1999999999999998E-3</v>
      </c>
      <c r="L15" s="3366">
        <f t="shared" si="1"/>
        <v>7.1999999999999998E-3</v>
      </c>
      <c r="M15" s="3366">
        <f t="shared" si="1"/>
        <v>4.0999999999999995E-3</v>
      </c>
      <c r="N15" s="3366">
        <f t="shared" si="1"/>
        <v>9.4999999999999998E-3</v>
      </c>
      <c r="O15" s="3366">
        <f t="shared" si="1"/>
        <v>1.01E-2</v>
      </c>
      <c r="P15" s="3366">
        <f t="shared" si="14"/>
        <v>4.0999999999999995E-3</v>
      </c>
      <c r="Q15" s="3364"/>
      <c r="R15" s="3380">
        <f>ROUND(IF(项目基本情况!B8="出让",SUMPRODUCT(PRODUCT(1+K15:K16)),SUMPRODUCT(PRODUCT(1+K15:K15))),4)</f>
        <v>1.0092000000000001</v>
      </c>
      <c r="S15" s="3380">
        <f>ROUND(IF(项目基本情况!B8="出让",SUMPRODUCT(PRODUCT(1+L15:L16)),SUMPRODUCT(PRODUCT(1+L15:L15))),4)</f>
        <v>1.0072000000000001</v>
      </c>
      <c r="T15" s="3380">
        <f>ROUND(IF(项目基本情况!B8="出让",SUMPRODUCT(PRODUCT(1+M15:M16)),SUMPRODUCT(PRODUCT(1+M15:M15))),4)</f>
        <v>1.0041</v>
      </c>
      <c r="U15" s="3380">
        <f>ROUND(IF(项目基本情况!B8="出让",SUMPRODUCT(PRODUCT(1+N15:N16)),SUMPRODUCT(PRODUCT(1+N15:N15))),4)</f>
        <v>1.0095000000000001</v>
      </c>
      <c r="V15" s="3380">
        <f>ROUND(IF(项目基本情况!B8="出让",SUMPRODUCT(PRODUCT(1+O15:O16)),SUMPRODUCT(PRODUCT(1+O15:O15))),4)</f>
        <v>1.0101</v>
      </c>
      <c r="W15" s="3380">
        <f t="shared" si="15"/>
        <v>1.0041</v>
      </c>
      <c r="X15" s="3364"/>
      <c r="Y15" s="3389">
        <f>IF(D15=0,0,ROUND(AVERAGE(D15:D16)/100,4))</f>
        <v>9.4999999999999998E-3</v>
      </c>
      <c r="Z15" s="3389">
        <f>IF(E15=0,0,ROUND(AVERAGE(E15:E16)/100,4))</f>
        <v>4.4000000000000003E-3</v>
      </c>
      <c r="AA15" s="3389">
        <f>IF(F15=0,0,ROUND(AVERAGE(F15:F16)/100,4))</f>
        <v>8.0000000000000004E-4</v>
      </c>
      <c r="AB15" s="3389">
        <f>IF(G15=0,0,ROUND(AVERAGE(G15:G16)/100,4))</f>
        <v>1.03E-2</v>
      </c>
      <c r="AC15" s="3389">
        <f>IF(H15=0,0,ROUND(AVERAGE(H15:H16)/100,4))</f>
        <v>6.8999999999999999E-3</v>
      </c>
      <c r="AD15" s="3389">
        <f t="shared" si="2"/>
        <v>8.0000000000000004E-4</v>
      </c>
    </row>
    <row r="16" spans="1:30" ht="14.25" thickBot="1">
      <c r="A16" s="3345" t="s">
        <v>2785</v>
      </c>
      <c r="B16" s="3410">
        <v>2021</v>
      </c>
      <c r="C16" s="3411">
        <v>1</v>
      </c>
      <c r="D16" s="3411">
        <v>0.97</v>
      </c>
      <c r="E16" s="3411">
        <v>0.16</v>
      </c>
      <c r="F16" s="3411">
        <v>-0.25</v>
      </c>
      <c r="G16" s="3411">
        <v>1.1100000000000001</v>
      </c>
      <c r="H16" s="3412">
        <v>0.36</v>
      </c>
      <c r="I16" s="3413">
        <f t="shared" si="0"/>
        <v>-0.25</v>
      </c>
      <c r="J16" s="3370"/>
      <c r="K16" s="3371">
        <f t="shared" si="1"/>
        <v>9.7000000000000003E-3</v>
      </c>
      <c r="L16" s="3372">
        <f t="shared" si="1"/>
        <v>1.6000000000000001E-3</v>
      </c>
      <c r="M16" s="3372">
        <f>F16/100</f>
        <v>-2.5000000000000001E-3</v>
      </c>
      <c r="N16" s="3372">
        <f t="shared" si="1"/>
        <v>1.11E-2</v>
      </c>
      <c r="O16" s="3372">
        <f t="shared" si="1"/>
        <v>3.5999999999999999E-3</v>
      </c>
      <c r="P16" s="3372">
        <f t="shared" si="14"/>
        <v>-2.5000000000000001E-3</v>
      </c>
      <c r="Q16" s="3370"/>
      <c r="R16" s="3381">
        <v>1</v>
      </c>
      <c r="S16" s="3381">
        <v>1</v>
      </c>
      <c r="T16" s="3381">
        <v>1</v>
      </c>
      <c r="U16" s="3381">
        <v>1</v>
      </c>
      <c r="V16" s="3381">
        <v>1</v>
      </c>
      <c r="W16" s="3381">
        <f t="shared" si="15"/>
        <v>1</v>
      </c>
      <c r="X16" s="3370"/>
      <c r="Y16" s="3372">
        <f>IF(D16=0,0,ROUND(AVERAGE(D16:D16)/100,4))</f>
        <v>9.7000000000000003E-3</v>
      </c>
      <c r="Z16" s="3372">
        <f>IF(E16=0,0,ROUND(AVERAGE(E16:E16)/100,4))</f>
        <v>1.6000000000000001E-3</v>
      </c>
      <c r="AA16" s="3372">
        <f>IF(F16=0,0,ROUND(AVERAGE(F16:F16)/100,4))</f>
        <v>-2.5000000000000001E-3</v>
      </c>
      <c r="AB16" s="3372">
        <f>IF(G16=0,0,ROUND(AVERAGE(G16:G16)/100,4))</f>
        <v>1.11E-2</v>
      </c>
      <c r="AC16" s="3372">
        <f>IF(H16=0,0,ROUND(AVERAGE(H16:H16)/100,4))</f>
        <v>3.5999999999999999E-3</v>
      </c>
      <c r="AD16" s="3372">
        <f>AA16</f>
        <v>-2.5000000000000001E-3</v>
      </c>
    </row>
    <row r="17" spans="1:30" ht="14.25" thickTop="1">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661" t="s">
        <v>3254</v>
      </c>
      <c r="B18" s="3280"/>
      <c r="C18" s="3280"/>
      <c r="D18" s="3280"/>
      <c r="E18" s="3280"/>
      <c r="F18" s="3280"/>
      <c r="G18" s="3280"/>
      <c r="H18" s="3280"/>
      <c r="I18" s="3280"/>
      <c r="J18" s="3280"/>
      <c r="K18" s="3280"/>
      <c r="L18" s="3280"/>
      <c r="M18" s="3280"/>
      <c r="N18" s="3280"/>
      <c r="O18" s="3280"/>
      <c r="P18" s="3280"/>
      <c r="Q18" s="3280"/>
      <c r="R18" s="3280"/>
      <c r="S18" s="3280"/>
      <c r="T18" s="3280"/>
      <c r="U18" s="3280"/>
      <c r="V18" s="3280"/>
      <c r="W18" s="3280"/>
      <c r="X18" s="3280"/>
      <c r="Y18" s="3280"/>
      <c r="Z18" s="3280"/>
      <c r="AA18" s="3280"/>
      <c r="AB18" s="3280"/>
      <c r="AC18" s="3280"/>
      <c r="AD18" s="3280"/>
    </row>
    <row r="19" spans="1:30">
      <c r="A19" s="3280"/>
      <c r="B19" s="3280"/>
      <c r="C19" s="3280"/>
      <c r="D19" s="3280"/>
      <c r="E19" s="3280"/>
      <c r="F19" s="3280"/>
      <c r="G19" s="3280"/>
      <c r="H19" s="3280"/>
      <c r="I19" s="3373" t="s">
        <v>2797</v>
      </c>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280"/>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346"/>
      <c r="B21" s="3347" t="s">
        <v>2798</v>
      </c>
      <c r="C21" s="3348"/>
      <c r="D21" s="3348"/>
      <c r="E21" s="3348"/>
      <c r="F21" s="3348"/>
      <c r="G21" s="3348"/>
      <c r="H21" s="3348"/>
      <c r="I21" s="3348"/>
      <c r="J21" s="3349"/>
      <c r="K21" s="3348" t="s">
        <v>2790</v>
      </c>
      <c r="L21" s="3348"/>
      <c r="M21" s="3348"/>
      <c r="N21" s="3348"/>
      <c r="O21" s="3348"/>
      <c r="P21" s="3348"/>
      <c r="Q21" s="3349"/>
      <c r="R21" s="3975" t="s">
        <v>2806</v>
      </c>
      <c r="S21" s="3976"/>
      <c r="T21" s="3976"/>
      <c r="U21" s="3976"/>
      <c r="V21" s="3976"/>
      <c r="W21" s="3976"/>
      <c r="X21" s="3349"/>
      <c r="Y21" s="3975" t="s">
        <v>1922</v>
      </c>
      <c r="Z21" s="3976"/>
      <c r="AA21" s="3976"/>
      <c r="AB21" s="3976"/>
      <c r="AC21" s="3976"/>
      <c r="AD21" s="3976"/>
    </row>
    <row r="22" spans="1:30" ht="14.25" thickBot="1">
      <c r="A22" s="3340"/>
      <c r="B22" s="3350"/>
      <c r="C22" s="3351"/>
      <c r="D22" s="3352" t="s">
        <v>2792</v>
      </c>
      <c r="E22" s="3353" t="s">
        <v>2793</v>
      </c>
      <c r="F22" s="3353" t="s">
        <v>2794</v>
      </c>
      <c r="G22" s="3353" t="s">
        <v>1468</v>
      </c>
      <c r="H22" s="3353"/>
      <c r="I22" s="3353" t="s">
        <v>2736</v>
      </c>
      <c r="J22" s="3354"/>
      <c r="K22" s="3352" t="s">
        <v>2792</v>
      </c>
      <c r="L22" s="3353" t="s">
        <v>2793</v>
      </c>
      <c r="M22" s="3353" t="s">
        <v>2794</v>
      </c>
      <c r="N22" s="3353" t="s">
        <v>2795</v>
      </c>
      <c r="O22" s="3353"/>
      <c r="P22" s="3353" t="s">
        <v>2736</v>
      </c>
      <c r="Q22" s="3354"/>
      <c r="R22" s="3352" t="s">
        <v>2807</v>
      </c>
      <c r="S22" s="3353" t="s">
        <v>2808</v>
      </c>
      <c r="T22" s="3353" t="s">
        <v>2794</v>
      </c>
      <c r="U22" s="3353" t="s">
        <v>1468</v>
      </c>
      <c r="V22" s="3353"/>
      <c r="W22" s="3353" t="s">
        <v>2809</v>
      </c>
      <c r="X22" s="3354"/>
      <c r="Y22" s="3352" t="s">
        <v>2791</v>
      </c>
      <c r="Z22" s="3353" t="s">
        <v>2793</v>
      </c>
      <c r="AA22" s="3353" t="s">
        <v>2794</v>
      </c>
      <c r="AB22" s="3353" t="s">
        <v>1468</v>
      </c>
      <c r="AC22" s="3353"/>
      <c r="AD22" s="3353" t="s">
        <v>2812</v>
      </c>
    </row>
    <row r="23" spans="1:30">
      <c r="A23" s="3341" t="s">
        <v>2786</v>
      </c>
      <c r="B23" s="3355"/>
      <c r="C23" s="3356"/>
      <c r="D23" s="3356"/>
      <c r="E23" s="3356">
        <f>ROUND(AVERAGEIF(E24:E36,"&lt;&gt;0"),2)</f>
        <v>0.4</v>
      </c>
      <c r="F23" s="3356">
        <f>ROUND(AVERAGEIF(F24:F36,"&lt;&gt;0"),2)</f>
        <v>0.26</v>
      </c>
      <c r="G23" s="3356">
        <f>ROUND(AVERAGEIF(G24:G36,"&lt;&gt;0"),2)</f>
        <v>0.74</v>
      </c>
      <c r="H23" s="3356"/>
      <c r="I23" s="3356">
        <f>F23</f>
        <v>0.26</v>
      </c>
      <c r="J23" s="3357"/>
      <c r="K23" s="3358"/>
      <c r="L23" s="3359">
        <f>ROUND(AVERAGEIF(L24:L36,"&lt;&gt;0"),4)</f>
        <v>4.0000000000000001E-3</v>
      </c>
      <c r="M23" s="3359">
        <f>ROUND(AVERAGEIF(M24:M36,"&lt;&gt;0"),4)</f>
        <v>2.5999999999999999E-3</v>
      </c>
      <c r="N23" s="3359">
        <f>ROUND(AVERAGEIF(N24:N36,"&lt;&gt;0"),4)</f>
        <v>7.4000000000000003E-3</v>
      </c>
      <c r="O23" s="3359"/>
      <c r="P23" s="3359">
        <f>M23</f>
        <v>2.5999999999999999E-3</v>
      </c>
      <c r="Q23" s="3357"/>
      <c r="R23" s="3374"/>
      <c r="S23" s="3375">
        <f>ROUND(SUMPRODUCT(PRODUCT(1+L24:L36)),4)</f>
        <v>1.0323</v>
      </c>
      <c r="T23" s="3375">
        <f>ROUND(SUMPRODUCT(PRODUCT(1+M24:M36)),4)</f>
        <v>1.0213000000000001</v>
      </c>
      <c r="U23" s="3375">
        <f>ROUND(SUMPRODUCT(PRODUCT(1+N24:N36)),4)</f>
        <v>1.0609</v>
      </c>
      <c r="V23" s="3375"/>
      <c r="W23" s="3374">
        <f>T23</f>
        <v>1.0213000000000001</v>
      </c>
      <c r="X23" s="3357"/>
      <c r="Y23" s="3382"/>
      <c r="Z23" s="3383">
        <f>ROUND(AVERAGEIF(Z24:Z36,"&lt;&gt;0"),4)</f>
        <v>4.3E-3</v>
      </c>
      <c r="AA23" s="3384">
        <f>ROUND(AVERAGEIF(AA24:AA36,"&lt;&gt;0"),4)</f>
        <v>3.5999999999999999E-3</v>
      </c>
      <c r="AB23" s="3382">
        <f>ROUND(AVERAGEIF(AB24:AB36,"&lt;&gt;0"),4)</f>
        <v>8.8999999999999999E-3</v>
      </c>
      <c r="AC23" s="3385"/>
      <c r="AD23" s="3382">
        <f>AA23</f>
        <v>3.5999999999999999E-3</v>
      </c>
    </row>
    <row r="24" spans="1:30">
      <c r="A24" s="3342"/>
      <c r="B24" s="3360"/>
      <c r="C24" s="3361"/>
      <c r="D24" s="3361"/>
      <c r="E24" s="3361"/>
      <c r="F24" s="3361"/>
      <c r="G24" s="3361"/>
      <c r="H24" s="3361"/>
      <c r="I24" s="3361"/>
      <c r="J24" s="3349"/>
      <c r="K24" s="3362"/>
      <c r="L24" s="3363"/>
      <c r="M24" s="3363"/>
      <c r="N24" s="3363"/>
      <c r="O24" s="3363"/>
      <c r="P24" s="3363"/>
      <c r="Q24" s="3349"/>
      <c r="R24" s="3376"/>
      <c r="S24" s="3377"/>
      <c r="T24" s="3378"/>
      <c r="U24" s="3376"/>
      <c r="V24" s="3379"/>
      <c r="W24" s="3376"/>
      <c r="X24" s="3349"/>
      <c r="Y24" s="3366"/>
      <c r="Z24" s="3386"/>
      <c r="AA24" s="3387"/>
      <c r="AB24" s="3366"/>
      <c r="AC24" s="3388"/>
      <c r="AD24" s="3366"/>
    </row>
    <row r="25" spans="1:30">
      <c r="A25" s="3343" t="s">
        <v>3252</v>
      </c>
      <c r="B25" s="3402">
        <v>2023</v>
      </c>
      <c r="C25" s="3403">
        <v>4</v>
      </c>
      <c r="D25" s="3403"/>
      <c r="E25" s="3403">
        <v>0</v>
      </c>
      <c r="F25" s="3403">
        <v>0</v>
      </c>
      <c r="G25" s="3403">
        <v>0</v>
      </c>
      <c r="H25" s="3403"/>
      <c r="I25" s="3404">
        <f t="shared" ref="I25:I36" si="16">F25</f>
        <v>0</v>
      </c>
      <c r="J25" s="3364"/>
      <c r="K25" s="3365"/>
      <c r="L25" s="3366">
        <f t="shared" ref="L25:N36" si="17">E25/100</f>
        <v>0</v>
      </c>
      <c r="M25" s="3366">
        <f t="shared" si="17"/>
        <v>0</v>
      </c>
      <c r="N25" s="3366">
        <f t="shared" si="17"/>
        <v>0</v>
      </c>
      <c r="O25" s="3366"/>
      <c r="P25" s="3366">
        <f>M25</f>
        <v>0</v>
      </c>
      <c r="Q25" s="3364"/>
      <c r="R25" s="3380"/>
      <c r="S25" s="3380">
        <f>ROUND(IF(项目基本情况!$B$8="出让",SUMPRODUCT(PRODUCT(1+L25:L$36)),SUMPRODUCT(PRODUCT(1+L25:L$35))),4)</f>
        <v>1.0286999999999999</v>
      </c>
      <c r="T25" s="3380">
        <f>ROUND(IF(项目基本情况!$B$8="出让",SUMPRODUCT(PRODUCT(1+M25:M$36)),SUMPRODUCT(PRODUCT(1+M25:M$35))),4)</f>
        <v>1.0164</v>
      </c>
      <c r="U25" s="3380">
        <f>ROUND(IF(项目基本情况!$B$8="出让",SUMPRODUCT(PRODUCT(1+N25:N$36)),SUMPRODUCT(PRODUCT(1+N25:N$35))),4)</f>
        <v>1.0506</v>
      </c>
      <c r="V25" s="3380"/>
      <c r="W25" s="3380">
        <f>T25</f>
        <v>1.0164</v>
      </c>
      <c r="X25" s="3364"/>
      <c r="Y25" s="3389"/>
      <c r="Z25" s="3390">
        <f>IF(E25=0,0,ROUND(AVERAGE(E25:E36)/100,4))</f>
        <v>0</v>
      </c>
      <c r="AA25" s="3390">
        <f>IF(F25=0,0,ROUND(AVERAGE(F25:F36)/100,4))</f>
        <v>0</v>
      </c>
      <c r="AB25" s="3390">
        <f>IF(G25=0,0,ROUND(AVERAGE(G25:G36)/100,4))</f>
        <v>0</v>
      </c>
      <c r="AC25" s="3391"/>
      <c r="AD25" s="3389">
        <f>IF(I25=0,0,ROUND(AVERAGE(I25:I36)/100,4))</f>
        <v>0</v>
      </c>
    </row>
    <row r="26" spans="1:30">
      <c r="A26" s="3343" t="s">
        <v>3253</v>
      </c>
      <c r="B26" s="3402">
        <v>2023</v>
      </c>
      <c r="C26" s="3403">
        <v>3</v>
      </c>
      <c r="D26" s="3403"/>
      <c r="E26" s="3403">
        <v>0</v>
      </c>
      <c r="F26" s="3403">
        <v>0</v>
      </c>
      <c r="G26" s="3403">
        <v>0</v>
      </c>
      <c r="H26" s="3409"/>
      <c r="I26" s="3404">
        <f t="shared" si="16"/>
        <v>0</v>
      </c>
      <c r="J26" s="3364"/>
      <c r="K26" s="3365"/>
      <c r="L26" s="3366">
        <f t="shared" ref="L26:L28" si="18">E26/100</f>
        <v>0</v>
      </c>
      <c r="M26" s="3366">
        <f t="shared" ref="M26:M28" si="19">F26/100</f>
        <v>0</v>
      </c>
      <c r="N26" s="3366">
        <f t="shared" ref="N26:N28" si="20">G26/100</f>
        <v>0</v>
      </c>
      <c r="O26" s="3366"/>
      <c r="P26" s="3366">
        <f t="shared" ref="P26:P28" si="21">M26</f>
        <v>0</v>
      </c>
      <c r="Q26" s="3364"/>
      <c r="R26" s="3380"/>
      <c r="S26" s="3380">
        <f>ROUND(IF(项目基本情况!$B$8="出让",SUMPRODUCT(PRODUCT(1+L26:L$36)),SUMPRODUCT(PRODUCT(1+L26:L$35))),4)</f>
        <v>1.0286999999999999</v>
      </c>
      <c r="T26" s="3380">
        <f>ROUND(IF(项目基本情况!$B$8="出让",SUMPRODUCT(PRODUCT(1+M26:M$36)),SUMPRODUCT(PRODUCT(1+M26:M$35))),4)</f>
        <v>1.0164</v>
      </c>
      <c r="U26" s="3380">
        <f>ROUND(IF(项目基本情况!$B$8="出让",SUMPRODUCT(PRODUCT(1+N26:N$36)),SUMPRODUCT(PRODUCT(1+N26:N$35))),4)</f>
        <v>1.0506</v>
      </c>
      <c r="V26" s="3380"/>
      <c r="W26" s="3380">
        <f t="shared" ref="W26:W28" si="22">T26</f>
        <v>1.0164</v>
      </c>
      <c r="X26" s="3364"/>
      <c r="Y26" s="3389"/>
      <c r="Z26" s="3390">
        <f t="shared" ref="Z26:AB26" si="23">IF(E26=0,0,ROUND(AVERAGE(E26:E37)/100,4))</f>
        <v>0</v>
      </c>
      <c r="AA26" s="3390">
        <f t="shared" si="23"/>
        <v>0</v>
      </c>
      <c r="AB26" s="3390">
        <f t="shared" si="23"/>
        <v>0</v>
      </c>
      <c r="AC26" s="3391"/>
      <c r="AD26" s="3389">
        <f t="shared" ref="AD26:AD28" si="24">IF(I26=0,0,ROUND(AVERAGE(I26:I37)/100,4))</f>
        <v>0</v>
      </c>
    </row>
    <row r="27" spans="1:30">
      <c r="A27" s="3343" t="s">
        <v>3251</v>
      </c>
      <c r="B27" s="3402">
        <v>2023</v>
      </c>
      <c r="C27" s="3403">
        <v>2</v>
      </c>
      <c r="D27" s="3403"/>
      <c r="E27" s="3403">
        <v>0</v>
      </c>
      <c r="F27" s="3403">
        <v>0</v>
      </c>
      <c r="G27" s="3403">
        <v>0</v>
      </c>
      <c r="H27" s="3409"/>
      <c r="I27" s="3404">
        <f t="shared" si="16"/>
        <v>0</v>
      </c>
      <c r="J27" s="3364"/>
      <c r="K27" s="3365"/>
      <c r="L27" s="3366">
        <f t="shared" si="18"/>
        <v>0</v>
      </c>
      <c r="M27" s="3366">
        <f t="shared" si="19"/>
        <v>0</v>
      </c>
      <c r="N27" s="3366">
        <f t="shared" si="20"/>
        <v>0</v>
      </c>
      <c r="O27" s="3366"/>
      <c r="P27" s="3366">
        <f t="shared" si="21"/>
        <v>0</v>
      </c>
      <c r="Q27" s="3364"/>
      <c r="R27" s="3380"/>
      <c r="S27" s="3380">
        <f>ROUND(IF(项目基本情况!$B$8="出让",SUMPRODUCT(PRODUCT(1+L27:L$36)),SUMPRODUCT(PRODUCT(1+L27:L$35))),4)</f>
        <v>1.0286999999999999</v>
      </c>
      <c r="T27" s="3380">
        <f>ROUND(IF(项目基本情况!$B$8="出让",SUMPRODUCT(PRODUCT(1+M27:M$36)),SUMPRODUCT(PRODUCT(1+M27:M$35))),4)</f>
        <v>1.0164</v>
      </c>
      <c r="U27" s="3380">
        <f>ROUND(IF(项目基本情况!$B$8="出让",SUMPRODUCT(PRODUCT(1+N27:N$36)),SUMPRODUCT(PRODUCT(1+N27:N$35))),4)</f>
        <v>1.0506</v>
      </c>
      <c r="V27" s="3380"/>
      <c r="W27" s="3380">
        <f t="shared" si="22"/>
        <v>1.0164</v>
      </c>
      <c r="X27" s="3364"/>
      <c r="Y27" s="3389"/>
      <c r="Z27" s="3390">
        <f t="shared" ref="Z27:AB27" si="25">IF(E27=0,0,ROUND(AVERAGE(E27:E38)/100,4))</f>
        <v>0</v>
      </c>
      <c r="AA27" s="3390">
        <f t="shared" si="25"/>
        <v>0</v>
      </c>
      <c r="AB27" s="3390">
        <f t="shared" si="25"/>
        <v>0</v>
      </c>
      <c r="AC27" s="3391"/>
      <c r="AD27" s="3389">
        <f t="shared" si="24"/>
        <v>0</v>
      </c>
    </row>
    <row r="28" spans="1:30">
      <c r="A28" s="3343" t="s">
        <v>2780</v>
      </c>
      <c r="B28" s="3402">
        <v>2023</v>
      </c>
      <c r="C28" s="3403">
        <v>1</v>
      </c>
      <c r="D28" s="3403"/>
      <c r="E28" s="3403">
        <v>0</v>
      </c>
      <c r="F28" s="3403">
        <v>0</v>
      </c>
      <c r="G28" s="3403">
        <v>0</v>
      </c>
      <c r="H28" s="3409"/>
      <c r="I28" s="3404">
        <f t="shared" si="16"/>
        <v>0</v>
      </c>
      <c r="J28" s="3364"/>
      <c r="K28" s="3365"/>
      <c r="L28" s="3366">
        <f t="shared" si="18"/>
        <v>0</v>
      </c>
      <c r="M28" s="3366">
        <f t="shared" si="19"/>
        <v>0</v>
      </c>
      <c r="N28" s="3366">
        <f t="shared" si="20"/>
        <v>0</v>
      </c>
      <c r="O28" s="3366"/>
      <c r="P28" s="3366">
        <f t="shared" si="21"/>
        <v>0</v>
      </c>
      <c r="Q28" s="3364"/>
      <c r="R28" s="3380"/>
      <c r="S28" s="3380">
        <f>ROUND(IF(项目基本情况!$B$8="出让",SUMPRODUCT(PRODUCT(1+L28:L$36)),SUMPRODUCT(PRODUCT(1+L28:L$35))),4)</f>
        <v>1.0286999999999999</v>
      </c>
      <c r="T28" s="3380">
        <f>ROUND(IF(项目基本情况!$B$8="出让",SUMPRODUCT(PRODUCT(1+M28:M$36)),SUMPRODUCT(PRODUCT(1+M28:M$35))),4)</f>
        <v>1.0164</v>
      </c>
      <c r="U28" s="3380">
        <f>ROUND(IF(项目基本情况!$B$8="出让",SUMPRODUCT(PRODUCT(1+N28:N$36)),SUMPRODUCT(PRODUCT(1+N28:N$35))),4)</f>
        <v>1.0506</v>
      </c>
      <c r="V28" s="3380"/>
      <c r="W28" s="3380">
        <f t="shared" si="22"/>
        <v>1.0164</v>
      </c>
      <c r="X28" s="3364"/>
      <c r="Y28" s="3389"/>
      <c r="Z28" s="3390">
        <f t="shared" ref="Z28:AB28" si="26">IF(E28=0,0,ROUND(AVERAGE(E28:E39)/100,4))</f>
        <v>0</v>
      </c>
      <c r="AA28" s="3390">
        <f t="shared" si="26"/>
        <v>0</v>
      </c>
      <c r="AB28" s="3390">
        <f t="shared" si="26"/>
        <v>0</v>
      </c>
      <c r="AC28" s="3391"/>
      <c r="AD28" s="3389">
        <f t="shared" si="24"/>
        <v>0</v>
      </c>
    </row>
    <row r="29" spans="1:30">
      <c r="A29" s="3344" t="s">
        <v>3249</v>
      </c>
      <c r="B29" s="3405">
        <v>2022</v>
      </c>
      <c r="C29" s="3406">
        <v>4</v>
      </c>
      <c r="D29" s="3406"/>
      <c r="E29" s="3406">
        <v>0.45</v>
      </c>
      <c r="F29" s="3406">
        <v>0.2</v>
      </c>
      <c r="G29" s="3406">
        <v>0.38</v>
      </c>
      <c r="H29" s="3407"/>
      <c r="I29" s="3408">
        <f t="shared" si="16"/>
        <v>0.2</v>
      </c>
      <c r="J29" s="3367"/>
      <c r="K29" s="3368"/>
      <c r="L29" s="3369">
        <f t="shared" si="17"/>
        <v>4.5000000000000005E-3</v>
      </c>
      <c r="M29" s="3369">
        <f t="shared" si="17"/>
        <v>2E-3</v>
      </c>
      <c r="N29" s="3369">
        <f t="shared" si="17"/>
        <v>3.8E-3</v>
      </c>
      <c r="O29" s="3369"/>
      <c r="P29" s="3369">
        <f t="shared" ref="P29:P36" si="27">M29</f>
        <v>2E-3</v>
      </c>
      <c r="Q29" s="3367"/>
      <c r="R29" s="3367"/>
      <c r="S29" s="3367">
        <f>ROUND(IF(项目基本情况!$B$8="出让",SUMPRODUCT(PRODUCT(1+L29:L$36)),SUMPRODUCT(PRODUCT(1+L29:L$35))),4)</f>
        <v>1.0286999999999999</v>
      </c>
      <c r="T29" s="3367">
        <f>ROUND(IF(项目基本情况!$B$8="出让",SUMPRODUCT(PRODUCT(1+M29:M$36)),SUMPRODUCT(PRODUCT(1+M29:M$35))),4)</f>
        <v>1.0164</v>
      </c>
      <c r="U29" s="3367">
        <f>ROUND(IF(项目基本情况!$B$8="出让",SUMPRODUCT(PRODUCT(1+N29:N$36)),SUMPRODUCT(PRODUCT(1+N29:N$35))),4)</f>
        <v>1.0506</v>
      </c>
      <c r="V29" s="3367"/>
      <c r="W29" s="3367">
        <f t="shared" ref="W29:W36" si="28">T29</f>
        <v>1.0164</v>
      </c>
      <c r="X29" s="3367"/>
      <c r="Y29" s="3369"/>
      <c r="Z29" s="3393">
        <f t="shared" ref="Z29:AD36" si="29">IF(E29=0,0,ROUND(AVERAGE(E29:E37)/100,4))</f>
        <v>4.0000000000000001E-3</v>
      </c>
      <c r="AA29" s="3394">
        <f t="shared" si="29"/>
        <v>2.5999999999999999E-3</v>
      </c>
      <c r="AB29" s="3369">
        <f t="shared" si="29"/>
        <v>7.4000000000000003E-3</v>
      </c>
      <c r="AC29" s="3395"/>
      <c r="AD29" s="3369">
        <f t="shared" si="29"/>
        <v>2.5999999999999999E-3</v>
      </c>
    </row>
    <row r="30" spans="1:30">
      <c r="A30" s="3343" t="s">
        <v>3250</v>
      </c>
      <c r="B30" s="3402">
        <v>2022</v>
      </c>
      <c r="C30" s="3403">
        <v>3</v>
      </c>
      <c r="D30" s="3403"/>
      <c r="E30" s="3403">
        <v>0.3</v>
      </c>
      <c r="F30" s="3403">
        <v>0.28999999999999998</v>
      </c>
      <c r="G30" s="3403">
        <v>0.83</v>
      </c>
      <c r="H30" s="3409"/>
      <c r="I30" s="3404">
        <f t="shared" si="16"/>
        <v>0.28999999999999998</v>
      </c>
      <c r="J30" s="3364"/>
      <c r="K30" s="3365"/>
      <c r="L30" s="3366">
        <f t="shared" si="17"/>
        <v>3.0000000000000001E-3</v>
      </c>
      <c r="M30" s="3366">
        <f t="shared" si="17"/>
        <v>2.8999999999999998E-3</v>
      </c>
      <c r="N30" s="3366">
        <f t="shared" si="17"/>
        <v>8.3000000000000001E-3</v>
      </c>
      <c r="O30" s="3366"/>
      <c r="P30" s="3366">
        <f t="shared" si="27"/>
        <v>2.8999999999999998E-3</v>
      </c>
      <c r="Q30" s="3364"/>
      <c r="R30" s="3380"/>
      <c r="S30" s="3380">
        <f>ROUND(IF(项目基本情况!$B$8="出让",SUMPRODUCT(PRODUCT(1+L30:L$36)),SUMPRODUCT(PRODUCT(1+L30:L$35))),4)</f>
        <v>1.0241</v>
      </c>
      <c r="T30" s="3380">
        <f>ROUND(IF(项目基本情况!$B$8="出让",SUMPRODUCT(PRODUCT(1+M30:M$36)),SUMPRODUCT(PRODUCT(1+M30:M$35))),4)</f>
        <v>1.0144</v>
      </c>
      <c r="U30" s="3380">
        <f>ROUND(IF(项目基本情况!$B$8="出让",SUMPRODUCT(PRODUCT(1+N30:N$36)),SUMPRODUCT(PRODUCT(1+N30:N$35))),4)</f>
        <v>1.0467</v>
      </c>
      <c r="V30" s="3380"/>
      <c r="W30" s="3380">
        <f t="shared" si="28"/>
        <v>1.0144</v>
      </c>
      <c r="X30" s="3364"/>
      <c r="Y30" s="3389"/>
      <c r="Z30" s="3390">
        <f t="shared" si="29"/>
        <v>3.8999999999999998E-3</v>
      </c>
      <c r="AA30" s="3392">
        <f t="shared" si="29"/>
        <v>2.7000000000000001E-3</v>
      </c>
      <c r="AB30" s="3389">
        <f t="shared" si="29"/>
        <v>7.9000000000000008E-3</v>
      </c>
      <c r="AC30" s="3391"/>
      <c r="AD30" s="3389">
        <f t="shared" si="29"/>
        <v>2.7000000000000001E-3</v>
      </c>
    </row>
    <row r="31" spans="1:30">
      <c r="A31" s="3343" t="s">
        <v>3248</v>
      </c>
      <c r="B31" s="3402">
        <v>2022</v>
      </c>
      <c r="C31" s="3403">
        <v>2</v>
      </c>
      <c r="D31" s="3403"/>
      <c r="E31" s="3403">
        <v>-0.11</v>
      </c>
      <c r="F31" s="3403">
        <v>-0.13</v>
      </c>
      <c r="G31" s="3403">
        <v>0.53</v>
      </c>
      <c r="H31" s="3409"/>
      <c r="I31" s="3404">
        <f t="shared" si="16"/>
        <v>-0.13</v>
      </c>
      <c r="J31" s="3364"/>
      <c r="K31" s="3365"/>
      <c r="L31" s="3366">
        <f t="shared" si="17"/>
        <v>-1.1000000000000001E-3</v>
      </c>
      <c r="M31" s="3366">
        <f t="shared" si="17"/>
        <v>-1.2999999999999999E-3</v>
      </c>
      <c r="N31" s="3366">
        <f t="shared" si="17"/>
        <v>5.3E-3</v>
      </c>
      <c r="O31" s="3366"/>
      <c r="P31" s="3366">
        <f t="shared" si="27"/>
        <v>-1.2999999999999999E-3</v>
      </c>
      <c r="Q31" s="3364"/>
      <c r="R31" s="3380"/>
      <c r="S31" s="3380">
        <f>ROUND(IF(项目基本情况!$B$8="出让",SUMPRODUCT(PRODUCT(1+L31:L$36)),SUMPRODUCT(PRODUCT(1+L31:L$35))),4)</f>
        <v>1.0210999999999999</v>
      </c>
      <c r="T31" s="3380">
        <f>ROUND(IF(项目基本情况!$B$8="出让",SUMPRODUCT(PRODUCT(1+M31:M$36)),SUMPRODUCT(PRODUCT(1+M31:M$35))),4)</f>
        <v>1.0114000000000001</v>
      </c>
      <c r="U31" s="3380">
        <f>ROUND(IF(项目基本情况!$B$8="出让",SUMPRODUCT(PRODUCT(1+N31:N$36)),SUMPRODUCT(PRODUCT(1+N31:N$35))),4)</f>
        <v>1.0381</v>
      </c>
      <c r="V31" s="3380"/>
      <c r="W31" s="3380">
        <f t="shared" si="28"/>
        <v>1.0114000000000001</v>
      </c>
      <c r="X31" s="3364"/>
      <c r="Y31" s="3389"/>
      <c r="Z31" s="3390">
        <f t="shared" si="29"/>
        <v>4.1000000000000003E-3</v>
      </c>
      <c r="AA31" s="3392">
        <f t="shared" si="29"/>
        <v>2.7000000000000001E-3</v>
      </c>
      <c r="AB31" s="3389">
        <f t="shared" si="29"/>
        <v>7.9000000000000008E-3</v>
      </c>
      <c r="AC31" s="3391"/>
      <c r="AD31" s="3389">
        <f t="shared" si="29"/>
        <v>2.7000000000000001E-3</v>
      </c>
    </row>
    <row r="32" spans="1:30">
      <c r="A32" s="3343" t="s">
        <v>2781</v>
      </c>
      <c r="B32" s="3402">
        <v>2022</v>
      </c>
      <c r="C32" s="3403">
        <v>1</v>
      </c>
      <c r="D32" s="3403"/>
      <c r="E32" s="3403">
        <v>0.6</v>
      </c>
      <c r="F32" s="3403">
        <v>0.45</v>
      </c>
      <c r="G32" s="3403">
        <v>0.53</v>
      </c>
      <c r="H32" s="3409"/>
      <c r="I32" s="3404">
        <f t="shared" si="16"/>
        <v>0.45</v>
      </c>
      <c r="J32" s="3364"/>
      <c r="K32" s="3365"/>
      <c r="L32" s="3366">
        <f t="shared" si="17"/>
        <v>6.0000000000000001E-3</v>
      </c>
      <c r="M32" s="3366">
        <f t="shared" si="17"/>
        <v>4.5000000000000005E-3</v>
      </c>
      <c r="N32" s="3366">
        <f t="shared" si="17"/>
        <v>5.3E-3</v>
      </c>
      <c r="O32" s="3366"/>
      <c r="P32" s="3366">
        <f t="shared" si="27"/>
        <v>4.5000000000000005E-3</v>
      </c>
      <c r="Q32" s="3364"/>
      <c r="R32" s="3380"/>
      <c r="S32" s="3380">
        <f>ROUND(IF(项目基本情况!$B$8="出让",SUMPRODUCT(PRODUCT(1+L32:L$36)),SUMPRODUCT(PRODUCT(1+L32:L$35))),4)</f>
        <v>1.0222</v>
      </c>
      <c r="T32" s="3380">
        <f>ROUND(IF(项目基本情况!$B$8="出让",SUMPRODUCT(PRODUCT(1+M32:M$36)),SUMPRODUCT(PRODUCT(1+M32:M$35))),4)</f>
        <v>1.0127999999999999</v>
      </c>
      <c r="U32" s="3380">
        <f>ROUND(IF(项目基本情况!$B$8="出让",SUMPRODUCT(PRODUCT(1+N32:N$36)),SUMPRODUCT(PRODUCT(1+N32:N$35))),4)</f>
        <v>1.0326</v>
      </c>
      <c r="V32" s="3380"/>
      <c r="W32" s="3380">
        <f t="shared" si="28"/>
        <v>1.0127999999999999</v>
      </c>
      <c r="X32" s="3364"/>
      <c r="Y32" s="3389"/>
      <c r="Z32" s="3390">
        <f t="shared" si="29"/>
        <v>5.1000000000000004E-3</v>
      </c>
      <c r="AA32" s="3392">
        <f t="shared" si="29"/>
        <v>3.5000000000000001E-3</v>
      </c>
      <c r="AB32" s="3389">
        <f t="shared" si="29"/>
        <v>8.3999999999999995E-3</v>
      </c>
      <c r="AC32" s="3391"/>
      <c r="AD32" s="3389">
        <f t="shared" si="29"/>
        <v>3.5000000000000001E-3</v>
      </c>
    </row>
    <row r="33" spans="1:30">
      <c r="A33" s="3343" t="s">
        <v>2782</v>
      </c>
      <c r="B33" s="3402">
        <v>2021</v>
      </c>
      <c r="C33" s="3403">
        <v>4</v>
      </c>
      <c r="D33" s="3403"/>
      <c r="E33" s="3403">
        <v>0.57999999999999996</v>
      </c>
      <c r="F33" s="3403">
        <v>0.08</v>
      </c>
      <c r="G33" s="3403">
        <v>0.68</v>
      </c>
      <c r="H33" s="3409"/>
      <c r="I33" s="3404">
        <f t="shared" si="16"/>
        <v>0.08</v>
      </c>
      <c r="J33" s="3364"/>
      <c r="K33" s="3365"/>
      <c r="L33" s="3366">
        <f t="shared" si="17"/>
        <v>5.7999999999999996E-3</v>
      </c>
      <c r="M33" s="3366">
        <f t="shared" si="17"/>
        <v>8.0000000000000004E-4</v>
      </c>
      <c r="N33" s="3366">
        <f t="shared" si="17"/>
        <v>6.8000000000000005E-3</v>
      </c>
      <c r="O33" s="3366"/>
      <c r="P33" s="3366">
        <f t="shared" si="27"/>
        <v>8.0000000000000004E-4</v>
      </c>
      <c r="Q33" s="3364"/>
      <c r="R33" s="3380"/>
      <c r="S33" s="3380">
        <f>ROUND(IF(项目基本情况!$B$8="出让",SUMPRODUCT(PRODUCT(1+L33:L$36)),SUMPRODUCT(PRODUCT(1+L33:L$35))),4)</f>
        <v>1.0161</v>
      </c>
      <c r="T33" s="3380">
        <f>ROUND(IF(项目基本情况!$B$8="出让",SUMPRODUCT(PRODUCT(1+M33:M$36)),SUMPRODUCT(PRODUCT(1+M33:M$35))),4)</f>
        <v>1.0082</v>
      </c>
      <c r="U33" s="3380">
        <f>ROUND(IF(项目基本情况!$B$8="出让",SUMPRODUCT(PRODUCT(1+N33:N$36)),SUMPRODUCT(PRODUCT(1+N33:N$35))),4)</f>
        <v>1.0270999999999999</v>
      </c>
      <c r="V33" s="3380"/>
      <c r="W33" s="3380">
        <f t="shared" si="28"/>
        <v>1.0082</v>
      </c>
      <c r="X33" s="3364"/>
      <c r="Y33" s="3389"/>
      <c r="Z33" s="3390">
        <f t="shared" si="29"/>
        <v>4.8999999999999998E-3</v>
      </c>
      <c r="AA33" s="3392">
        <f t="shared" si="29"/>
        <v>3.3E-3</v>
      </c>
      <c r="AB33" s="3389">
        <f t="shared" si="29"/>
        <v>9.1999999999999998E-3</v>
      </c>
      <c r="AC33" s="3391"/>
      <c r="AD33" s="3389">
        <f t="shared" si="29"/>
        <v>3.3E-3</v>
      </c>
    </row>
    <row r="34" spans="1:30">
      <c r="A34" s="3343" t="s">
        <v>2783</v>
      </c>
      <c r="B34" s="3402">
        <v>2021</v>
      </c>
      <c r="C34" s="3403">
        <v>3</v>
      </c>
      <c r="D34" s="3403"/>
      <c r="E34" s="3403">
        <v>0.47</v>
      </c>
      <c r="F34" s="3403">
        <v>0.28000000000000003</v>
      </c>
      <c r="G34" s="3403">
        <v>0.91</v>
      </c>
      <c r="H34" s="3409"/>
      <c r="I34" s="3404">
        <f t="shared" si="16"/>
        <v>0.28000000000000003</v>
      </c>
      <c r="J34" s="3364"/>
      <c r="K34" s="3365"/>
      <c r="L34" s="3366">
        <f t="shared" si="17"/>
        <v>4.6999999999999993E-3</v>
      </c>
      <c r="M34" s="3366">
        <f t="shared" si="17"/>
        <v>2.8000000000000004E-3</v>
      </c>
      <c r="N34" s="3366">
        <f t="shared" si="17"/>
        <v>9.1000000000000004E-3</v>
      </c>
      <c r="O34" s="3366"/>
      <c r="P34" s="3366">
        <f t="shared" si="27"/>
        <v>2.8000000000000004E-3</v>
      </c>
      <c r="Q34" s="3364"/>
      <c r="R34" s="3380"/>
      <c r="S34" s="3380">
        <f>ROUND(IF(项目基本情况!$B$8="出让",SUMPRODUCT(PRODUCT(1+L34:L$36)),SUMPRODUCT(PRODUCT(1+L34:L$35))),4)</f>
        <v>1.0102</v>
      </c>
      <c r="T34" s="3380">
        <f>ROUND(IF(项目基本情况!$B$8="出让",SUMPRODUCT(PRODUCT(1+M34:M$36)),SUMPRODUCT(PRODUCT(1+M34:M$35))),4)</f>
        <v>1.0074000000000001</v>
      </c>
      <c r="U34" s="3380">
        <f>ROUND(IF(项目基本情况!$B$8="出让",SUMPRODUCT(PRODUCT(1+N34:N$36)),SUMPRODUCT(PRODUCT(1+N34:N$35))),4)</f>
        <v>1.0202</v>
      </c>
      <c r="V34" s="3380"/>
      <c r="W34" s="3380">
        <f t="shared" si="28"/>
        <v>1.0074000000000001</v>
      </c>
      <c r="X34" s="3364"/>
      <c r="Y34" s="3389"/>
      <c r="Z34" s="3390">
        <f t="shared" si="29"/>
        <v>4.5999999999999999E-3</v>
      </c>
      <c r="AA34" s="3392">
        <f t="shared" si="29"/>
        <v>4.1000000000000003E-3</v>
      </c>
      <c r="AB34" s="3389">
        <f t="shared" si="29"/>
        <v>0.01</v>
      </c>
      <c r="AC34" s="3391"/>
      <c r="AD34" s="3389">
        <f t="shared" si="29"/>
        <v>4.1000000000000003E-3</v>
      </c>
    </row>
    <row r="35" spans="1:30">
      <c r="A35" s="3343" t="s">
        <v>2787</v>
      </c>
      <c r="B35" s="3402">
        <v>2021</v>
      </c>
      <c r="C35" s="3403">
        <v>2</v>
      </c>
      <c r="D35" s="3403"/>
      <c r="E35" s="3403">
        <v>0.55000000000000004</v>
      </c>
      <c r="F35" s="3403">
        <v>0.46</v>
      </c>
      <c r="G35" s="3403">
        <v>1.1000000000000001</v>
      </c>
      <c r="H35" s="3409"/>
      <c r="I35" s="3404">
        <f t="shared" si="16"/>
        <v>0.46</v>
      </c>
      <c r="J35" s="3364"/>
      <c r="K35" s="3365"/>
      <c r="L35" s="3366">
        <f t="shared" si="17"/>
        <v>5.5000000000000005E-3</v>
      </c>
      <c r="M35" s="3366">
        <f t="shared" si="17"/>
        <v>4.5999999999999999E-3</v>
      </c>
      <c r="N35" s="3366">
        <f t="shared" si="17"/>
        <v>1.1000000000000001E-2</v>
      </c>
      <c r="O35" s="3366"/>
      <c r="P35" s="3366">
        <f t="shared" si="27"/>
        <v>4.5999999999999999E-3</v>
      </c>
      <c r="Q35" s="3364"/>
      <c r="R35" s="3380"/>
      <c r="S35" s="3380">
        <f>ROUND(IF(项目基本情况!$B$8="出让",SUMPRODUCT(PRODUCT(1+L35:L$36)),SUMPRODUCT(PRODUCT(1+L35:L$35))),4)</f>
        <v>1.0055000000000001</v>
      </c>
      <c r="T35" s="3380">
        <f>ROUND(IF(项目基本情况!$B$8="出让",SUMPRODUCT(PRODUCT(1+M35:M$36)),SUMPRODUCT(PRODUCT(1+M35:M$35))),4)</f>
        <v>1.0045999999999999</v>
      </c>
      <c r="U35" s="3380">
        <f>ROUND(IF(项目基本情况!$B$8="出让",SUMPRODUCT(PRODUCT(1+N35:N$36)),SUMPRODUCT(PRODUCT(1+N35:N$35))),4)</f>
        <v>1.0109999999999999</v>
      </c>
      <c r="V35" s="3380"/>
      <c r="W35" s="3380">
        <f t="shared" si="28"/>
        <v>1.0045999999999999</v>
      </c>
      <c r="X35" s="3364"/>
      <c r="Y35" s="3389"/>
      <c r="Z35" s="3390">
        <f t="shared" si="29"/>
        <v>4.4999999999999997E-3</v>
      </c>
      <c r="AA35" s="3392">
        <f t="shared" si="29"/>
        <v>4.7000000000000002E-3</v>
      </c>
      <c r="AB35" s="3389">
        <f t="shared" si="29"/>
        <v>1.04E-2</v>
      </c>
      <c r="AC35" s="3391"/>
      <c r="AD35" s="3389">
        <f t="shared" si="29"/>
        <v>4.7000000000000002E-3</v>
      </c>
    </row>
    <row r="36" spans="1:30" ht="14.25" thickBot="1">
      <c r="A36" s="3345" t="s">
        <v>2788</v>
      </c>
      <c r="B36" s="3410">
        <v>2021</v>
      </c>
      <c r="C36" s="3411">
        <v>1</v>
      </c>
      <c r="D36" s="3411"/>
      <c r="E36" s="3411">
        <v>0.35</v>
      </c>
      <c r="F36" s="3411">
        <v>0.48</v>
      </c>
      <c r="G36" s="3411">
        <v>0.98</v>
      </c>
      <c r="H36" s="3412"/>
      <c r="I36" s="3413">
        <f t="shared" si="16"/>
        <v>0.48</v>
      </c>
      <c r="J36" s="3370"/>
      <c r="K36" s="3371"/>
      <c r="L36" s="3372">
        <f t="shared" si="17"/>
        <v>3.4999999999999996E-3</v>
      </c>
      <c r="M36" s="3372">
        <f>F36/100</f>
        <v>4.7999999999999996E-3</v>
      </c>
      <c r="N36" s="3372">
        <f t="shared" si="17"/>
        <v>9.7999999999999997E-3</v>
      </c>
      <c r="O36" s="3372"/>
      <c r="P36" s="3372">
        <f t="shared" si="27"/>
        <v>4.7999999999999996E-3</v>
      </c>
      <c r="Q36" s="3370"/>
      <c r="R36" s="3381"/>
      <c r="S36" s="3381">
        <v>1</v>
      </c>
      <c r="T36" s="3381">
        <v>1</v>
      </c>
      <c r="U36" s="3381">
        <v>1</v>
      </c>
      <c r="V36" s="3381"/>
      <c r="W36" s="3381">
        <f t="shared" si="28"/>
        <v>1</v>
      </c>
      <c r="X36" s="3370"/>
      <c r="Y36" s="3372"/>
      <c r="Z36" s="3396">
        <f t="shared" si="29"/>
        <v>3.5000000000000001E-3</v>
      </c>
      <c r="AA36" s="3397">
        <f t="shared" si="29"/>
        <v>4.7999999999999996E-3</v>
      </c>
      <c r="AB36" s="3372">
        <f t="shared" si="29"/>
        <v>9.7999999999999997E-3</v>
      </c>
      <c r="AC36" s="3398"/>
      <c r="AD36" s="3372">
        <f t="shared" si="29"/>
        <v>4.7999999999999996E-3</v>
      </c>
    </row>
    <row r="37" spans="1:30" ht="14.25" thickTop="1"/>
    <row r="38" spans="1:30">
      <c r="A38" s="3661" t="s">
        <v>3255</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北京三博脑科医院有限公司：</v>
      </c>
    </row>
    <row r="4" spans="1:4" ht="37.5">
      <c r="A4" s="1578" t="str">
        <f>"受贵公司委托，我公司对"&amp;项目基本情况!K2&amp;项目基本情况!B9&amp;"进行了预评估。"</f>
        <v>受贵公司委托，我公司对北京市朝阳区东坝非配套项目用地（E组团A地块）出让国有建设用地使用权市场价格进行了预评估。</v>
      </c>
    </row>
    <row r="5" spans="1:4" ht="18.75">
      <c r="A5" s="1581" t="s">
        <v>1428</v>
      </c>
    </row>
    <row r="6" spans="1:4" ht="93.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三博脑科医院有限公司使用的、位于北京市朝阳区东坝非配套项目用地（E组团A地块）出让国有建设用地使用权。根据《国有土地使用证》[]，估价对象（分摊）出让国有建设用地使用权面积为22454.65平方米。根据《建设工程规划许可证》[]、《出让合同》[]，估价对象规划建筑面积为59167.44平方米。</v>
      </c>
    </row>
    <row r="7" spans="1:4" ht="56.25">
      <c r="A7" s="1582" t="s">
        <v>2026</v>
      </c>
    </row>
    <row r="8" spans="1:4" ht="18.75">
      <c r="A8" s="1581" t="s">
        <v>1429</v>
      </c>
    </row>
    <row r="9" spans="1:4" ht="56.2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1541</v>
      </c>
    </row>
    <row r="11" spans="1:4" ht="18.75">
      <c r="A11" s="1567" t="str">
        <f>TEXT(项目基本情况!D3,"yyyy年m月d日;;")&amp;IF(项目基本情况!B3=项目基本情况!D3,"（评估专业人员勘察现场之日）","")</f>
        <v>2023年1月16日（评估专业人员勘察现场之日）</v>
      </c>
    </row>
    <row r="12" spans="1:4" ht="18.75">
      <c r="A12" s="1584" t="s">
        <v>1540</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1587</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1588</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根据《国有土地使用证》[]，估价对象（分摊）出让国有建设用地使用权面积为22454.65平方米。根据《建设工程规划许可证》[]、《出让合同》[]，估价对象规划建筑面积为59167.44平方米。</v>
      </c>
    </row>
    <row r="21" spans="1:1" ht="18.75">
      <c r="A21" s="1578" t="s">
        <v>1589</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本次估价对象为出让国有建设用地使用权，《国有土地使用证》[]证载土地终止日期为车库2058年5月16日公共服务2058年5月16日。截至估价期日，出让国有建设用地使用权剩余土地使用年限为。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1590</v>
      </c>
    </row>
    <row r="25" spans="1:1" ht="75">
      <c r="A25" s="1578" t="str">
        <f>定义!C53</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26" spans="1:1" ht="18.75">
      <c r="A26" s="1578" t="str">
        <f>IF(项目基本情况!B9="市场价格","——",IF(项目基本情况!E8="抵押价格",定义!C54,IF(项目基本情况!E8="已注销",定义!C55,定义!C56)))</f>
        <v>——</v>
      </c>
    </row>
    <row r="27" spans="1:1" ht="18.7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8" t="str">
        <f>IF(项目基本情况!B9="市场价格","——",IF(项目基本情况!E9="——","",定义!C57))</f>
        <v>——</v>
      </c>
    </row>
    <row r="29" spans="1:1" ht="18.75">
      <c r="A29" s="1584" t="s">
        <v>1542</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2207</v>
      </c>
      <c r="B1" s="2987"/>
      <c r="C1" s="2987"/>
      <c r="D1" s="2987"/>
      <c r="E1" s="2987"/>
      <c r="F1" s="2987"/>
      <c r="G1" s="2988"/>
      <c r="H1" s="2988"/>
      <c r="I1" s="2988"/>
      <c r="J1" s="2988"/>
      <c r="K1" s="2988"/>
      <c r="L1" s="2988"/>
      <c r="M1" s="2988"/>
      <c r="N1" s="2988"/>
    </row>
    <row r="2" spans="1:14" ht="14.25">
      <c r="A2" s="2993" t="s">
        <v>2202</v>
      </c>
      <c r="B2" s="2998">
        <f ca="1">SUMIF(B7:B14,"&lt;&gt;#ref!",B7:B14)</f>
        <v>0</v>
      </c>
      <c r="C2" s="2993" t="s">
        <v>2203</v>
      </c>
      <c r="D2" s="2990"/>
      <c r="E2" s="2990"/>
      <c r="F2" s="2990"/>
      <c r="G2" s="2988"/>
      <c r="H2" s="2988"/>
      <c r="I2" s="2988"/>
      <c r="J2" s="2988"/>
      <c r="K2" s="2988"/>
      <c r="L2" s="2988"/>
      <c r="M2" s="2988"/>
      <c r="N2" s="2988"/>
    </row>
    <row r="3" spans="1:14" ht="14.25">
      <c r="A3" s="2993" t="s">
        <v>2231</v>
      </c>
      <c r="B3" s="2998" t="e">
        <f ca="1">ROUND(B2*10000/E3,0)</f>
        <v>#DIV/0!</v>
      </c>
      <c r="C3" s="2993" t="s">
        <v>1593</v>
      </c>
      <c r="D3" s="2993" t="s">
        <v>2204</v>
      </c>
      <c r="E3" s="2991">
        <f ca="1">SUMIF(E7:E14,"&lt;&gt;#ref!",E7:E14)</f>
        <v>0</v>
      </c>
      <c r="F3" s="2990"/>
      <c r="G3" s="2988"/>
      <c r="H3" s="2988"/>
      <c r="I3" s="2988"/>
      <c r="J3" s="2988"/>
      <c r="K3" s="2988"/>
      <c r="L3" s="2988"/>
      <c r="M3" s="2988"/>
      <c r="N3" s="2988"/>
    </row>
    <row r="4" spans="1:14" ht="14.25">
      <c r="A4" s="2993" t="s">
        <v>2210</v>
      </c>
      <c r="B4" s="2998" t="e">
        <f ca="1">ROUND(B2*10000/E4,0)</f>
        <v>#DIV/0!</v>
      </c>
      <c r="C4" s="2993" t="s">
        <v>1593</v>
      </c>
      <c r="D4" s="2993" t="s">
        <v>2211</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2208</v>
      </c>
      <c r="B6" s="2993" t="s">
        <v>2205</v>
      </c>
      <c r="C6" s="2544"/>
      <c r="D6" s="2990"/>
      <c r="E6" s="2993" t="s">
        <v>2206</v>
      </c>
      <c r="F6" s="2993" t="s">
        <v>2209</v>
      </c>
      <c r="G6" s="2988"/>
      <c r="H6" s="2988"/>
      <c r="I6" s="2988"/>
      <c r="J6" s="2988"/>
      <c r="K6" s="2988"/>
      <c r="L6" s="2988"/>
      <c r="M6" s="2988"/>
      <c r="N6" s="2988"/>
    </row>
    <row r="7" spans="1:14" ht="14.25">
      <c r="A7" s="2996"/>
      <c r="B7" s="2998" t="e">
        <f ca="1">SUMIF(INDIRECT("'"&amp;A7&amp;"'"&amp;"!A:A"),"总价",INDIRECT("'"&amp;A7&amp;"'"&amp;"!B:B"))</f>
        <v>#REF!</v>
      </c>
      <c r="C7" s="2993" t="s">
        <v>2203</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2203</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2203</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2203</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2203</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2203</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2203</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2203</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575</v>
      </c>
      <c r="B1" s="706"/>
      <c r="C1" s="739"/>
      <c r="D1" s="1773"/>
      <c r="E1" s="2078" t="s">
        <v>1725</v>
      </c>
      <c r="F1" s="2079">
        <f ca="1">J54</f>
        <v>-2.5</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576</v>
      </c>
      <c r="B2" s="741">
        <f ca="1">IF(ISERROR(C45+J31),0,C45+J31)</f>
        <v>0</v>
      </c>
      <c r="C2" s="1211"/>
      <c r="D2" s="1778"/>
      <c r="E2" s="1779"/>
      <c r="F2" s="1779"/>
      <c r="G2" s="1403"/>
      <c r="H2" s="1223"/>
      <c r="I2" s="1780"/>
      <c r="J2" s="1780"/>
      <c r="K2" s="1781"/>
      <c r="L2" s="1780"/>
      <c r="M2" s="1780"/>
    </row>
    <row r="3" spans="1:25" ht="18" customHeight="1">
      <c r="A3" s="1450" t="s">
        <v>1218</v>
      </c>
      <c r="B3" s="1246">
        <f ca="1">ROUND(B2*10000/'数据-汇总表'!E3,0)</f>
        <v>0</v>
      </c>
      <c r="C3" s="1211"/>
      <c r="D3" s="1778"/>
      <c r="E3" s="1779"/>
      <c r="F3" s="1779"/>
      <c r="G3" s="1403"/>
      <c r="H3" s="742" t="s">
        <v>641</v>
      </c>
      <c r="I3" s="1780"/>
      <c r="J3" s="1780"/>
      <c r="K3" s="1781"/>
      <c r="L3" s="1780"/>
      <c r="M3" s="1780"/>
    </row>
    <row r="4" spans="1:25" ht="18" customHeight="1">
      <c r="A4" s="1451" t="s">
        <v>642</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643</v>
      </c>
      <c r="D5" s="1778"/>
      <c r="E5" s="1779"/>
      <c r="F5" s="1779"/>
      <c r="G5" s="1403"/>
      <c r="H5" s="742"/>
      <c r="I5" s="1780"/>
      <c r="J5" s="1780"/>
      <c r="K5" s="1781"/>
      <c r="L5" s="1780"/>
      <c r="M5" s="1780"/>
    </row>
    <row r="6" spans="1:25" ht="18" customHeight="1">
      <c r="A6" s="1614" t="s">
        <v>644</v>
      </c>
      <c r="B6" s="1606" t="s">
        <v>645</v>
      </c>
      <c r="C6" s="1606" t="s">
        <v>579</v>
      </c>
      <c r="D6" s="1606" t="s">
        <v>580</v>
      </c>
      <c r="E6" s="745" t="s">
        <v>581</v>
      </c>
      <c r="F6" s="746"/>
      <c r="G6" s="1405"/>
      <c r="H6" s="1614" t="s">
        <v>577</v>
      </c>
      <c r="I6" s="1606" t="s">
        <v>578</v>
      </c>
      <c r="J6" s="1606" t="s">
        <v>579</v>
      </c>
      <c r="K6" s="1606" t="s">
        <v>580</v>
      </c>
      <c r="L6" s="745" t="s">
        <v>581</v>
      </c>
      <c r="M6" s="746"/>
    </row>
    <row r="7" spans="1:25" ht="18" customHeight="1">
      <c r="A7" s="747">
        <v>1</v>
      </c>
      <c r="B7" s="748" t="s">
        <v>1799</v>
      </c>
      <c r="C7" s="51">
        <f ca="1">C8+C12+C14</f>
        <v>0</v>
      </c>
      <c r="D7" s="2142" t="s">
        <v>1802</v>
      </c>
      <c r="E7" s="2136"/>
      <c r="F7" s="2137"/>
      <c r="G7" s="1405"/>
      <c r="H7" s="747">
        <v>1</v>
      </c>
      <c r="I7" s="748" t="s">
        <v>1799</v>
      </c>
      <c r="J7" s="51">
        <f ca="1">J8+J12+J14</f>
        <v>0</v>
      </c>
      <c r="K7" s="2142" t="s">
        <v>1802</v>
      </c>
      <c r="L7" s="2136"/>
      <c r="M7" s="2137"/>
    </row>
    <row r="8" spans="1:25" ht="18" customHeight="1">
      <c r="A8" s="1616" t="s">
        <v>1352</v>
      </c>
      <c r="B8" s="3978" t="s">
        <v>1804</v>
      </c>
      <c r="C8" s="1611">
        <f ca="1">ROUND(F8*F10*F9*(1-F11)/10000,0)</f>
        <v>0</v>
      </c>
      <c r="D8" s="1608" t="s">
        <v>1814</v>
      </c>
      <c r="E8" s="59" t="s">
        <v>584</v>
      </c>
      <c r="F8" s="751">
        <f ca="1">INDIRECT("'数据-取费表'!u"&amp;$G$1)</f>
        <v>0</v>
      </c>
      <c r="G8" s="1405"/>
      <c r="H8" s="2150" t="s">
        <v>1352</v>
      </c>
      <c r="I8" s="3978" t="s">
        <v>1804</v>
      </c>
      <c r="J8" s="749">
        <f ca="1">ROUND(M8*M10*M9*(1-M11)/10000,0)</f>
        <v>0</v>
      </c>
      <c r="K8" s="332" t="s">
        <v>1814</v>
      </c>
      <c r="L8" s="750" t="s">
        <v>1266</v>
      </c>
      <c r="M8" s="751">
        <f ca="1">INDIRECT("'数据-取费表'!z"&amp;$G$1)</f>
        <v>0</v>
      </c>
    </row>
    <row r="9" spans="1:25" ht="18" customHeight="1">
      <c r="A9" s="2146"/>
      <c r="B9" s="3979"/>
      <c r="C9" s="1612"/>
      <c r="D9" s="1609"/>
      <c r="E9" s="59" t="s">
        <v>585</v>
      </c>
      <c r="F9" s="751">
        <f ca="1">IF(INDIRECT("'数据-取费表'!ah"&amp;$G$1)="",INDIRECT("'数据-取费表'!k"&amp;$G$1),INDIRECT("'数据-取费表'!ah"&amp;$G$1))</f>
        <v>0</v>
      </c>
      <c r="G9" s="1405"/>
      <c r="H9" s="2135"/>
      <c r="I9" s="3979"/>
      <c r="J9" s="754"/>
      <c r="K9" s="755"/>
      <c r="L9" s="750" t="s">
        <v>1267</v>
      </c>
      <c r="M9" s="751">
        <f ca="1">F9</f>
        <v>0</v>
      </c>
    </row>
    <row r="10" spans="1:25" ht="18" customHeight="1">
      <c r="A10" s="2139"/>
      <c r="B10" s="3980"/>
      <c r="C10" s="1612"/>
      <c r="D10" s="1609"/>
      <c r="E10" s="59" t="s">
        <v>586</v>
      </c>
      <c r="F10" s="751">
        <f ca="1">INDIRECT("'数据-取费表'!ai"&amp;$G$1)</f>
        <v>0</v>
      </c>
      <c r="G10" s="1405"/>
      <c r="H10" s="2135"/>
      <c r="I10" s="3980"/>
      <c r="J10" s="754"/>
      <c r="K10" s="755"/>
      <c r="L10" s="750" t="s">
        <v>1268</v>
      </c>
      <c r="M10" s="751">
        <f ca="1">INDIRECT("'数据-取费表'!ai"&amp;$G$1)</f>
        <v>0</v>
      </c>
    </row>
    <row r="11" spans="1:25" ht="18" customHeight="1">
      <c r="A11" s="752"/>
      <c r="B11" s="3981"/>
      <c r="C11" s="1612"/>
      <c r="D11" s="1609"/>
      <c r="E11" s="59" t="s">
        <v>587</v>
      </c>
      <c r="F11" s="760">
        <f ca="1">INDIRECT("'数据-取费表'!w"&amp;$G$1)</f>
        <v>0</v>
      </c>
      <c r="G11" s="1405"/>
      <c r="H11" s="2151"/>
      <c r="I11" s="3980"/>
      <c r="J11" s="754"/>
      <c r="K11" s="755"/>
      <c r="L11" s="761" t="s">
        <v>1269</v>
      </c>
      <c r="M11" s="762">
        <f ca="1">INDIRECT("'数据-取费表'!ab"&amp;$G$1)</f>
        <v>0</v>
      </c>
    </row>
    <row r="12" spans="1:25" ht="18" customHeight="1">
      <c r="A12" s="1616" t="s">
        <v>1353</v>
      </c>
      <c r="B12" s="2140" t="s">
        <v>1800</v>
      </c>
      <c r="C12" s="765">
        <f ca="1">ROUND(IF(F12="押一",C8/12*F13,IF(F12="押二",C8/12*2*F13,IF(F12="押三",C8/12*3*F13,C13*F13))),0)</f>
        <v>0</v>
      </c>
      <c r="D12" s="2147" t="s">
        <v>2228</v>
      </c>
      <c r="E12" s="2144" t="s">
        <v>1805</v>
      </c>
      <c r="F12" s="2228"/>
      <c r="G12" s="1405"/>
      <c r="H12" s="2178" t="s">
        <v>1353</v>
      </c>
      <c r="I12" s="2183" t="s">
        <v>1800</v>
      </c>
      <c r="J12" s="749">
        <f ca="1">ROUND(IF(M12="押一",J8/12*M13,IF(M12="押二",J8/12*2*M13,IF(M12="押三",J8/12*3*M13,J13*M13))),0)</f>
        <v>0</v>
      </c>
      <c r="K12" s="2147" t="s">
        <v>2228</v>
      </c>
      <c r="L12" s="2144" t="s">
        <v>1805</v>
      </c>
      <c r="M12" s="2228"/>
    </row>
    <row r="13" spans="1:25" ht="18" customHeight="1">
      <c r="A13" s="756"/>
      <c r="B13" s="2141" t="s">
        <v>1853</v>
      </c>
      <c r="C13" s="2145"/>
      <c r="D13" s="755"/>
      <c r="E13" s="2144" t="s">
        <v>1798</v>
      </c>
      <c r="F13" s="762">
        <f ca="1">'数据-取费表'!B39</f>
        <v>1.4999999999999999E-2</v>
      </c>
      <c r="G13" s="1405"/>
      <c r="H13" s="2179"/>
      <c r="I13" s="2141" t="s">
        <v>1853</v>
      </c>
      <c r="J13" s="2145"/>
      <c r="K13" s="2180"/>
      <c r="L13" s="2144" t="s">
        <v>1798</v>
      </c>
      <c r="M13" s="2138">
        <f ca="1">'数据-取费表'!B39</f>
        <v>1.4999999999999999E-2</v>
      </c>
    </row>
    <row r="14" spans="1:25" ht="18" customHeight="1" thickBot="1">
      <c r="A14" s="2154" t="s">
        <v>1808</v>
      </c>
      <c r="B14" s="2155" t="s">
        <v>1801</v>
      </c>
      <c r="C14" s="2156"/>
      <c r="D14" s="2157"/>
      <c r="E14" s="2158"/>
      <c r="F14" s="2159"/>
      <c r="G14" s="1405"/>
      <c r="H14" s="2168" t="s">
        <v>1808</v>
      </c>
      <c r="I14" s="2181" t="s">
        <v>1801</v>
      </c>
      <c r="J14" s="2182"/>
      <c r="K14" s="2157"/>
      <c r="L14" s="2158"/>
      <c r="M14" s="2171"/>
    </row>
    <row r="15" spans="1:25" ht="18" customHeight="1" thickTop="1">
      <c r="A15" s="1615" t="s">
        <v>1398</v>
      </c>
      <c r="B15" s="1613" t="s">
        <v>588</v>
      </c>
      <c r="C15" s="758">
        <f ca="1">ROUND(C31*F15,0)</f>
        <v>0</v>
      </c>
      <c r="D15" s="1620" t="s">
        <v>589</v>
      </c>
      <c r="E15" s="761" t="s">
        <v>590</v>
      </c>
      <c r="F15" s="766">
        <f ca="1">INDIRECT("'数据-取费表'!y"&amp;$G$1)</f>
        <v>0</v>
      </c>
      <c r="G15" s="1405"/>
      <c r="H15" s="1615" t="s">
        <v>1354</v>
      </c>
      <c r="I15" s="1613" t="s">
        <v>591</v>
      </c>
      <c r="J15" s="1605">
        <f ca="1">ROUND(J16*J17,0)</f>
        <v>0</v>
      </c>
      <c r="K15" s="1607" t="s">
        <v>589</v>
      </c>
      <c r="L15" s="767"/>
      <c r="M15" s="768"/>
    </row>
    <row r="16" spans="1:25" ht="18" customHeight="1">
      <c r="A16" s="769" t="s">
        <v>1399</v>
      </c>
      <c r="B16" s="750" t="s">
        <v>592</v>
      </c>
      <c r="C16" s="770">
        <f ca="1">INDIRECT("'数据-取费表'!m"&amp;$G$1)+INDIRECT("'数据-取费表'!t"&amp;$G$1)</f>
        <v>0</v>
      </c>
      <c r="D16" s="1733" t="s">
        <v>593</v>
      </c>
      <c r="E16" s="1734"/>
      <c r="F16" s="771"/>
      <c r="G16" s="1405"/>
      <c r="H16" s="769" t="s">
        <v>1584</v>
      </c>
      <c r="I16" s="1949" t="s">
        <v>2099</v>
      </c>
      <c r="J16" s="51">
        <f ca="1">C31</f>
        <v>0</v>
      </c>
      <c r="K16" s="24"/>
      <c r="L16" s="767"/>
      <c r="M16" s="768"/>
    </row>
    <row r="17" spans="1:25" s="1787" customFormat="1" ht="18" customHeight="1">
      <c r="A17" s="769" t="s">
        <v>1377</v>
      </c>
      <c r="B17" s="750" t="s">
        <v>594</v>
      </c>
      <c r="C17" s="51">
        <f ca="1">ROUND(C16*F17,0)</f>
        <v>0</v>
      </c>
      <c r="D17" s="772" t="s">
        <v>595</v>
      </c>
      <c r="E17" s="772" t="s">
        <v>596</v>
      </c>
      <c r="F17" s="773">
        <f>'数据-取费表'!B33</f>
        <v>0.08</v>
      </c>
      <c r="G17" s="1406"/>
      <c r="H17" s="769" t="s">
        <v>1585</v>
      </c>
      <c r="I17" s="750" t="s">
        <v>590</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1378</v>
      </c>
      <c r="B18" s="750" t="s">
        <v>597</v>
      </c>
      <c r="C18" s="51">
        <f ca="1">ROUND(INDIRECT("'数据-取费表'!m"&amp;$G$1)*F18,0)</f>
        <v>0</v>
      </c>
      <c r="D18" s="750" t="s">
        <v>595</v>
      </c>
      <c r="E18" s="750" t="s">
        <v>596</v>
      </c>
      <c r="F18" s="775">
        <f ca="1">IF(INDIRECT("'数据-取费表'!c"&amp;$G$1)="住宅",'数据-取费表'!B34,0)</f>
        <v>0</v>
      </c>
      <c r="G18" s="1405"/>
      <c r="H18" s="763" t="s">
        <v>1355</v>
      </c>
      <c r="I18" s="764" t="s">
        <v>598</v>
      </c>
      <c r="J18" s="765">
        <f ca="1">ROUND(J19+J24+J25+J26,0)</f>
        <v>0</v>
      </c>
      <c r="K18" s="24" t="s">
        <v>599</v>
      </c>
      <c r="L18" s="1736"/>
      <c r="M18" s="54"/>
    </row>
    <row r="19" spans="1:25" s="1787" customFormat="1" ht="18" customHeight="1">
      <c r="A19" s="769" t="s">
        <v>1379</v>
      </c>
      <c r="B19" s="750" t="s">
        <v>600</v>
      </c>
      <c r="C19" s="51">
        <f ca="1">ROUND(F19*(INDIRECT("'数据-取费表'!k"&amp;$G$1)+INDIRECT("'数据-取费表'!S"&amp;$G$1))/10000,0)</f>
        <v>0</v>
      </c>
      <c r="D19" s="750" t="s">
        <v>601</v>
      </c>
      <c r="E19" s="750" t="s">
        <v>602</v>
      </c>
      <c r="F19" s="54">
        <f>'数据-取费表'!B35</f>
        <v>200</v>
      </c>
      <c r="G19" s="1406"/>
      <c r="H19" s="769" t="s">
        <v>1584</v>
      </c>
      <c r="I19" s="750" t="s">
        <v>603</v>
      </c>
      <c r="J19" s="2761">
        <f ca="1">ROUND(IF(AND(项目基本情况!B11="自然人",项目基本情况!B10="北京市"),J8*M19/(1+'数据-取费表'!C42),J20+J21+J22),0)</f>
        <v>0</v>
      </c>
      <c r="K19" s="1733" t="s">
        <v>604</v>
      </c>
      <c r="L19" s="1731" t="s">
        <v>605</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1380</v>
      </c>
      <c r="B20" s="750" t="s">
        <v>606</v>
      </c>
      <c r="C20" s="51">
        <f ca="1">ROUND(C16*F20,0)</f>
        <v>0</v>
      </c>
      <c r="D20" s="750" t="s">
        <v>595</v>
      </c>
      <c r="E20" s="750" t="s">
        <v>596</v>
      </c>
      <c r="F20" s="775">
        <f>'数据-取费表'!B36</f>
        <v>1.4999999999999999E-2</v>
      </c>
      <c r="G20" s="1406"/>
      <c r="H20" s="769" t="s">
        <v>1359</v>
      </c>
      <c r="I20" s="750" t="s">
        <v>607</v>
      </c>
      <c r="J20" s="51">
        <f ca="1">ROUND(J8*M20/(1+'数据-取费表'!C42),1)</f>
        <v>0</v>
      </c>
      <c r="K20" s="1731" t="s">
        <v>608</v>
      </c>
      <c r="L20" s="750" t="s">
        <v>596</v>
      </c>
      <c r="M20" s="775">
        <f>'数据-取费表'!B41</f>
        <v>0</v>
      </c>
      <c r="N20" s="1786"/>
      <c r="O20" s="1786"/>
      <c r="P20" s="1786"/>
      <c r="Q20" s="1786"/>
      <c r="R20" s="1786"/>
      <c r="S20" s="1786"/>
      <c r="T20" s="1786"/>
      <c r="U20" s="1786"/>
      <c r="V20" s="1786"/>
      <c r="W20" s="1786"/>
      <c r="X20" s="1786"/>
      <c r="Y20" s="1786"/>
    </row>
    <row r="21" spans="1:25" ht="18" customHeight="1">
      <c r="A21" s="769" t="s">
        <v>1400</v>
      </c>
      <c r="B21" s="750" t="s">
        <v>609</v>
      </c>
      <c r="C21" s="51">
        <f ca="1">SUM(C16:C20)</f>
        <v>0</v>
      </c>
      <c r="D21" s="252" t="s">
        <v>610</v>
      </c>
      <c r="E21" s="1736"/>
      <c r="F21" s="54"/>
      <c r="G21" s="1405"/>
      <c r="H21" s="1616" t="s">
        <v>1377</v>
      </c>
      <c r="I21" s="750" t="s">
        <v>611</v>
      </c>
      <c r="J21" s="51">
        <f ca="1">IF(K21="按租金收入计税",ROUND(J8*M21/(1+'数据-取费表'!C42),1),ROUND(C31*F35*0.7,1))</f>
        <v>0</v>
      </c>
      <c r="K21" s="776" t="s">
        <v>3246</v>
      </c>
      <c r="L21" s="750" t="s">
        <v>596</v>
      </c>
      <c r="M21" s="775">
        <f>IF(K21="按租金收入计税",'数据-取费表'!B51,'数据-取费表'!B50)</f>
        <v>0.12</v>
      </c>
    </row>
    <row r="22" spans="1:25" s="1787" customFormat="1" ht="18" customHeight="1">
      <c r="A22" s="769" t="s">
        <v>1401</v>
      </c>
      <c r="B22" s="750" t="s">
        <v>612</v>
      </c>
      <c r="C22" s="51">
        <f ca="1">ROUND(C21*F22,0)</f>
        <v>0</v>
      </c>
      <c r="D22" s="777" t="s">
        <v>613</v>
      </c>
      <c r="E22" s="750" t="s">
        <v>596</v>
      </c>
      <c r="F22" s="775">
        <f>'数据-取费表'!B37</f>
        <v>0.03</v>
      </c>
      <c r="G22" s="1406"/>
      <c r="H22" s="1618" t="s">
        <v>1378</v>
      </c>
      <c r="I22" s="1608" t="s">
        <v>614</v>
      </c>
      <c r="J22" s="52">
        <f ca="1">ROUND(M22*M23/10000,0)</f>
        <v>0</v>
      </c>
      <c r="K22" s="779" t="s">
        <v>615</v>
      </c>
      <c r="L22" s="750" t="s">
        <v>616</v>
      </c>
      <c r="M22" s="608">
        <f>'数据-取费表'!B52</f>
        <v>3</v>
      </c>
      <c r="N22" s="1786"/>
      <c r="O22" s="1786"/>
      <c r="P22" s="1786"/>
      <c r="Q22" s="1786"/>
      <c r="R22" s="1786"/>
      <c r="S22" s="1786"/>
      <c r="T22" s="1786"/>
      <c r="U22" s="1786"/>
      <c r="V22" s="1786"/>
      <c r="W22" s="1786"/>
      <c r="X22" s="1786"/>
      <c r="Y22" s="1786"/>
    </row>
    <row r="23" spans="1:25" s="1787" customFormat="1" ht="18" customHeight="1">
      <c r="A23" s="769" t="s">
        <v>1402</v>
      </c>
      <c r="B23" s="750" t="s">
        <v>617</v>
      </c>
      <c r="C23" s="51" t="s">
        <v>0</v>
      </c>
      <c r="D23" s="777" t="s">
        <v>618</v>
      </c>
      <c r="E23" s="750" t="s">
        <v>619</v>
      </c>
      <c r="F23" s="775">
        <f>'数据-取费表'!B38</f>
        <v>0.03</v>
      </c>
      <c r="G23" s="1406"/>
      <c r="H23" s="1619"/>
      <c r="I23" s="1610"/>
      <c r="J23" s="67"/>
      <c r="K23" s="781"/>
      <c r="L23" s="750" t="s">
        <v>620</v>
      </c>
      <c r="M23" s="751">
        <f ca="1">INDIRECT("'数据-取费表'!r"&amp;$G$1)</f>
        <v>0</v>
      </c>
      <c r="N23" s="1786"/>
      <c r="O23" s="1786"/>
      <c r="P23" s="1786"/>
      <c r="Q23" s="1786"/>
      <c r="R23" s="1786"/>
      <c r="S23" s="1786"/>
      <c r="T23" s="1786"/>
      <c r="U23" s="1786"/>
      <c r="V23" s="1786"/>
      <c r="W23" s="1786"/>
      <c r="X23" s="1786"/>
      <c r="Y23" s="1786"/>
    </row>
    <row r="24" spans="1:25" ht="18" customHeight="1">
      <c r="A24" s="769" t="s">
        <v>1403</v>
      </c>
      <c r="B24" s="750" t="s">
        <v>621</v>
      </c>
      <c r="C24" s="51"/>
      <c r="D24" s="2187" t="str">
        <f>IF(F25&lt;=1,"单利计息。","复利计息。")&amp;"建造成本、管理费用、销售费用产生的利息。"</f>
        <v>复利计息。建造成本、管理费用、销售费用产生的利息。</v>
      </c>
      <c r="E24" s="1736"/>
      <c r="F24" s="54"/>
      <c r="G24" s="1405"/>
      <c r="H24" s="1617" t="s">
        <v>1585</v>
      </c>
      <c r="I24" s="750" t="s">
        <v>622</v>
      </c>
      <c r="J24" s="51">
        <f ca="1">ROUND(J16*M24,0)</f>
        <v>0</v>
      </c>
      <c r="K24" s="1731" t="s">
        <v>623</v>
      </c>
      <c r="L24" s="750" t="s">
        <v>596</v>
      </c>
      <c r="M24" s="782">
        <f ca="1">INDIRECT("'数据-取费表'!Ak"&amp;$G$1)</f>
        <v>0</v>
      </c>
    </row>
    <row r="25" spans="1:25" s="1787" customFormat="1" ht="18" customHeight="1">
      <c r="A25" s="769" t="s">
        <v>1399</v>
      </c>
      <c r="B25" s="750" t="s">
        <v>1781</v>
      </c>
      <c r="C25" s="51">
        <f ca="1">ROUND(IF('数据-取费表'!B22&lt;=1,(C21+C22)*F26*F25/2,(C21+C22)*(POWER((1+F26),F25/2)-1)),0)</f>
        <v>0</v>
      </c>
      <c r="D25" s="2186" t="str">
        <f>IF(F25&lt;=1,"(建造成本+管理费用)×利率×(建设周期÷2)","(建造成本+管理费用)×((1+利率)^(建设周期÷2)-1)")</f>
        <v>(建造成本+管理费用)×((1+利率)^(建设周期÷2)-1)</v>
      </c>
      <c r="E25" s="750" t="s">
        <v>624</v>
      </c>
      <c r="F25" s="608">
        <f>'数据-取费表'!B20</f>
        <v>2.5</v>
      </c>
      <c r="G25" s="1406"/>
      <c r="H25" s="769" t="s">
        <v>1402</v>
      </c>
      <c r="I25" s="750" t="s">
        <v>625</v>
      </c>
      <c r="J25" s="51">
        <f ca="1">ROUND(J15*M25,0)</f>
        <v>0</v>
      </c>
      <c r="K25" s="1731" t="s">
        <v>626</v>
      </c>
      <c r="L25" s="750" t="s">
        <v>596</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1377</v>
      </c>
      <c r="B26" s="750" t="s">
        <v>627</v>
      </c>
      <c r="C26" s="51">
        <f ca="1">ROUND(IF('数据-取费表'!B22&lt;=1,F23*F26*F25/2,F23*(POWER((1+F26),F25/2)-1)),4)</f>
        <v>1.6000000000000001E-3</v>
      </c>
      <c r="D26" s="2186" t="str">
        <f>IF(F25&lt;=1,"销售费用×利率×(建设周期÷2)","销售费用×((1+利率)^(建设周期÷2)-1)")</f>
        <v>销售费用×((1+利率)^(建设周期÷2)-1)</v>
      </c>
      <c r="E26" s="750" t="s">
        <v>628</v>
      </c>
      <c r="F26" s="784">
        <f ca="1">'数据-取费表'!B40</f>
        <v>4.1499999999999995E-2</v>
      </c>
      <c r="G26" s="1406"/>
      <c r="H26" s="769" t="s">
        <v>1403</v>
      </c>
      <c r="I26" s="750" t="s">
        <v>612</v>
      </c>
      <c r="J26" s="51">
        <f ca="1">ROUND(J7*M26,0)</f>
        <v>0</v>
      </c>
      <c r="K26" s="1731" t="s">
        <v>629</v>
      </c>
      <c r="L26" s="750" t="s">
        <v>596</v>
      </c>
      <c r="M26" s="760">
        <f ca="1">INDIRECT("'数据-取费表'!Am"&amp;$G$1)</f>
        <v>0</v>
      </c>
      <c r="N26" s="1786"/>
      <c r="O26" s="1786"/>
      <c r="P26" s="1786"/>
      <c r="Q26" s="1786"/>
      <c r="R26" s="1786"/>
      <c r="S26" s="1786"/>
      <c r="T26" s="1786"/>
      <c r="U26" s="1786"/>
      <c r="V26" s="1786"/>
      <c r="W26" s="1786"/>
      <c r="X26" s="1786"/>
      <c r="Y26" s="1786"/>
    </row>
    <row r="27" spans="1:25" ht="18" customHeight="1">
      <c r="A27" s="769" t="s">
        <v>1405</v>
      </c>
      <c r="B27" s="750" t="s">
        <v>630</v>
      </c>
      <c r="C27" s="51"/>
      <c r="D27" s="252" t="s">
        <v>631</v>
      </c>
      <c r="E27" s="1736"/>
      <c r="F27" s="54"/>
      <c r="G27" s="1405"/>
      <c r="H27" s="763" t="s">
        <v>1356</v>
      </c>
      <c r="I27" s="2484" t="s">
        <v>2096</v>
      </c>
      <c r="J27" s="765">
        <f ca="1">J7-J18</f>
        <v>0</v>
      </c>
      <c r="K27" s="1733" t="s">
        <v>646</v>
      </c>
      <c r="L27" s="1735"/>
      <c r="M27" s="785"/>
    </row>
    <row r="28" spans="1:25" ht="18" customHeight="1">
      <c r="A28" s="769" t="s">
        <v>1399</v>
      </c>
      <c r="B28" s="750" t="s">
        <v>1782</v>
      </c>
      <c r="C28" s="51">
        <f ca="1">ROUND((C21+C22)*F28,0)</f>
        <v>0</v>
      </c>
      <c r="D28" s="777" t="s">
        <v>647</v>
      </c>
      <c r="E28" s="761" t="s">
        <v>648</v>
      </c>
      <c r="F28" s="760">
        <f ca="1">INDIRECT("'数据-取费表'!q"&amp;$G$1)</f>
        <v>0</v>
      </c>
      <c r="G28" s="1405"/>
      <c r="H28" s="747" t="s">
        <v>1365</v>
      </c>
      <c r="I28" s="748" t="s">
        <v>649</v>
      </c>
      <c r="J28" s="749">
        <f ca="1">IF(J7&lt;&gt;0,ROUND(J27*(1-((1+M30)/(1+M28))^M29)/(M28-M30),0),0)</f>
        <v>0</v>
      </c>
      <c r="K28" s="779" t="s">
        <v>650</v>
      </c>
      <c r="L28" s="750" t="s">
        <v>651</v>
      </c>
      <c r="M28" s="760">
        <f ca="1">INDIRECT("'数据-取费表'!I"&amp;$G$1)</f>
        <v>0</v>
      </c>
    </row>
    <row r="29" spans="1:25" ht="18" customHeight="1">
      <c r="A29" s="769" t="s">
        <v>1377</v>
      </c>
      <c r="B29" s="750" t="s">
        <v>632</v>
      </c>
      <c r="C29" s="51">
        <f ca="1">ROUND(F23*F28,4)</f>
        <v>0</v>
      </c>
      <c r="D29" s="777" t="s">
        <v>652</v>
      </c>
      <c r="E29" s="772"/>
      <c r="F29" s="773"/>
      <c r="G29" s="1405"/>
      <c r="H29" s="752"/>
      <c r="I29" s="753"/>
      <c r="J29" s="754"/>
      <c r="K29" s="786" t="s">
        <v>653</v>
      </c>
      <c r="L29" s="750" t="s">
        <v>654</v>
      </c>
      <c r="M29" s="787">
        <f ca="1">INDIRECT("'数据-取费表'!ag"&amp;$G$1)</f>
        <v>0</v>
      </c>
    </row>
    <row r="30" spans="1:25" s="1787" customFormat="1" ht="18" customHeight="1">
      <c r="A30" s="769" t="s">
        <v>1406</v>
      </c>
      <c r="B30" s="750" t="s">
        <v>633</v>
      </c>
      <c r="C30" s="51">
        <f>ROUND(F30/(1+'数据-取费表'!C42),4)</f>
        <v>0</v>
      </c>
      <c r="D30" s="777" t="s">
        <v>655</v>
      </c>
      <c r="E30" s="750" t="s">
        <v>596</v>
      </c>
      <c r="F30" s="775">
        <f>'数据-取费表'!B41</f>
        <v>0</v>
      </c>
      <c r="G30" s="1406"/>
      <c r="H30" s="756"/>
      <c r="I30" s="757"/>
      <c r="J30" s="758"/>
      <c r="K30" s="781"/>
      <c r="L30" s="750" t="s">
        <v>656</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1407</v>
      </c>
      <c r="B31" s="2158" t="s">
        <v>2097</v>
      </c>
      <c r="C31" s="2161">
        <f ca="1">ROUND((C21+C22+C25+C28)/(1-F23-C26-C29-C30),0)</f>
        <v>0</v>
      </c>
      <c r="D31" s="2162"/>
      <c r="E31" s="2163"/>
      <c r="F31" s="2164"/>
      <c r="G31" s="1406"/>
      <c r="H31" s="788" t="s">
        <v>1396</v>
      </c>
      <c r="I31" s="2485" t="s">
        <v>2098</v>
      </c>
      <c r="J31" s="790">
        <f ca="1">ROUND(J28/(1+F45)^F46,0)</f>
        <v>0</v>
      </c>
      <c r="K31" s="791" t="s">
        <v>634</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635</v>
      </c>
      <c r="C32" s="758">
        <f ca="1">ROUND(C33+C38+C39+C40,0)</f>
        <v>0</v>
      </c>
      <c r="D32" s="1607" t="s">
        <v>599</v>
      </c>
      <c r="E32" s="2133"/>
      <c r="F32" s="2137"/>
      <c r="G32" s="1785"/>
      <c r="H32" s="1788"/>
      <c r="I32" s="1789"/>
      <c r="J32" s="1790"/>
      <c r="K32" s="1791"/>
      <c r="L32" s="1792"/>
      <c r="M32" s="1793"/>
    </row>
    <row r="33" spans="1:18" ht="18" customHeight="1">
      <c r="A33" s="769" t="s">
        <v>1400</v>
      </c>
      <c r="B33" s="750" t="s">
        <v>603</v>
      </c>
      <c r="C33" s="2761">
        <f ca="1">ROUND(IF(AND(项目基本情况!B11="自然人",项目基本情况!B10="北京市"),C8*F33/(1+'数据-取费表'!C42),C34+C35+C36),2)</f>
        <v>0</v>
      </c>
      <c r="D33" s="1733" t="s">
        <v>604</v>
      </c>
      <c r="E33" s="1731" t="s">
        <v>636</v>
      </c>
      <c r="F33" s="2760" t="str">
        <f>IF(项目基本情况!B11="企业","——",IF(M48="住宅",IF(F8*F9*F10/12/(1+'数据-取费表'!F30)&gt;100000,4%,2.5%),IF(F8*F9*F10/12/(1+'数据-取费表'!F30)&gt;100000,12%,7%)))</f>
        <v>——</v>
      </c>
      <c r="G33" s="1785"/>
      <c r="H33" s="2999" t="s">
        <v>2279</v>
      </c>
      <c r="I33" s="1789"/>
      <c r="J33" s="1790"/>
      <c r="K33" s="1791"/>
      <c r="L33" s="1792"/>
      <c r="M33" s="1793"/>
    </row>
    <row r="34" spans="1:18" ht="18" customHeight="1">
      <c r="A34" s="769" t="s">
        <v>1399</v>
      </c>
      <c r="B34" s="750" t="s">
        <v>607</v>
      </c>
      <c r="C34" s="51">
        <f ca="1">ROUND(C8*F34/(1+'数据-取费表'!C42),2)</f>
        <v>0</v>
      </c>
      <c r="D34" s="1731" t="s">
        <v>608</v>
      </c>
      <c r="E34" s="750" t="s">
        <v>596</v>
      </c>
      <c r="F34" s="775">
        <f>'数据-取费表'!B41</f>
        <v>0</v>
      </c>
      <c r="G34" s="1785"/>
      <c r="H34" s="1794"/>
      <c r="I34" s="1795"/>
      <c r="J34" s="1796"/>
      <c r="K34" s="1797"/>
      <c r="L34" s="1798"/>
      <c r="M34" s="1799"/>
    </row>
    <row r="35" spans="1:18" ht="18" customHeight="1">
      <c r="A35" s="769" t="s">
        <v>1377</v>
      </c>
      <c r="B35" s="750" t="s">
        <v>611</v>
      </c>
      <c r="C35" s="51">
        <f ca="1">IF(D35="按租金收入计税",ROUND(C8*F35/(1+'数据-取费表'!C42),2),IF(D35="按房产原值计税",ROUND(C31*F35*0.7,2),INDIRECT("'数据-取费表'!Aj"&amp;$G$1)))</f>
        <v>0</v>
      </c>
      <c r="D35" s="776" t="s">
        <v>3246</v>
      </c>
      <c r="E35" s="750" t="s">
        <v>596</v>
      </c>
      <c r="F35" s="775">
        <f>IF(D35="按租金收入计税",'数据-取费表'!B51,'数据-取费表'!B50)</f>
        <v>0.12</v>
      </c>
      <c r="G35" s="1785"/>
      <c r="H35" s="1800"/>
      <c r="I35" s="1800"/>
      <c r="J35" s="1800"/>
      <c r="K35" s="1801"/>
      <c r="L35" s="1800"/>
      <c r="M35" s="1800"/>
    </row>
    <row r="36" spans="1:18" ht="18" customHeight="1">
      <c r="A36" s="778" t="s">
        <v>1404</v>
      </c>
      <c r="B36" s="332" t="s">
        <v>614</v>
      </c>
      <c r="C36" s="52">
        <f ca="1">ROUND(F36*F37/10000,2)</f>
        <v>0</v>
      </c>
      <c r="D36" s="779" t="s">
        <v>615</v>
      </c>
      <c r="E36" s="750" t="s">
        <v>616</v>
      </c>
      <c r="F36" s="608">
        <f>'数据-取费表'!B52</f>
        <v>3</v>
      </c>
      <c r="G36" s="1785"/>
      <c r="H36" s="1788"/>
      <c r="I36" s="3977"/>
      <c r="J36" s="1802"/>
      <c r="K36" s="1803"/>
      <c r="L36" s="1802"/>
      <c r="M36" s="1802"/>
    </row>
    <row r="37" spans="1:18" ht="18" customHeight="1">
      <c r="A37" s="780"/>
      <c r="B37" s="759"/>
      <c r="C37" s="67"/>
      <c r="D37" s="781"/>
      <c r="E37" s="750" t="s">
        <v>620</v>
      </c>
      <c r="F37" s="751">
        <f ca="1">INDIRECT("'数据-取费表'!r"&amp;$G$1)</f>
        <v>0</v>
      </c>
      <c r="G37" s="1785"/>
      <c r="H37" s="1788"/>
      <c r="I37" s="3977"/>
      <c r="J37" s="1800"/>
      <c r="K37" s="1801"/>
      <c r="L37" s="1800"/>
      <c r="M37" s="1800"/>
    </row>
    <row r="38" spans="1:18" ht="18" customHeight="1">
      <c r="A38" s="769" t="s">
        <v>1401</v>
      </c>
      <c r="B38" s="750" t="s">
        <v>622</v>
      </c>
      <c r="C38" s="51">
        <f ca="1">ROUND(C31*F38,2)</f>
        <v>0</v>
      </c>
      <c r="D38" s="1731" t="s">
        <v>637</v>
      </c>
      <c r="E38" s="750" t="s">
        <v>596</v>
      </c>
      <c r="F38" s="782">
        <f ca="1">INDIRECT("'数据-取费表'!Ak"&amp;$G$1)</f>
        <v>0</v>
      </c>
      <c r="G38" s="1785"/>
      <c r="H38" s="1800"/>
      <c r="I38" s="2764"/>
      <c r="J38" s="1740"/>
      <c r="K38" s="1804"/>
      <c r="L38" s="1800"/>
      <c r="M38" s="1800"/>
    </row>
    <row r="39" spans="1:18" ht="18" customHeight="1">
      <c r="A39" s="769" t="s">
        <v>1402</v>
      </c>
      <c r="B39" s="750" t="s">
        <v>625</v>
      </c>
      <c r="C39" s="51">
        <f ca="1">ROUND(C15*F39,2)</f>
        <v>0</v>
      </c>
      <c r="D39" s="1731" t="s">
        <v>626</v>
      </c>
      <c r="E39" s="750" t="s">
        <v>596</v>
      </c>
      <c r="F39" s="783">
        <f ca="1">INDIRECT("'数据-取费表'!Al"&amp;$G$1)</f>
        <v>0</v>
      </c>
      <c r="G39" s="1785"/>
      <c r="H39" s="1800"/>
      <c r="I39" s="2764"/>
      <c r="J39" s="1740"/>
      <c r="K39" s="1804"/>
      <c r="L39" s="1800"/>
      <c r="M39" s="1800"/>
    </row>
    <row r="40" spans="1:18" ht="18" customHeight="1" thickBot="1">
      <c r="A40" s="2177" t="s">
        <v>1403</v>
      </c>
      <c r="B40" s="2163" t="s">
        <v>612</v>
      </c>
      <c r="C40" s="2161">
        <f ca="1">ROUND(C7*F40,2)</f>
        <v>0</v>
      </c>
      <c r="D40" s="2162" t="s">
        <v>629</v>
      </c>
      <c r="E40" s="2163" t="s">
        <v>596</v>
      </c>
      <c r="F40" s="2159">
        <f ca="1">INDIRECT("'数据-取费表'!Am"&amp;$G$1)</f>
        <v>0</v>
      </c>
      <c r="G40" s="1785"/>
      <c r="H40" s="1800"/>
      <c r="I40" s="2764"/>
      <c r="J40" s="1740"/>
      <c r="K40" s="1805"/>
      <c r="L40" s="1800"/>
      <c r="M40" s="1800"/>
    </row>
    <row r="41" spans="1:18" ht="18" customHeight="1" thickTop="1">
      <c r="A41" s="1615">
        <v>4</v>
      </c>
      <c r="B41" s="1613" t="s">
        <v>638</v>
      </c>
      <c r="C41" s="1213"/>
      <c r="D41" s="1214"/>
      <c r="E41" s="1214"/>
      <c r="F41" s="1215"/>
      <c r="G41" s="1785"/>
      <c r="H41" s="1785"/>
      <c r="I41" s="1785"/>
      <c r="J41" s="1785"/>
      <c r="K41" s="1805"/>
      <c r="L41" s="1785"/>
      <c r="M41" s="1785"/>
    </row>
    <row r="42" spans="1:18" ht="18" customHeight="1">
      <c r="A42" s="769" t="s">
        <v>1400</v>
      </c>
      <c r="B42" s="800" t="s">
        <v>639</v>
      </c>
      <c r="C42" s="794">
        <f ca="1">C7-C32</f>
        <v>0</v>
      </c>
      <c r="D42" s="1733" t="s">
        <v>640</v>
      </c>
      <c r="E42" s="1735"/>
      <c r="F42" s="785"/>
      <c r="G42" s="1785"/>
      <c r="H42" s="1785"/>
      <c r="I42" s="1785"/>
      <c r="J42" s="1785"/>
      <c r="K42" s="1805"/>
      <c r="L42" s="1785"/>
      <c r="M42" s="1785"/>
    </row>
    <row r="43" spans="1:18" ht="18" customHeight="1">
      <c r="A43" s="769" t="s">
        <v>1401</v>
      </c>
      <c r="B43" s="800" t="s">
        <v>657</v>
      </c>
      <c r="C43" s="801">
        <f ca="1">ROUND(C15*F43,0)</f>
        <v>0</v>
      </c>
      <c r="D43" s="1216" t="s">
        <v>658</v>
      </c>
      <c r="E43" s="2549" t="s">
        <v>2218</v>
      </c>
      <c r="F43" s="2550">
        <f ca="1">INDIRECT("'数据-取费表'!j"&amp;$G$1)</f>
        <v>0</v>
      </c>
      <c r="G43" s="1785"/>
      <c r="H43" s="1785"/>
      <c r="I43" s="1785"/>
      <c r="J43" s="1785"/>
      <c r="K43" s="1805"/>
      <c r="L43" s="1785"/>
      <c r="M43" s="1785"/>
    </row>
    <row r="44" spans="1:18" ht="18" customHeight="1">
      <c r="A44" s="769" t="s">
        <v>1402</v>
      </c>
      <c r="B44" s="800" t="s">
        <v>659</v>
      </c>
      <c r="C44" s="1217">
        <f ca="1">C42-C43</f>
        <v>0</v>
      </c>
      <c r="D44" s="449" t="s">
        <v>660</v>
      </c>
      <c r="E44" s="450"/>
      <c r="F44" s="451"/>
      <c r="G44" s="1785"/>
      <c r="H44" s="1785"/>
      <c r="I44" s="1785"/>
      <c r="J44" s="1785"/>
      <c r="K44" s="1805"/>
      <c r="L44" s="1785"/>
      <c r="M44" s="1785"/>
    </row>
    <row r="45" spans="1:18" ht="18" customHeight="1">
      <c r="A45" s="769" t="s">
        <v>1403</v>
      </c>
      <c r="B45" s="1216" t="s">
        <v>661</v>
      </c>
      <c r="C45" s="2508">
        <f ca="1">ROUND(-PV(F45,F46,C44,0),0)</f>
        <v>0</v>
      </c>
      <c r="D45" s="1218" t="s">
        <v>662</v>
      </c>
      <c r="E45" s="772" t="s">
        <v>663</v>
      </c>
      <c r="F45" s="795">
        <f ca="1">INDIRECT("'数据-取费表'!h"&amp;$G$1)</f>
        <v>0</v>
      </c>
      <c r="G45" s="1785"/>
      <c r="H45" s="1785"/>
      <c r="I45" s="1785"/>
      <c r="J45" s="1785"/>
      <c r="K45" s="1805"/>
      <c r="L45" s="1785"/>
      <c r="M45" s="1785"/>
    </row>
    <row r="46" spans="1:18" ht="18" customHeight="1" thickBot="1">
      <c r="A46" s="796"/>
      <c r="B46" s="1219"/>
      <c r="C46" s="1220"/>
      <c r="D46" s="1221"/>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1694</v>
      </c>
      <c r="J47" s="2070"/>
      <c r="K47" s="2071"/>
      <c r="L47" s="2565" t="e">
        <f ca="1">IF(M48="住宅",0,IF(L49&gt;J52,L61,J61))</f>
        <v>#DIV/0!</v>
      </c>
      <c r="O47" s="2085" t="s">
        <v>1761</v>
      </c>
      <c r="P47" s="1405"/>
      <c r="Q47" s="1413"/>
      <c r="R47" s="1405"/>
    </row>
    <row r="48" spans="1:18" s="1782" customFormat="1" ht="18" customHeight="1" thickBot="1">
      <c r="A48" s="1806"/>
      <c r="C48" s="1809"/>
      <c r="D48" s="1810"/>
      <c r="E48" s="1810"/>
      <c r="F48" s="1811"/>
      <c r="G48" s="1812"/>
      <c r="I48" s="2556" t="s">
        <v>1695</v>
      </c>
      <c r="J48" s="2072"/>
      <c r="K48" s="2562" t="s">
        <v>1700</v>
      </c>
      <c r="L48" s="2566">
        <f ca="1">INDIRECT("'数据-取费表'!d"&amp;$G$1)</f>
        <v>0</v>
      </c>
      <c r="M48" s="2548" t="str">
        <f>IF(ISNUMBER(FIND("住宅",C1)),"住宅","非住宅")</f>
        <v>非住宅</v>
      </c>
      <c r="O48" s="2086" t="s">
        <v>1726</v>
      </c>
      <c r="P48" s="2087" t="s">
        <v>1727</v>
      </c>
      <c r="Q48" s="2088" t="s">
        <v>1728</v>
      </c>
      <c r="R48" s="2087" t="s">
        <v>1729</v>
      </c>
    </row>
    <row r="49" spans="1:18" s="1782" customFormat="1" ht="18" customHeight="1" thickBot="1">
      <c r="A49" s="1806"/>
      <c r="D49" s="1813"/>
      <c r="E49" s="1814"/>
      <c r="F49" s="1811"/>
      <c r="G49" s="1812"/>
      <c r="H49" s="1815"/>
      <c r="I49" s="2553" t="s">
        <v>1696</v>
      </c>
      <c r="J49" s="2073"/>
      <c r="K49" s="2563" t="s">
        <v>1702</v>
      </c>
      <c r="L49" s="1663">
        <f ca="1">INDIRECT("'数据-取费表'!f"&amp;$G$1)</f>
        <v>0</v>
      </c>
      <c r="O49" s="2089" t="s">
        <v>1730</v>
      </c>
      <c r="P49" s="2090" t="s">
        <v>1756</v>
      </c>
      <c r="Q49" s="2091">
        <f ca="1">C41+J31</f>
        <v>0</v>
      </c>
      <c r="R49" s="2090" t="s">
        <v>1731</v>
      </c>
    </row>
    <row r="50" spans="1:18" s="1782" customFormat="1" ht="18" customHeight="1" thickBot="1">
      <c r="A50" s="1806"/>
      <c r="D50" s="1816"/>
      <c r="E50" s="1816"/>
      <c r="F50" s="1810"/>
      <c r="G50" s="1817"/>
      <c r="H50" s="1815"/>
      <c r="I50" s="2553" t="s">
        <v>1697</v>
      </c>
      <c r="J50" s="2074"/>
      <c r="K50" s="2564" t="s">
        <v>1703</v>
      </c>
      <c r="L50" s="2075"/>
      <c r="O50" s="2089" t="s">
        <v>1732</v>
      </c>
      <c r="P50" s="2090" t="s">
        <v>1757</v>
      </c>
      <c r="Q50" s="2091" t="e">
        <f ca="1">J61</f>
        <v>#DIV/0!</v>
      </c>
      <c r="R50" s="2090" t="s">
        <v>1733</v>
      </c>
    </row>
    <row r="51" spans="1:18" s="1782" customFormat="1" ht="18" customHeight="1" thickBot="1">
      <c r="A51" s="1818"/>
      <c r="D51" s="1816"/>
      <c r="E51" s="1816"/>
      <c r="F51" s="1807"/>
      <c r="H51" s="1815"/>
      <c r="I51" s="2553" t="s">
        <v>1698</v>
      </c>
      <c r="J51" s="2560">
        <f>SUMPRODUCT((I64:I66=J48)*(J63:L63=J49)*(J64:L66))</f>
        <v>0</v>
      </c>
      <c r="K51" s="2564" t="s">
        <v>1704</v>
      </c>
      <c r="L51" s="2075"/>
      <c r="O51" s="2092" t="s">
        <v>1734</v>
      </c>
      <c r="P51" s="2090" t="s">
        <v>1758</v>
      </c>
      <c r="Q51" s="2091">
        <f ca="1">C31</f>
        <v>0</v>
      </c>
      <c r="R51" s="2090" t="s">
        <v>1731</v>
      </c>
    </row>
    <row r="52" spans="1:18" s="1782" customFormat="1" ht="18" customHeight="1" thickBot="1">
      <c r="A52" s="1818"/>
      <c r="F52" s="1807"/>
      <c r="I52" s="2557" t="s">
        <v>1699</v>
      </c>
      <c r="J52" s="2561">
        <f>IF(J50="",J51,J50+J51-YEAR('数据-取费表'!B3))</f>
        <v>0</v>
      </c>
      <c r="K52" s="2553" t="s">
        <v>1705</v>
      </c>
      <c r="L52" s="2567">
        <f ca="1">C45</f>
        <v>0</v>
      </c>
      <c r="O52" s="2092" t="s">
        <v>1735</v>
      </c>
      <c r="P52" s="2090" t="s">
        <v>1736</v>
      </c>
      <c r="Q52" s="2093" t="e">
        <f ca="1">J59</f>
        <v>#DIV/0!</v>
      </c>
      <c r="R52" s="2094"/>
    </row>
    <row r="53" spans="1:18" s="1782" customFormat="1" ht="18" customHeight="1" thickBot="1">
      <c r="A53" s="1818"/>
      <c r="F53" s="1807"/>
      <c r="I53" s="2558" t="s">
        <v>1772</v>
      </c>
      <c r="J53" s="2076"/>
      <c r="K53" s="2558" t="s">
        <v>1771</v>
      </c>
      <c r="L53" s="2076"/>
      <c r="O53" s="2092" t="s">
        <v>1737</v>
      </c>
      <c r="P53" s="2090" t="s">
        <v>1738</v>
      </c>
      <c r="Q53" s="2093">
        <f>J53</f>
        <v>0</v>
      </c>
      <c r="R53" s="2094"/>
    </row>
    <row r="54" spans="1:18" s="1782" customFormat="1" ht="29.25" thickBot="1">
      <c r="A54" s="1818"/>
      <c r="I54" s="2559" t="s">
        <v>2232</v>
      </c>
      <c r="J54" s="2610">
        <f ca="1">IF(M48="住宅",MAX(J52,L49-'数据-取费表'!B20),MIN(J52,L49-'数据-取费表'!B20))</f>
        <v>-2.5</v>
      </c>
      <c r="K54" s="3982"/>
      <c r="L54" s="3983"/>
      <c r="O54" s="2092" t="s">
        <v>1739</v>
      </c>
      <c r="P54" s="2090" t="s">
        <v>1740</v>
      </c>
      <c r="Q54" s="2091">
        <f ca="1">J54</f>
        <v>-2.5</v>
      </c>
      <c r="R54" s="2090" t="s">
        <v>1741</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1742</v>
      </c>
      <c r="P55" s="2090" t="s">
        <v>1759</v>
      </c>
      <c r="Q55" s="2091" t="e">
        <f ca="1">Q49+Q50</f>
        <v>#DIV/0!</v>
      </c>
      <c r="R55" s="2094" t="s">
        <v>1743</v>
      </c>
    </row>
    <row r="56" spans="1:18" s="1782" customFormat="1" ht="16.5" thickBot="1">
      <c r="A56" s="1818"/>
      <c r="B56" s="1819"/>
      <c r="C56" s="1819"/>
      <c r="I56" s="2570" t="s">
        <v>1706</v>
      </c>
      <c r="J56" s="2542" t="e">
        <f ca="1">ROUND(IF(J48="钢混",J58/J51,1-(1-2%)*(J51-J58)/J51),3)</f>
        <v>#DIV/0!</v>
      </c>
      <c r="K56" s="2571" t="s">
        <v>1707</v>
      </c>
      <c r="L56" s="2077"/>
      <c r="O56" s="2095" t="s">
        <v>1762</v>
      </c>
      <c r="P56" s="1405"/>
      <c r="Q56" s="1413"/>
      <c r="R56" s="1405"/>
    </row>
    <row r="57" spans="1:18" s="1782" customFormat="1" ht="43.5" thickBot="1">
      <c r="A57" s="1818"/>
      <c r="B57" s="1819"/>
      <c r="C57" s="1819"/>
      <c r="I57" s="2572" t="s">
        <v>1708</v>
      </c>
      <c r="J57" s="2582"/>
      <c r="K57" s="2553" t="s">
        <v>1713</v>
      </c>
      <c r="L57" s="1663">
        <f ca="1">IF(L49&lt;J52,"——",L49-J52)</f>
        <v>0</v>
      </c>
      <c r="O57" s="2086" t="s">
        <v>1726</v>
      </c>
      <c r="P57" s="2087" t="s">
        <v>1727</v>
      </c>
      <c r="Q57" s="2088" t="s">
        <v>1728</v>
      </c>
      <c r="R57" s="2087" t="s">
        <v>1729</v>
      </c>
    </row>
    <row r="58" spans="1:18" s="1782" customFormat="1" ht="29.25" thickBot="1">
      <c r="A58" s="1818"/>
      <c r="B58" s="1819"/>
      <c r="C58" s="1819"/>
      <c r="I58" s="2573" t="s">
        <v>1709</v>
      </c>
      <c r="J58" s="2574">
        <f ca="1">IF(OR(M48="住宅",J52&lt;L49,J57="是"),"——",J52-L49)</f>
        <v>0</v>
      </c>
      <c r="K58" s="2553" t="s">
        <v>1714</v>
      </c>
      <c r="L58" s="1663">
        <f ca="1">IF(L49&lt;J52,"——",IF(L56="比较法",L50,IF(L56="基准地价",L51,L52)))</f>
        <v>0</v>
      </c>
      <c r="O58" s="2089" t="s">
        <v>1730</v>
      </c>
      <c r="P58" s="2090" t="s">
        <v>1756</v>
      </c>
      <c r="Q58" s="2091">
        <f ca="1">C41+J31</f>
        <v>0</v>
      </c>
      <c r="R58" s="2090" t="s">
        <v>1731</v>
      </c>
    </row>
    <row r="59" spans="1:18" s="1782" customFormat="1" ht="29.25" thickBot="1">
      <c r="A59" s="1818"/>
      <c r="B59" s="1819"/>
      <c r="C59" s="1819"/>
      <c r="I59" s="2573" t="s">
        <v>1710</v>
      </c>
      <c r="J59" s="2543" t="e">
        <f ca="1">IF(J56&lt;0.4,0.4,J56)</f>
        <v>#DIV/0!</v>
      </c>
      <c r="K59" s="2553" t="s">
        <v>1715</v>
      </c>
      <c r="L59" s="1663">
        <f ca="1">IF(ISERROR(POWER(1+L53,L48-L49)*(POWER(1+L53,L49)-1)/(POWER(1+L53,L48)-1)),0,POWER(1+L53,L48-L49)*(POWER(1+L53,L49)-1)/(POWER(1+L53,L48)-1))</f>
        <v>0</v>
      </c>
      <c r="O59" s="2089" t="s">
        <v>1732</v>
      </c>
      <c r="P59" s="2090" t="s">
        <v>1763</v>
      </c>
      <c r="Q59" s="2091" t="e">
        <f ca="1">L61</f>
        <v>#DIV/0!</v>
      </c>
      <c r="R59" s="2094" t="s">
        <v>1765</v>
      </c>
    </row>
    <row r="60" spans="1:18" s="1782" customFormat="1" ht="29.25" thickBot="1">
      <c r="A60" s="1818"/>
      <c r="B60" s="1819"/>
      <c r="C60" s="1819"/>
      <c r="I60" s="2573" t="s">
        <v>1711</v>
      </c>
      <c r="J60" s="2574" t="e">
        <f ca="1">IF(OR(M48="住宅",J52&lt;L49,J57="是"),"——",ROUND(C30*J59,0))</f>
        <v>#DIV/0!</v>
      </c>
      <c r="K60" s="2553" t="s">
        <v>1716</v>
      </c>
      <c r="L60" s="1663">
        <f ca="1">IF(ISERROR(POWER(1+L53,L48-J52)*(POWER(1+L53,J52)-1)/(POWER(1+L53,L48)-1)),0,POWER(1+L53,L48-J52)*(POWER(1+L53,J52)-1)/(POWER(1+L53,L48)-1))</f>
        <v>0</v>
      </c>
      <c r="O60" s="2092" t="s">
        <v>1734</v>
      </c>
      <c r="P60" s="2090" t="s">
        <v>1764</v>
      </c>
      <c r="Q60" s="2091">
        <f>IF(L56="比较法",L50,IF(L56="基准地价",L51,0))</f>
        <v>0</v>
      </c>
      <c r="R60" s="2090" t="s">
        <v>1731</v>
      </c>
    </row>
    <row r="61" spans="1:18" s="1782" customFormat="1" ht="15.75" thickBot="1">
      <c r="A61" s="1818"/>
      <c r="B61" s="1819"/>
      <c r="C61" s="1819"/>
      <c r="I61" s="2575" t="s">
        <v>1712</v>
      </c>
      <c r="J61" s="2576" t="e">
        <f ca="1">IF(OR(M48="住宅",J52&lt;L49,J57="是"),"0",ROUND(J60/(1+J53)^J54,0))</f>
        <v>#DIV/0!</v>
      </c>
      <c r="K61" s="2577" t="s">
        <v>1717</v>
      </c>
      <c r="L61" s="2576" t="e">
        <f ca="1">IF(OR(M48="住宅",L49&lt;J52),0,ROUND(L58*(L59/L60-1),0))</f>
        <v>#DIV/0!</v>
      </c>
      <c r="O61" s="2092" t="s">
        <v>1735</v>
      </c>
      <c r="P61" s="2090" t="s">
        <v>1744</v>
      </c>
      <c r="Q61" s="2093">
        <f>L53</f>
        <v>0</v>
      </c>
      <c r="R61" s="2094"/>
    </row>
    <row r="62" spans="1:18" s="1782" customFormat="1" ht="20.25" thickBot="1">
      <c r="A62" s="1818"/>
      <c r="B62" s="1819"/>
      <c r="C62" s="1819"/>
      <c r="K62" s="1808"/>
      <c r="O62" s="2092" t="s">
        <v>1737</v>
      </c>
      <c r="P62" s="2090" t="s">
        <v>1745</v>
      </c>
      <c r="Q62" s="2091">
        <f ca="1">L59</f>
        <v>0</v>
      </c>
      <c r="R62" s="2094" t="s">
        <v>1746</v>
      </c>
    </row>
    <row r="63" spans="1:18" s="1782" customFormat="1" ht="20.25" thickBot="1">
      <c r="A63" s="1818"/>
      <c r="B63" s="1819"/>
      <c r="C63" s="1819"/>
      <c r="I63" s="2578" t="s">
        <v>1718</v>
      </c>
      <c r="J63" s="2579" t="s">
        <v>1719</v>
      </c>
      <c r="K63" s="2579" t="s">
        <v>1720</v>
      </c>
      <c r="L63" s="2579" t="s">
        <v>1701</v>
      </c>
      <c r="M63" s="2580" t="s">
        <v>2201</v>
      </c>
      <c r="O63" s="2092" t="s">
        <v>1739</v>
      </c>
      <c r="P63" s="2090" t="s">
        <v>1747</v>
      </c>
      <c r="Q63" s="2091">
        <f ca="1">L60</f>
        <v>0</v>
      </c>
      <c r="R63" s="2094" t="s">
        <v>1748</v>
      </c>
    </row>
    <row r="64" spans="1:18" s="1782" customFormat="1" ht="15.75" thickBot="1">
      <c r="A64" s="1818"/>
      <c r="B64" s="1819"/>
      <c r="C64" s="1819"/>
      <c r="I64" s="2578" t="s">
        <v>1721</v>
      </c>
      <c r="J64" s="2579">
        <v>70</v>
      </c>
      <c r="K64" s="2579">
        <v>50</v>
      </c>
      <c r="L64" s="2579">
        <v>80</v>
      </c>
      <c r="M64" s="2581">
        <v>0.02</v>
      </c>
      <c r="O64" s="2089" t="s">
        <v>1742</v>
      </c>
      <c r="P64" s="2090" t="s">
        <v>1759</v>
      </c>
      <c r="Q64" s="2091" t="e">
        <f ca="1">Q58+Q59</f>
        <v>#DIV/0!</v>
      </c>
      <c r="R64" s="2094" t="s">
        <v>1743</v>
      </c>
    </row>
    <row r="65" spans="1:18" s="1782" customFormat="1" ht="16.5" thickBot="1">
      <c r="A65" s="1818"/>
      <c r="B65" s="1819"/>
      <c r="C65" s="1819"/>
      <c r="I65" s="2578" t="s">
        <v>1722</v>
      </c>
      <c r="J65" s="2579">
        <v>50</v>
      </c>
      <c r="K65" s="2579">
        <v>35</v>
      </c>
      <c r="L65" s="2579">
        <v>60</v>
      </c>
      <c r="M65" s="811">
        <v>0</v>
      </c>
      <c r="O65" s="2095" t="s">
        <v>1766</v>
      </c>
      <c r="P65" s="1405"/>
      <c r="Q65" s="1413"/>
      <c r="R65" s="1405"/>
    </row>
    <row r="66" spans="1:18" s="1782" customFormat="1" ht="15.75" thickBot="1">
      <c r="A66" s="1818"/>
      <c r="B66" s="1819"/>
      <c r="C66" s="1819"/>
      <c r="I66" s="2578" t="s">
        <v>1723</v>
      </c>
      <c r="J66" s="2579">
        <v>40</v>
      </c>
      <c r="K66" s="2579">
        <v>30</v>
      </c>
      <c r="L66" s="2579">
        <v>50</v>
      </c>
      <c r="M66" s="2581">
        <v>0.02</v>
      </c>
      <c r="O66" s="2086" t="s">
        <v>1726</v>
      </c>
      <c r="P66" s="2087" t="s">
        <v>1727</v>
      </c>
      <c r="Q66" s="2088" t="s">
        <v>1728</v>
      </c>
      <c r="R66" s="2087" t="s">
        <v>1729</v>
      </c>
    </row>
    <row r="67" spans="1:18" s="1782" customFormat="1" ht="15.75" thickBot="1">
      <c r="A67" s="1818"/>
      <c r="B67" s="1819"/>
      <c r="C67" s="1819"/>
      <c r="K67" s="1808"/>
      <c r="O67" s="2089" t="s">
        <v>1730</v>
      </c>
      <c r="P67" s="2090" t="s">
        <v>1756</v>
      </c>
      <c r="Q67" s="2091">
        <f ca="1">C41+J31</f>
        <v>0</v>
      </c>
      <c r="R67" s="2090" t="s">
        <v>1731</v>
      </c>
    </row>
    <row r="68" spans="1:18" s="1782" customFormat="1" ht="20.25" thickBot="1">
      <c r="A68" s="1818"/>
      <c r="B68" s="1819"/>
      <c r="C68" s="1819"/>
      <c r="K68" s="1808"/>
      <c r="O68" s="2089" t="s">
        <v>1732</v>
      </c>
      <c r="P68" s="2090" t="s">
        <v>1763</v>
      </c>
      <c r="Q68" s="2091" t="e">
        <f ca="1">L61</f>
        <v>#DIV/0!</v>
      </c>
      <c r="R68" s="2094" t="s">
        <v>1765</v>
      </c>
    </row>
    <row r="69" spans="1:18" s="1782" customFormat="1" ht="21.75" thickBot="1">
      <c r="A69" s="1818"/>
      <c r="B69" s="1819"/>
      <c r="C69" s="1819"/>
      <c r="K69" s="1808"/>
      <c r="O69" s="2092" t="s">
        <v>1734</v>
      </c>
      <c r="P69" s="2090" t="s">
        <v>1764</v>
      </c>
      <c r="Q69" s="2096">
        <f ca="1">L52</f>
        <v>0</v>
      </c>
      <c r="R69" s="2097" t="s">
        <v>1767</v>
      </c>
    </row>
    <row r="70" spans="1:18" s="1782" customFormat="1" ht="20.25" thickBot="1">
      <c r="A70" s="1818"/>
      <c r="B70" s="1819"/>
      <c r="C70" s="1819"/>
      <c r="K70" s="1808"/>
      <c r="O70" s="2092" t="s">
        <v>1735</v>
      </c>
      <c r="P70" s="2098" t="s">
        <v>1749</v>
      </c>
      <c r="Q70" s="2091">
        <f ca="1">ROUND(Q71-Q72*Q73,0)</f>
        <v>0</v>
      </c>
      <c r="R70" s="2094"/>
    </row>
    <row r="71" spans="1:18" s="1782" customFormat="1" ht="15.75" thickBot="1">
      <c r="A71" s="1818"/>
      <c r="B71" s="1819"/>
      <c r="C71" s="1819"/>
      <c r="K71" s="1808"/>
      <c r="O71" s="2092" t="s">
        <v>1750</v>
      </c>
      <c r="P71" s="2098" t="s">
        <v>1751</v>
      </c>
      <c r="Q71" s="2091">
        <f ca="1">C42</f>
        <v>0</v>
      </c>
      <c r="R71" s="2090" t="s">
        <v>1731</v>
      </c>
    </row>
    <row r="72" spans="1:18" s="1782" customFormat="1" ht="15.75" thickBot="1">
      <c r="A72" s="1818"/>
      <c r="B72" s="1819"/>
      <c r="C72" s="1819"/>
      <c r="K72" s="1808"/>
      <c r="O72" s="2092" t="s">
        <v>1752</v>
      </c>
      <c r="P72" s="2098" t="s">
        <v>1753</v>
      </c>
      <c r="Q72" s="2091">
        <f ca="1">C15</f>
        <v>0</v>
      </c>
      <c r="R72" s="2090" t="s">
        <v>1731</v>
      </c>
    </row>
    <row r="73" spans="1:18" s="1782" customFormat="1" ht="15.75" thickBot="1">
      <c r="A73" s="1818"/>
      <c r="B73" s="1819"/>
      <c r="C73" s="1819"/>
      <c r="K73" s="1808"/>
      <c r="O73" s="2092" t="s">
        <v>1754</v>
      </c>
      <c r="P73" s="2098" t="s">
        <v>1755</v>
      </c>
      <c r="Q73" s="2093">
        <f ca="1">F43</f>
        <v>0</v>
      </c>
      <c r="R73" s="2094"/>
    </row>
    <row r="74" spans="1:18" s="1782" customFormat="1" ht="15.75" thickBot="1">
      <c r="A74" s="1818"/>
      <c r="B74" s="1819"/>
      <c r="C74" s="1819"/>
      <c r="K74" s="1808"/>
      <c r="O74" s="2092" t="s">
        <v>1737</v>
      </c>
      <c r="P74" s="2090" t="s">
        <v>1744</v>
      </c>
      <c r="Q74" s="2093">
        <f>L53</f>
        <v>0</v>
      </c>
      <c r="R74" s="2094"/>
    </row>
    <row r="75" spans="1:18" s="1782" customFormat="1" ht="20.25" thickBot="1">
      <c r="A75" s="1818"/>
      <c r="B75" s="1819"/>
      <c r="C75" s="1819"/>
      <c r="K75" s="1808"/>
      <c r="O75" s="2092" t="s">
        <v>1739</v>
      </c>
      <c r="P75" s="2090" t="s">
        <v>1745</v>
      </c>
      <c r="Q75" s="2091">
        <f ca="1">L59</f>
        <v>0</v>
      </c>
      <c r="R75" s="2094" t="s">
        <v>1746</v>
      </c>
    </row>
    <row r="76" spans="1:18" s="1782" customFormat="1" ht="20.25" thickBot="1">
      <c r="A76" s="1818"/>
      <c r="B76" s="1819"/>
      <c r="C76" s="1819"/>
      <c r="K76" s="1808"/>
      <c r="O76" s="2092" t="s">
        <v>1768</v>
      </c>
      <c r="P76" s="2090" t="s">
        <v>1747</v>
      </c>
      <c r="Q76" s="2091">
        <f ca="1">L60</f>
        <v>0</v>
      </c>
      <c r="R76" s="2094" t="s">
        <v>1748</v>
      </c>
    </row>
    <row r="77" spans="1:18" s="1782" customFormat="1" ht="15.75" thickBot="1">
      <c r="A77" s="1818"/>
      <c r="B77" s="1819"/>
      <c r="C77" s="1819"/>
      <c r="K77" s="1808"/>
      <c r="O77" s="2089" t="s">
        <v>1742</v>
      </c>
      <c r="P77" s="2090" t="s">
        <v>1759</v>
      </c>
      <c r="Q77" s="2091" t="e">
        <f ca="1">Q67+Q68</f>
        <v>#DIV/0!</v>
      </c>
      <c r="R77" s="2094" t="s">
        <v>1743</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3" sqref="D13"/>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customWidth="1"/>
    <col min="17" max="17" width="10" style="3229" customWidth="1"/>
    <col min="18" max="18" width="10.125" style="3229" customWidth="1"/>
    <col min="19" max="19" width="10" style="3229" customWidth="1"/>
    <col min="20" max="20" width="26.125" style="3229" customWidth="1"/>
    <col min="21" max="21" width="9" style="3229" customWidth="1"/>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15" customHeight="1">
      <c r="A2" s="3069" t="s">
        <v>2297</v>
      </c>
      <c r="B2" s="3070">
        <f ca="1">C40</f>
        <v>141634.79989192216</v>
      </c>
      <c r="C2" s="3071" t="s">
        <v>2298</v>
      </c>
      <c r="D2" s="3071"/>
      <c r="E2" s="3072"/>
      <c r="F2" s="3073"/>
      <c r="G2" s="3074"/>
      <c r="H2" s="3075"/>
      <c r="I2" s="3076"/>
      <c r="J2" s="3984" t="s">
        <v>2299</v>
      </c>
      <c r="K2" s="3985"/>
      <c r="L2" s="3077" t="s">
        <v>2300</v>
      </c>
      <c r="M2" s="3077" t="s">
        <v>2301</v>
      </c>
      <c r="N2" s="3077" t="s">
        <v>2302</v>
      </c>
      <c r="O2" s="3077" t="s">
        <v>2303</v>
      </c>
      <c r="P2" s="3077" t="s">
        <v>2304</v>
      </c>
      <c r="Q2" s="3078" t="s">
        <v>2305</v>
      </c>
      <c r="R2" s="3079" t="s">
        <v>2306</v>
      </c>
      <c r="S2" s="3067"/>
      <c r="T2" s="3067"/>
      <c r="U2" s="3067"/>
      <c r="V2" s="3076"/>
    </row>
    <row r="3" spans="1:22" s="3080" customFormat="1" ht="13.15" customHeight="1">
      <c r="A3" s="3081" t="s">
        <v>2307</v>
      </c>
      <c r="B3" s="3082">
        <f ca="1">ROUND(B2*10000/B4,0)</f>
        <v>32889</v>
      </c>
      <c r="C3" s="3071" t="s">
        <v>2308</v>
      </c>
      <c r="D3" s="3071"/>
      <c r="E3" s="3072"/>
      <c r="F3" s="3073"/>
      <c r="G3" s="3074"/>
      <c r="H3" s="3075"/>
      <c r="I3" s="3076"/>
      <c r="J3" s="3986" t="s">
        <v>2309</v>
      </c>
      <c r="K3" s="3987"/>
      <c r="L3" s="3083"/>
      <c r="M3" s="3083"/>
      <c r="N3" s="3083"/>
      <c r="O3" s="3083"/>
      <c r="P3" s="3083"/>
      <c r="Q3" s="3084"/>
      <c r="R3" s="3085">
        <f>SUM(L3:Q3)</f>
        <v>0</v>
      </c>
      <c r="S3" s="3067"/>
      <c r="T3" s="3067"/>
      <c r="U3" s="3067"/>
      <c r="V3" s="3076"/>
    </row>
    <row r="4" spans="1:22" s="3080" customFormat="1" ht="13.15" customHeight="1">
      <c r="A4" s="3086" t="s">
        <v>2310</v>
      </c>
      <c r="B4" s="3087">
        <f>'数据-汇总表'!E19</f>
        <v>43064.46</v>
      </c>
      <c r="C4" s="3071"/>
      <c r="D4" s="3071"/>
      <c r="E4" s="3072"/>
      <c r="F4" s="3073"/>
      <c r="G4" s="3074"/>
      <c r="H4" s="3075"/>
      <c r="I4" s="3076"/>
      <c r="J4" s="3986" t="s">
        <v>2311</v>
      </c>
      <c r="K4" s="3987"/>
      <c r="L4" s="3088"/>
      <c r="M4" s="3088"/>
      <c r="N4" s="3088"/>
      <c r="O4" s="3088"/>
      <c r="P4" s="3088"/>
      <c r="Q4" s="3089"/>
      <c r="R4" s="3090">
        <f>SUM(L4:Q4)</f>
        <v>0</v>
      </c>
      <c r="S4" s="3067"/>
      <c r="T4" s="3067"/>
      <c r="U4" s="3067"/>
      <c r="V4" s="3076"/>
    </row>
    <row r="5" spans="1:22" s="3080" customFormat="1" ht="13.15" customHeight="1" thickBot="1">
      <c r="A5" s="3091" t="s">
        <v>2312</v>
      </c>
      <c r="B5" s="3092">
        <f>'数据-汇总表'!D19</f>
        <v>16343.4</v>
      </c>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15" customHeight="1" thickBot="1">
      <c r="A6" s="3988" t="s">
        <v>2315</v>
      </c>
      <c r="B6" s="3989"/>
      <c r="C6" s="3990"/>
      <c r="D6" s="3097">
        <f>资料!C113</f>
        <v>69441.440000000002</v>
      </c>
      <c r="E6" s="3098"/>
      <c r="F6" s="3099"/>
      <c r="G6" s="3100"/>
      <c r="H6" s="3075"/>
      <c r="I6" s="3076"/>
      <c r="J6" s="3991">
        <v>1</v>
      </c>
      <c r="K6" s="3992"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15" customHeight="1">
      <c r="A7" s="3103" t="s">
        <v>2325</v>
      </c>
      <c r="B7" s="3104"/>
      <c r="C7" s="3105"/>
      <c r="D7" s="3106">
        <f ca="1">SUM(D9,D10,D11,D17,0)</f>
        <v>59935</v>
      </c>
      <c r="E7" s="3107">
        <f ca="1">E9+E10+E11+E17</f>
        <v>0.86308912948809824</v>
      </c>
      <c r="F7" s="3108"/>
      <c r="G7" s="3109"/>
      <c r="H7" s="3075"/>
      <c r="I7" s="3076"/>
      <c r="J7" s="3991"/>
      <c r="K7" s="3993"/>
      <c r="L7" s="3110" t="s">
        <v>2326</v>
      </c>
      <c r="M7" s="3111"/>
      <c r="N7" s="3087"/>
      <c r="O7" s="3112"/>
      <c r="P7" s="3112"/>
      <c r="Q7" s="3113">
        <v>365</v>
      </c>
      <c r="R7" s="3114">
        <f>ROUND(M7*N7*O7*P7*Q7/10000,0)</f>
        <v>0</v>
      </c>
      <c r="S7" s="3067"/>
      <c r="T7" s="3067" t="s">
        <v>2327</v>
      </c>
      <c r="U7" s="3067"/>
      <c r="V7" s="3076"/>
    </row>
    <row r="8" spans="1:22" s="3080" customFormat="1" ht="13.15" customHeight="1">
      <c r="A8" s="3115" t="s">
        <v>2328</v>
      </c>
      <c r="B8" s="3995" t="s">
        <v>2329</v>
      </c>
      <c r="C8" s="3996"/>
      <c r="D8" s="3116" t="s">
        <v>2330</v>
      </c>
      <c r="E8" s="3117" t="s">
        <v>2331</v>
      </c>
      <c r="F8" s="3118" t="s">
        <v>2332</v>
      </c>
      <c r="G8" s="3119"/>
      <c r="H8" s="3075"/>
      <c r="I8" s="3076"/>
      <c r="J8" s="3991"/>
      <c r="K8" s="3993"/>
      <c r="L8" s="3110" t="s">
        <v>2333</v>
      </c>
      <c r="M8" s="3111"/>
      <c r="N8" s="3087"/>
      <c r="O8" s="3112"/>
      <c r="P8" s="3112"/>
      <c r="Q8" s="3113">
        <v>365</v>
      </c>
      <c r="R8" s="3114">
        <f t="shared" ref="R8:R13" si="0">ROUND(M8*N8*O8*P8*Q8/10000,0)</f>
        <v>0</v>
      </c>
      <c r="S8" s="3067"/>
      <c r="T8" s="3067" t="s">
        <v>2334</v>
      </c>
      <c r="U8" s="3067"/>
      <c r="V8" s="3076"/>
    </row>
    <row r="9" spans="1:22" s="3080" customFormat="1" ht="13.15" customHeight="1">
      <c r="A9" s="3115">
        <v>1</v>
      </c>
      <c r="B9" s="3995" t="s">
        <v>2335</v>
      </c>
      <c r="C9" s="3996"/>
      <c r="D9" s="3116">
        <f>ROUND(D6*E9,0)</f>
        <v>27777</v>
      </c>
      <c r="E9" s="3120">
        <v>0.4</v>
      </c>
      <c r="F9" s="3121" t="s">
        <v>2336</v>
      </c>
      <c r="G9" s="3100"/>
      <c r="H9" s="3075"/>
      <c r="I9" s="3076"/>
      <c r="J9" s="3991"/>
      <c r="K9" s="3993"/>
      <c r="L9" s="3110" t="s">
        <v>2337</v>
      </c>
      <c r="M9" s="3111"/>
      <c r="N9" s="3087"/>
      <c r="O9" s="3112"/>
      <c r="P9" s="3112"/>
      <c r="Q9" s="3113">
        <v>365</v>
      </c>
      <c r="R9" s="3114">
        <f t="shared" si="0"/>
        <v>0</v>
      </c>
      <c r="S9" s="3067"/>
      <c r="T9" s="3067"/>
      <c r="U9" s="3067"/>
      <c r="V9" s="3076"/>
    </row>
    <row r="10" spans="1:22" s="3080" customFormat="1" ht="13.15" customHeight="1">
      <c r="A10" s="3115">
        <v>2</v>
      </c>
      <c r="B10" s="3995" t="s">
        <v>2338</v>
      </c>
      <c r="C10" s="3996"/>
      <c r="D10" s="3116">
        <f>ROUND(D6*E10,0)</f>
        <v>24305</v>
      </c>
      <c r="E10" s="3120">
        <v>0.35</v>
      </c>
      <c r="F10" s="3121" t="s">
        <v>2339</v>
      </c>
      <c r="G10" s="3100"/>
      <c r="H10" s="3075"/>
      <c r="I10" s="3076"/>
      <c r="J10" s="3991"/>
      <c r="K10" s="3993"/>
      <c r="L10" s="3110" t="s">
        <v>2340</v>
      </c>
      <c r="M10" s="3111"/>
      <c r="N10" s="3087"/>
      <c r="O10" s="3112"/>
      <c r="P10" s="3112"/>
      <c r="Q10" s="3113">
        <v>365</v>
      </c>
      <c r="R10" s="3114">
        <f t="shared" si="0"/>
        <v>0</v>
      </c>
      <c r="S10" s="3067"/>
      <c r="T10" s="3067"/>
      <c r="U10" s="3067"/>
      <c r="V10" s="3076"/>
    </row>
    <row r="11" spans="1:22" s="3080" customFormat="1" ht="13.15" customHeight="1">
      <c r="A11" s="3115">
        <v>3</v>
      </c>
      <c r="B11" s="3995" t="s">
        <v>2341</v>
      </c>
      <c r="C11" s="3996"/>
      <c r="D11" s="3116">
        <f ca="1">D12+D14+D15+D16</f>
        <v>4381</v>
      </c>
      <c r="E11" s="3122">
        <f ca="1">D11/D6</f>
        <v>6.3089129488098167E-2</v>
      </c>
      <c r="F11" s="3118"/>
      <c r="G11" s="3119"/>
      <c r="H11" s="3075"/>
      <c r="I11" s="3076"/>
      <c r="J11" s="3991"/>
      <c r="K11" s="3993"/>
      <c r="L11" s="3110" t="s">
        <v>2342</v>
      </c>
      <c r="M11" s="3111"/>
      <c r="N11" s="3087"/>
      <c r="O11" s="3112"/>
      <c r="P11" s="3112"/>
      <c r="Q11" s="3113">
        <v>365</v>
      </c>
      <c r="R11" s="3114">
        <f t="shared" si="0"/>
        <v>0</v>
      </c>
      <c r="S11" s="3067"/>
      <c r="T11" s="3067"/>
      <c r="U11" s="3067"/>
      <c r="V11" s="3076"/>
    </row>
    <row r="12" spans="1:22" s="3080" customFormat="1" ht="13.15" customHeight="1">
      <c r="A12" s="3123" t="s">
        <v>2343</v>
      </c>
      <c r="B12" s="3997" t="s">
        <v>2344</v>
      </c>
      <c r="C12" s="3998"/>
      <c r="D12" s="3124">
        <f ca="1">ROUND(D13*1.2%*(1-30%),0)</f>
        <v>557</v>
      </c>
      <c r="E12" s="3125">
        <v>1.2E-2</v>
      </c>
      <c r="F12" s="3118" t="s">
        <v>2345</v>
      </c>
      <c r="G12" s="3119"/>
      <c r="H12" s="3075"/>
      <c r="I12" s="3076"/>
      <c r="J12" s="3991"/>
      <c r="K12" s="3993"/>
      <c r="L12" s="3110" t="s">
        <v>2346</v>
      </c>
      <c r="M12" s="3111"/>
      <c r="N12" s="3087"/>
      <c r="O12" s="3112"/>
      <c r="P12" s="3112"/>
      <c r="Q12" s="3113">
        <v>365</v>
      </c>
      <c r="R12" s="3114">
        <f t="shared" si="0"/>
        <v>0</v>
      </c>
      <c r="S12" s="3067"/>
      <c r="T12" s="3067"/>
      <c r="U12" s="3067"/>
      <c r="V12" s="3076"/>
    </row>
    <row r="13" spans="1:22" s="3080" customFormat="1" ht="13.15" customHeight="1">
      <c r="A13" s="3123"/>
      <c r="B13" s="3126"/>
      <c r="C13" s="3127" t="s">
        <v>2347</v>
      </c>
      <c r="D13" s="3128">
        <f ca="1">'不动产收益法 (原值)'!D2</f>
        <v>66338</v>
      </c>
      <c r="E13" s="3129"/>
      <c r="F13" s="3118"/>
      <c r="G13" s="3119"/>
      <c r="H13" s="3075"/>
      <c r="I13" s="3076"/>
      <c r="J13" s="3991"/>
      <c r="K13" s="3993"/>
      <c r="L13" s="3110" t="s">
        <v>2348</v>
      </c>
      <c r="M13" s="3111"/>
      <c r="N13" s="3087"/>
      <c r="O13" s="3112"/>
      <c r="P13" s="3112"/>
      <c r="Q13" s="3113">
        <v>365</v>
      </c>
      <c r="R13" s="3114">
        <f t="shared" si="0"/>
        <v>0</v>
      </c>
      <c r="S13" s="3067"/>
      <c r="T13" s="3067"/>
      <c r="U13" s="3067"/>
      <c r="V13" s="3076"/>
    </row>
    <row r="14" spans="1:22" s="3080" customFormat="1" ht="13.15" customHeight="1">
      <c r="A14" s="3123" t="s">
        <v>2349</v>
      </c>
      <c r="B14" s="3997" t="s">
        <v>2350</v>
      </c>
      <c r="C14" s="3998"/>
      <c r="D14" s="3124">
        <f>ROUND(E14*B5/10000,0)</f>
        <v>5</v>
      </c>
      <c r="E14" s="3113">
        <f>'数据-取费表'!B52</f>
        <v>3</v>
      </c>
      <c r="F14" s="3118" t="s">
        <v>2351</v>
      </c>
      <c r="G14" s="3119"/>
      <c r="H14" s="3075"/>
      <c r="I14" s="3076"/>
      <c r="J14" s="3991"/>
      <c r="K14" s="3994"/>
      <c r="L14" s="3130" t="s">
        <v>2352</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2353</v>
      </c>
      <c r="B15" s="3997" t="s">
        <v>2354</v>
      </c>
      <c r="C15" s="3998"/>
      <c r="D15" s="3124">
        <f>ROUND(D6*E15,0)</f>
        <v>3819</v>
      </c>
      <c r="E15" s="3125">
        <v>5.5E-2</v>
      </c>
      <c r="F15" s="3118" t="s">
        <v>2355</v>
      </c>
      <c r="G15" s="3100"/>
      <c r="H15" s="3075"/>
      <c r="I15" s="3076"/>
      <c r="J15" s="3991">
        <v>2</v>
      </c>
      <c r="K15" s="3992" t="s">
        <v>2356</v>
      </c>
      <c r="L15" s="3110" t="s">
        <v>2357</v>
      </c>
      <c r="M15" s="3111" t="s">
        <v>2358</v>
      </c>
      <c r="N15" s="3111" t="s">
        <v>2359</v>
      </c>
      <c r="O15" s="3112" t="s">
        <v>2360</v>
      </c>
      <c r="P15" s="3112" t="s">
        <v>2361</v>
      </c>
      <c r="Q15" s="3087" t="s">
        <v>2362</v>
      </c>
      <c r="R15" s="3134" t="s">
        <v>2363</v>
      </c>
      <c r="S15" s="3067"/>
      <c r="T15" s="3067"/>
      <c r="U15" s="3067"/>
      <c r="V15" s="3076"/>
    </row>
    <row r="16" spans="1:22" s="3080" customFormat="1" ht="13.15" customHeight="1">
      <c r="A16" s="3123" t="s">
        <v>2364</v>
      </c>
      <c r="B16" s="3997" t="s">
        <v>2365</v>
      </c>
      <c r="C16" s="3998"/>
      <c r="D16" s="3135"/>
      <c r="E16" s="3136"/>
      <c r="F16" s="3121" t="s">
        <v>2366</v>
      </c>
      <c r="G16" s="3100"/>
      <c r="H16" s="3075"/>
      <c r="I16" s="3076"/>
      <c r="J16" s="3991"/>
      <c r="K16" s="3993"/>
      <c r="L16" s="3110" t="s">
        <v>2367</v>
      </c>
      <c r="M16" s="3111"/>
      <c r="N16" s="3111"/>
      <c r="O16" s="3112"/>
      <c r="P16" s="3113">
        <v>365</v>
      </c>
      <c r="Q16" s="3087"/>
      <c r="R16" s="3134">
        <f>ROUND(M16*N16*O16*P16/10000,0)</f>
        <v>0</v>
      </c>
      <c r="S16" s="3067"/>
      <c r="T16" s="3067"/>
      <c r="U16" s="3067"/>
      <c r="V16" s="3076"/>
    </row>
    <row r="17" spans="1:22" s="3080" customFormat="1" ht="13.15" customHeight="1" thickBot="1">
      <c r="A17" s="3137">
        <v>4</v>
      </c>
      <c r="B17" s="3999" t="s">
        <v>2368</v>
      </c>
      <c r="C17" s="4000"/>
      <c r="D17" s="3138">
        <f>ROUND(D6*E17,0)</f>
        <v>3472</v>
      </c>
      <c r="E17" s="3139">
        <v>0.05</v>
      </c>
      <c r="F17" s="3140" t="s">
        <v>2369</v>
      </c>
      <c r="G17" s="3100"/>
      <c r="H17" s="3075"/>
      <c r="I17" s="3076"/>
      <c r="J17" s="3991"/>
      <c r="K17" s="3993"/>
      <c r="L17" s="3110" t="s">
        <v>2370</v>
      </c>
      <c r="M17" s="3111"/>
      <c r="N17" s="3111"/>
      <c r="O17" s="3112"/>
      <c r="P17" s="3113">
        <v>365</v>
      </c>
      <c r="Q17" s="3087"/>
      <c r="R17" s="3134">
        <f>ROUND(M17*N17*O17*P17/10000,0)</f>
        <v>0</v>
      </c>
      <c r="S17" s="3067"/>
      <c r="T17" s="3067"/>
      <c r="U17" s="3067"/>
      <c r="V17" s="3076"/>
    </row>
    <row r="18" spans="1:22" s="3080" customFormat="1" ht="13.15" customHeight="1" thickBot="1">
      <c r="A18" s="3103" t="s">
        <v>2371</v>
      </c>
      <c r="B18" s="3104"/>
      <c r="C18" s="3104"/>
      <c r="D18" s="3141">
        <f>ROUND(D6*E18,0)</f>
        <v>9027</v>
      </c>
      <c r="E18" s="3142">
        <v>0.13</v>
      </c>
      <c r="F18" s="3143" t="s">
        <v>2372</v>
      </c>
      <c r="G18" s="3100"/>
      <c r="H18" s="3075"/>
      <c r="I18" s="3076"/>
      <c r="J18" s="3991"/>
      <c r="K18" s="3993"/>
      <c r="L18" s="3110" t="s">
        <v>2373</v>
      </c>
      <c r="M18" s="3111"/>
      <c r="N18" s="3111"/>
      <c r="O18" s="3112"/>
      <c r="P18" s="3113">
        <v>365</v>
      </c>
      <c r="Q18" s="3087"/>
      <c r="R18" s="3134">
        <f>ROUND(M18*N18*O18*P18/10000,0)</f>
        <v>0</v>
      </c>
      <c r="S18" s="3067"/>
      <c r="T18" s="3067"/>
      <c r="U18" s="3067"/>
      <c r="V18" s="3076"/>
    </row>
    <row r="19" spans="1:22" s="3080" customFormat="1" ht="13.15" customHeight="1" thickBot="1">
      <c r="A19" s="3144" t="s">
        <v>2374</v>
      </c>
      <c r="B19" s="3098"/>
      <c r="C19" s="3098"/>
      <c r="D19" s="3098"/>
      <c r="E19" s="3098"/>
      <c r="F19" s="3099"/>
      <c r="G19" s="3119"/>
      <c r="H19" s="3075"/>
      <c r="I19" s="3076"/>
      <c r="J19" s="3991"/>
      <c r="K19" s="3994"/>
      <c r="L19" s="3130" t="s">
        <v>2352</v>
      </c>
      <c r="M19" s="3131"/>
      <c r="N19" s="3131">
        <f>SUM(N16:N18)</f>
        <v>0</v>
      </c>
      <c r="O19" s="3132"/>
      <c r="P19" s="3145" t="s">
        <v>2440</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91">
        <v>3</v>
      </c>
      <c r="K20" s="3992" t="s">
        <v>2375</v>
      </c>
      <c r="L20" s="3110" t="s">
        <v>2376</v>
      </c>
      <c r="M20" s="3111" t="s">
        <v>2377</v>
      </c>
      <c r="N20" s="3148" t="s">
        <v>2378</v>
      </c>
      <c r="O20" s="3112" t="s">
        <v>2379</v>
      </c>
      <c r="P20" s="3113" t="s">
        <v>2380</v>
      </c>
      <c r="Q20" s="3087" t="s">
        <v>2381</v>
      </c>
      <c r="R20" s="3134" t="s">
        <v>2323</v>
      </c>
      <c r="S20" s="3149"/>
      <c r="T20" s="3149"/>
      <c r="U20" s="3149"/>
      <c r="V20" s="3076"/>
    </row>
    <row r="21" spans="1:22" s="3080" customFormat="1" ht="13.15" customHeight="1">
      <c r="A21" s="3103"/>
      <c r="B21" s="3104"/>
      <c r="C21" s="3150" t="s">
        <v>2382</v>
      </c>
      <c r="D21" s="3151" t="s">
        <v>2383</v>
      </c>
      <c r="E21" s="3152" t="s">
        <v>2384</v>
      </c>
      <c r="F21" s="3147"/>
      <c r="G21" s="3119"/>
      <c r="H21" s="3075"/>
      <c r="I21" s="3076"/>
      <c r="J21" s="3991"/>
      <c r="K21" s="3993"/>
      <c r="L21" s="3110" t="s">
        <v>2385</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2386</v>
      </c>
      <c r="D22" s="3155" t="s">
        <v>2387</v>
      </c>
      <c r="E22" s="3156" t="s">
        <v>2388</v>
      </c>
      <c r="F22" s="3147"/>
      <c r="G22" s="3157"/>
      <c r="H22" s="3075"/>
      <c r="I22" s="3076"/>
      <c r="J22" s="3991"/>
      <c r="K22" s="3993"/>
      <c r="L22" s="3110" t="s">
        <v>2389</v>
      </c>
      <c r="M22" s="3111"/>
      <c r="N22" s="3111"/>
      <c r="O22" s="3112"/>
      <c r="P22" s="3113">
        <v>365</v>
      </c>
      <c r="Q22" s="3087"/>
      <c r="R22" s="3153">
        <f>ROUND(M22*N22*O22*P22/10000,0)</f>
        <v>0</v>
      </c>
      <c r="S22" s="3149"/>
      <c r="T22" s="3149"/>
      <c r="U22" s="3149"/>
      <c r="V22" s="3076"/>
    </row>
    <row r="23" spans="1:22" s="3080" customFormat="1" ht="13.15" customHeight="1">
      <c r="A23" s="3158">
        <v>1</v>
      </c>
      <c r="B23" s="3159" t="s">
        <v>2390</v>
      </c>
      <c r="C23" s="3160">
        <f>D6</f>
        <v>69441.440000000002</v>
      </c>
      <c r="D23" s="3161">
        <f>C23*(1+D24)</f>
        <v>80552.070399999997</v>
      </c>
      <c r="E23" s="3162">
        <f>D23*(1+E24)</f>
        <v>100690.08799999999</v>
      </c>
      <c r="F23" s="3163"/>
      <c r="G23" s="3164"/>
      <c r="H23" s="3075"/>
      <c r="I23" s="3076"/>
      <c r="J23" s="3991"/>
      <c r="K23" s="3993"/>
      <c r="L23" s="3110" t="s">
        <v>2391</v>
      </c>
      <c r="M23" s="3111"/>
      <c r="N23" s="3111"/>
      <c r="O23" s="3112"/>
      <c r="P23" s="3113">
        <v>365</v>
      </c>
      <c r="Q23" s="3087"/>
      <c r="R23" s="3153">
        <f>ROUND(M23*N23*O23*P23/10000,0)</f>
        <v>0</v>
      </c>
      <c r="S23" s="3067"/>
      <c r="T23" s="3067"/>
      <c r="U23" s="3067"/>
      <c r="V23" s="3076"/>
    </row>
    <row r="24" spans="1:22" s="3080" customFormat="1" ht="13.15" customHeight="1">
      <c r="A24" s="3165"/>
      <c r="B24" s="3166" t="s">
        <v>2392</v>
      </c>
      <c r="C24" s="3167"/>
      <c r="D24" s="3168">
        <v>0.16</v>
      </c>
      <c r="E24" s="3169">
        <v>0.25</v>
      </c>
      <c r="F24" s="3170"/>
      <c r="G24" s="3164"/>
      <c r="H24" s="3075"/>
      <c r="I24" s="3076"/>
      <c r="J24" s="3991"/>
      <c r="K24" s="3994"/>
      <c r="L24" s="3130" t="s">
        <v>2352</v>
      </c>
      <c r="M24" s="3131">
        <f>SUM(M21:M23)</f>
        <v>0</v>
      </c>
      <c r="N24" s="3131"/>
      <c r="O24" s="3132"/>
      <c r="P24" s="3145" t="s">
        <v>2440</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2393</v>
      </c>
      <c r="L25" s="3173"/>
      <c r="M25" s="3173"/>
      <c r="N25" s="3173"/>
      <c r="O25" s="3173"/>
      <c r="P25" s="3174"/>
      <c r="Q25" s="3175"/>
      <c r="R25" s="3146">
        <f>ROUND(R14*Q25,0)</f>
        <v>0</v>
      </c>
      <c r="S25" s="3067"/>
      <c r="T25" s="3067"/>
      <c r="U25" s="3067"/>
      <c r="V25" s="3176"/>
    </row>
    <row r="26" spans="1:22" s="3177" customFormat="1" ht="13.15" customHeight="1">
      <c r="A26" s="3158">
        <v>2</v>
      </c>
      <c r="B26" s="3159" t="s">
        <v>2394</v>
      </c>
      <c r="C26" s="3160">
        <f ca="1">D7</f>
        <v>59935</v>
      </c>
      <c r="D26" s="3161">
        <f>D23*D27</f>
        <v>64441.656320000002</v>
      </c>
      <c r="E26" s="3162">
        <f>E23*E27</f>
        <v>80552.070399999997</v>
      </c>
      <c r="F26" s="3163"/>
      <c r="G26" s="3164"/>
      <c r="H26" s="3075"/>
      <c r="I26" s="3076"/>
      <c r="J26" s="4001">
        <v>5</v>
      </c>
      <c r="K26" s="3178" t="s">
        <v>2395</v>
      </c>
      <c r="L26" s="3179"/>
      <c r="M26" s="3180"/>
      <c r="N26" s="3181" t="s">
        <v>2396</v>
      </c>
      <c r="O26" s="3181" t="s">
        <v>2397</v>
      </c>
      <c r="P26" s="3182" t="s">
        <v>2398</v>
      </c>
      <c r="Q26" s="3182" t="s">
        <v>2399</v>
      </c>
      <c r="R26" s="3085" t="s">
        <v>2400</v>
      </c>
      <c r="S26" s="3183"/>
      <c r="T26" s="3183"/>
      <c r="U26" s="3183"/>
      <c r="V26" s="3176"/>
    </row>
    <row r="27" spans="1:22" s="3080" customFormat="1" ht="13.15" customHeight="1">
      <c r="A27" s="3165"/>
      <c r="B27" s="3166" t="s">
        <v>2401</v>
      </c>
      <c r="C27" s="3184">
        <f ca="1">E7</f>
        <v>0.86308912948809824</v>
      </c>
      <c r="D27" s="3168">
        <v>0.8</v>
      </c>
      <c r="E27" s="3169">
        <v>0.8</v>
      </c>
      <c r="F27" s="3170"/>
      <c r="G27" s="3164"/>
      <c r="H27" s="3185"/>
      <c r="I27" s="3176"/>
      <c r="J27" s="4002"/>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2402</v>
      </c>
      <c r="F28" s="3170"/>
      <c r="G28" s="3157"/>
      <c r="H28" s="3185"/>
      <c r="I28" s="3176"/>
      <c r="J28" s="3191">
        <v>6</v>
      </c>
      <c r="K28" s="3192" t="s">
        <v>2403</v>
      </c>
      <c r="L28" s="3193" t="s">
        <v>2404</v>
      </c>
      <c r="M28" s="3194"/>
      <c r="N28" s="3193" t="s">
        <v>2405</v>
      </c>
      <c r="O28" s="3195"/>
      <c r="P28" s="3193" t="s">
        <v>2406</v>
      </c>
      <c r="Q28" s="3196">
        <v>1.4999999999999999E-2</v>
      </c>
      <c r="R28" s="3197"/>
      <c r="S28" s="3149"/>
      <c r="T28" s="3149"/>
      <c r="U28" s="3149"/>
      <c r="V28" s="3176"/>
    </row>
    <row r="29" spans="1:22" s="3177" customFormat="1" ht="13.15" customHeight="1">
      <c r="A29" s="3158">
        <v>3</v>
      </c>
      <c r="B29" s="3159" t="s">
        <v>2407</v>
      </c>
      <c r="C29" s="3160">
        <f>C23*C30</f>
        <v>9027.387200000001</v>
      </c>
      <c r="D29" s="3161">
        <f>D23*C30</f>
        <v>10471.769152000001</v>
      </c>
      <c r="E29" s="3162">
        <f>E23*C30</f>
        <v>13089.711439999999</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2408</v>
      </c>
      <c r="C30" s="3184">
        <f>E18</f>
        <v>0.13</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2409</v>
      </c>
      <c r="K31" s="3065"/>
      <c r="L31" s="3065"/>
      <c r="M31" s="3065"/>
      <c r="N31" s="3065"/>
      <c r="O31" s="3065"/>
      <c r="P31" s="3065"/>
      <c r="Q31" s="3065"/>
      <c r="R31" s="3066"/>
      <c r="S31" s="3149"/>
      <c r="T31" s="3067"/>
      <c r="U31" s="3067"/>
      <c r="V31" s="3176"/>
    </row>
    <row r="32" spans="1:22" s="3177" customFormat="1" ht="13.15" customHeight="1">
      <c r="A32" s="3158">
        <v>4</v>
      </c>
      <c r="B32" s="3159" t="s">
        <v>2410</v>
      </c>
      <c r="C32" s="3160">
        <f ca="1">C23-C26-C29</f>
        <v>479.0528000000013</v>
      </c>
      <c r="D32" s="3161">
        <f>D23-D26-D29</f>
        <v>5638.6449279999943</v>
      </c>
      <c r="E32" s="3162">
        <f>E23-E26-E29</f>
        <v>7048.3061599999928</v>
      </c>
      <c r="F32" s="3163"/>
      <c r="G32" s="3157"/>
      <c r="H32" s="3075"/>
      <c r="I32" s="3076"/>
      <c r="J32" s="3984" t="s">
        <v>2411</v>
      </c>
      <c r="K32" s="3985"/>
      <c r="L32" s="3077" t="s">
        <v>2412</v>
      </c>
      <c r="M32" s="3077" t="s">
        <v>2301</v>
      </c>
      <c r="N32" s="3077" t="s">
        <v>2302</v>
      </c>
      <c r="O32" s="3077" t="s">
        <v>2303</v>
      </c>
      <c r="P32" s="3077" t="s">
        <v>2304</v>
      </c>
      <c r="Q32" s="3078" t="s">
        <v>2413</v>
      </c>
      <c r="R32" s="3200" t="s">
        <v>2414</v>
      </c>
      <c r="S32" s="3149"/>
      <c r="T32" s="3067"/>
      <c r="U32" s="3067"/>
      <c r="V32" s="3176"/>
    </row>
    <row r="33" spans="1:23" s="3080" customFormat="1" ht="13.15" customHeight="1">
      <c r="A33" s="3158"/>
      <c r="B33" s="3159"/>
      <c r="C33" s="3160"/>
      <c r="D33" s="3201"/>
      <c r="E33" s="3202"/>
      <c r="F33" s="3163"/>
      <c r="G33" s="3157"/>
      <c r="H33" s="3185"/>
      <c r="I33" s="3176"/>
      <c r="J33" s="3986" t="s">
        <v>2415</v>
      </c>
      <c r="K33" s="3987"/>
      <c r="L33" s="3083"/>
      <c r="M33" s="3083"/>
      <c r="N33" s="3083"/>
      <c r="O33" s="3083"/>
      <c r="P33" s="3083"/>
      <c r="Q33" s="3084"/>
      <c r="R33" s="3203">
        <f>SUM(L33:Q33)</f>
        <v>0</v>
      </c>
      <c r="S33" s="3149"/>
      <c r="T33" s="3067"/>
      <c r="U33" s="3067"/>
      <c r="V33" s="3076"/>
    </row>
    <row r="34" spans="1:23" s="3080" customFormat="1" ht="13.15" customHeight="1">
      <c r="A34" s="3158">
        <v>5</v>
      </c>
      <c r="B34" s="3159" t="s">
        <v>2416</v>
      </c>
      <c r="C34" s="3204">
        <f>'数据-取费表'!I6</f>
        <v>7.0000000000000007E-2</v>
      </c>
      <c r="D34" s="3205">
        <f>C34</f>
        <v>7.0000000000000007E-2</v>
      </c>
      <c r="E34" s="3206">
        <f>C34</f>
        <v>7.0000000000000007E-2</v>
      </c>
      <c r="F34" s="3163"/>
      <c r="G34" s="3157"/>
      <c r="H34" s="3185"/>
      <c r="I34" s="3176"/>
      <c r="J34" s="3986" t="s">
        <v>2417</v>
      </c>
      <c r="K34" s="3987"/>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2418</v>
      </c>
      <c r="C35" s="3208">
        <v>0.05</v>
      </c>
      <c r="D35" s="3209">
        <f>C35</f>
        <v>0.05</v>
      </c>
      <c r="E35" s="3210">
        <f>C35</f>
        <v>0.05</v>
      </c>
      <c r="F35" s="3163"/>
      <c r="G35" s="3211"/>
      <c r="H35" s="3075"/>
      <c r="I35" s="3176"/>
      <c r="J35" s="3094" t="s">
        <v>2419</v>
      </c>
      <c r="K35" s="3095"/>
      <c r="L35" s="3095"/>
      <c r="M35" s="3096"/>
      <c r="N35" s="3096"/>
      <c r="O35" s="3096"/>
      <c r="P35" s="3096"/>
      <c r="Q35" s="3096"/>
      <c r="R35" s="3212">
        <f>R40+R41+R43</f>
        <v>0</v>
      </c>
      <c r="S35" s="3149"/>
      <c r="T35" s="3067" t="s">
        <v>2420</v>
      </c>
      <c r="U35" s="3067"/>
      <c r="V35" s="3076"/>
    </row>
    <row r="36" spans="1:23" s="3080" customFormat="1" ht="13.15" customHeight="1" thickBot="1">
      <c r="A36" s="3158">
        <v>7</v>
      </c>
      <c r="B36" s="3213" t="s">
        <v>2421</v>
      </c>
      <c r="C36" s="3214">
        <v>1</v>
      </c>
      <c r="D36" s="3215">
        <v>2</v>
      </c>
      <c r="E36" s="3216">
        <f>'数据-取费表'!F6-'不动产收益法-酒店模型'!C36-'不动产收益法-酒店模型'!D36</f>
        <v>32.35</v>
      </c>
      <c r="F36" s="3217">
        <f>C36+D36+E36</f>
        <v>35.35</v>
      </c>
      <c r="G36" s="3157"/>
      <c r="H36" s="3075"/>
      <c r="I36" s="3076"/>
      <c r="J36" s="3991">
        <v>1</v>
      </c>
      <c r="K36" s="3992" t="s">
        <v>2422</v>
      </c>
      <c r="L36" s="3101"/>
      <c r="M36" s="3102"/>
      <c r="N36" s="3102"/>
      <c r="O36" s="3102"/>
      <c r="P36" s="3102"/>
      <c r="Q36" s="3102"/>
      <c r="R36" s="3085" t="s">
        <v>2323</v>
      </c>
      <c r="S36" s="3149"/>
      <c r="T36" s="3067" t="s">
        <v>2324</v>
      </c>
      <c r="U36" s="3067"/>
      <c r="V36" s="3076"/>
    </row>
    <row r="37" spans="1:23" s="3080" customFormat="1" ht="13.15" customHeight="1">
      <c r="A37" s="3158"/>
      <c r="B37" s="3159"/>
      <c r="C37" s="3159"/>
      <c r="D37" s="3159"/>
      <c r="E37" s="3159"/>
      <c r="F37" s="3163"/>
      <c r="G37" s="3157"/>
      <c r="H37" s="3075"/>
      <c r="I37" s="3076"/>
      <c r="J37" s="3991"/>
      <c r="K37" s="3993"/>
      <c r="L37" s="3110"/>
      <c r="M37" s="3111"/>
      <c r="N37" s="3087"/>
      <c r="O37" s="3112"/>
      <c r="P37" s="3112"/>
      <c r="Q37" s="3113"/>
      <c r="R37" s="3114"/>
      <c r="S37" s="3149"/>
      <c r="T37" s="3067" t="s">
        <v>2327</v>
      </c>
      <c r="U37" s="3067"/>
      <c r="V37" s="3076"/>
    </row>
    <row r="38" spans="1:23" s="3080" customFormat="1" ht="13.15" customHeight="1">
      <c r="A38" s="3158">
        <v>8</v>
      </c>
      <c r="B38" s="3159"/>
      <c r="C38" s="3116">
        <f ca="1">ROUND(C32*(1-((1+C35)/(1+C34))^C36)/(C34-C35),0)</f>
        <v>448</v>
      </c>
      <c r="D38" s="3116">
        <f>IF(D23=0,0,ROUND(D32*(1-((1+D35)/(1+D34))^D36)/(D34-D35),0))</f>
        <v>10441</v>
      </c>
      <c r="E38" s="3116">
        <f>IF(E23=0,0,ROUND(E32*(1-((1+E35)/(1+E34))^E36)/(E34-E35),0))</f>
        <v>161006</v>
      </c>
      <c r="F38" s="3163"/>
      <c r="G38" s="3157"/>
      <c r="H38" s="3075"/>
      <c r="I38" s="3076"/>
      <c r="J38" s="3991"/>
      <c r="K38" s="3993"/>
      <c r="L38" s="3110"/>
      <c r="M38" s="3111"/>
      <c r="N38" s="3087"/>
      <c r="O38" s="3112"/>
      <c r="P38" s="3112"/>
      <c r="Q38" s="3113"/>
      <c r="R38" s="3114"/>
      <c r="S38" s="3149"/>
      <c r="T38" s="3067" t="s">
        <v>2334</v>
      </c>
      <c r="U38" s="3067"/>
      <c r="V38" s="3076"/>
    </row>
    <row r="39" spans="1:23" s="3080" customFormat="1" ht="13.15" customHeight="1">
      <c r="A39" s="3158">
        <v>9</v>
      </c>
      <c r="B39" s="3159" t="s">
        <v>2423</v>
      </c>
      <c r="C39" s="3124">
        <f ca="1">C38</f>
        <v>448</v>
      </c>
      <c r="D39" s="3159">
        <f>D38/(1+D34)^C36</f>
        <v>9757.9439252336451</v>
      </c>
      <c r="E39" s="3159">
        <f>E38/(1+E34)^(C36+D36)</f>
        <v>131428.85596668851</v>
      </c>
      <c r="F39" s="3163"/>
      <c r="G39" s="3218"/>
      <c r="H39" s="3075"/>
      <c r="I39" s="3076"/>
      <c r="J39" s="3991"/>
      <c r="K39" s="3993"/>
      <c r="L39" s="3110"/>
      <c r="M39" s="3111"/>
      <c r="N39" s="3087"/>
      <c r="O39" s="3112"/>
      <c r="P39" s="3112"/>
      <c r="Q39" s="3113"/>
      <c r="R39" s="3114"/>
      <c r="S39" s="3149"/>
      <c r="T39" s="3067"/>
      <c r="U39" s="3067"/>
      <c r="V39" s="3076"/>
    </row>
    <row r="40" spans="1:23" s="3080" customFormat="1" ht="13.15" customHeight="1">
      <c r="A40" s="3219">
        <v>10</v>
      </c>
      <c r="B40" s="3159" t="s">
        <v>2424</v>
      </c>
      <c r="C40" s="3220">
        <f ca="1">C39+D39+E39</f>
        <v>141634.79989192216</v>
      </c>
      <c r="D40" s="3221"/>
      <c r="E40" s="3221"/>
      <c r="F40" s="3222"/>
      <c r="G40" s="3157"/>
      <c r="H40" s="3075"/>
      <c r="I40" s="3076"/>
      <c r="J40" s="3991"/>
      <c r="K40" s="3994"/>
      <c r="L40" s="3130" t="s">
        <v>2425</v>
      </c>
      <c r="M40" s="3131"/>
      <c r="N40" s="3131"/>
      <c r="O40" s="3132"/>
      <c r="P40" s="3132"/>
      <c r="Q40" s="3133"/>
      <c r="R40" s="3079">
        <f>SUM(R37:R39)</f>
        <v>0</v>
      </c>
      <c r="S40" s="3149"/>
      <c r="T40" s="3067"/>
      <c r="U40" s="3067"/>
      <c r="V40" s="3076"/>
    </row>
    <row r="41" spans="1:23" s="3080" customFormat="1" ht="13.15" customHeight="1" thickBot="1">
      <c r="A41" s="3223">
        <v>11</v>
      </c>
      <c r="B41" s="3224" t="s">
        <v>2426</v>
      </c>
      <c r="C41" s="3224">
        <f ca="1">ROUND(C40*10000/B4,0)</f>
        <v>32889</v>
      </c>
      <c r="D41" s="3225"/>
      <c r="E41" s="3225"/>
      <c r="F41" s="3226"/>
      <c r="G41" s="3227"/>
      <c r="H41" s="3075"/>
      <c r="I41" s="3076"/>
      <c r="J41" s="3171">
        <v>2</v>
      </c>
      <c r="K41" s="3172" t="s">
        <v>2427</v>
      </c>
      <c r="L41" s="3173"/>
      <c r="M41" s="3173"/>
      <c r="N41" s="3173"/>
      <c r="O41" s="3173"/>
      <c r="P41" s="3174"/>
      <c r="Q41" s="3175"/>
      <c r="R41" s="3146">
        <f>ROUND(R40*Q41,0)</f>
        <v>0</v>
      </c>
      <c r="S41" s="3149"/>
      <c r="T41" s="3067"/>
      <c r="U41" s="3183"/>
      <c r="V41" s="3076"/>
    </row>
    <row r="42" spans="1:23" s="3080" customFormat="1" ht="13.15" customHeight="1">
      <c r="G42" s="3227"/>
      <c r="H42" s="3075"/>
      <c r="I42" s="3076"/>
      <c r="J42" s="4001">
        <v>3</v>
      </c>
      <c r="K42" s="3178" t="s">
        <v>2428</v>
      </c>
      <c r="L42" s="3179"/>
      <c r="M42" s="3180"/>
      <c r="N42" s="3181" t="s">
        <v>2429</v>
      </c>
      <c r="O42" s="3181" t="s">
        <v>2430</v>
      </c>
      <c r="P42" s="3182" t="s">
        <v>2431</v>
      </c>
      <c r="Q42" s="3182" t="s">
        <v>2432</v>
      </c>
      <c r="R42" s="3085" t="s">
        <v>2433</v>
      </c>
      <c r="S42" s="3183"/>
      <c r="T42" s="3183"/>
      <c r="U42" s="3067"/>
      <c r="V42" s="3076"/>
    </row>
    <row r="43" spans="1:23" ht="13.15" customHeight="1">
      <c r="A43" s="3080"/>
      <c r="B43" s="3080"/>
      <c r="C43" s="3080"/>
      <c r="D43" s="3080"/>
      <c r="E43" s="3080"/>
      <c r="F43" s="3080"/>
      <c r="I43" s="3062"/>
      <c r="J43" s="4002"/>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2434</v>
      </c>
      <c r="L44" s="3231" t="s">
        <v>2435</v>
      </c>
      <c r="M44" s="3194"/>
      <c r="N44" s="3231" t="s">
        <v>2436</v>
      </c>
      <c r="O44" s="3194"/>
      <c r="P44" s="3231" t="s">
        <v>2437</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F40" sqref="F40"/>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2738</v>
      </c>
      <c r="D1" s="2552" t="s">
        <v>3367</v>
      </c>
      <c r="E1" s="2078" t="s">
        <v>1725</v>
      </c>
      <c r="F1" s="2079">
        <f ca="1">J53</f>
        <v>32.85</v>
      </c>
      <c r="G1" s="3000">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1254</v>
      </c>
      <c r="B2" s="741">
        <f ca="1">C40+J29+L46</f>
        <v>5363</v>
      </c>
      <c r="C2" s="3005"/>
      <c r="D2" s="3006"/>
      <c r="E2" s="3007"/>
      <c r="F2" s="3007"/>
      <c r="G2" s="3001"/>
      <c r="H2" s="1780"/>
      <c r="I2" s="1780"/>
      <c r="J2" s="1780"/>
      <c r="K2" s="1781"/>
      <c r="L2" s="1780"/>
      <c r="M2" s="1780"/>
    </row>
    <row r="3" spans="1:33" ht="18" customHeight="1" thickBot="1">
      <c r="A3" s="798" t="s">
        <v>1255</v>
      </c>
      <c r="B3" s="799">
        <f ca="1">IF(ISERROR(B2*10000/F43),0,ROUND(B2*10000/F43,0))</f>
        <v>9401</v>
      </c>
      <c r="C3" s="3005"/>
      <c r="D3" s="3006"/>
      <c r="E3" s="3007"/>
      <c r="F3" s="3007"/>
      <c r="G3" s="3001"/>
      <c r="H3" s="742" t="s">
        <v>641</v>
      </c>
      <c r="I3" s="1223"/>
      <c r="J3" s="1223"/>
      <c r="K3" s="1404"/>
      <c r="L3" s="1223"/>
      <c r="M3" s="1223"/>
    </row>
    <row r="4" spans="1:33" ht="18" customHeight="1">
      <c r="A4" s="743" t="s">
        <v>1256</v>
      </c>
      <c r="B4" s="744" t="s">
        <v>1257</v>
      </c>
      <c r="C4" s="744" t="s">
        <v>1258</v>
      </c>
      <c r="D4" s="744" t="s">
        <v>580</v>
      </c>
      <c r="E4" s="745" t="s">
        <v>1259</v>
      </c>
      <c r="F4" s="746"/>
      <c r="G4" s="1785"/>
      <c r="H4" s="743" t="s">
        <v>1260</v>
      </c>
      <c r="I4" s="744" t="s">
        <v>1261</v>
      </c>
      <c r="J4" s="744" t="s">
        <v>1262</v>
      </c>
      <c r="K4" s="744" t="s">
        <v>1263</v>
      </c>
      <c r="L4" s="745" t="s">
        <v>1264</v>
      </c>
      <c r="M4" s="746"/>
    </row>
    <row r="5" spans="1:33" ht="18" customHeight="1">
      <c r="A5" s="747">
        <v>1</v>
      </c>
      <c r="B5" s="748" t="s">
        <v>1799</v>
      </c>
      <c r="C5" s="53">
        <f ca="1">C6+C10+C12</f>
        <v>449</v>
      </c>
      <c r="D5" s="2142" t="s">
        <v>1802</v>
      </c>
      <c r="E5" s="2136"/>
      <c r="F5" s="2137"/>
      <c r="G5" s="1785"/>
      <c r="H5" s="747">
        <v>1</v>
      </c>
      <c r="I5" s="748" t="s">
        <v>1799</v>
      </c>
      <c r="J5" s="53">
        <f ca="1">J6+J10+J12</f>
        <v>0</v>
      </c>
      <c r="K5" s="2142" t="s">
        <v>1802</v>
      </c>
      <c r="L5" s="2136"/>
      <c r="M5" s="2137"/>
    </row>
    <row r="6" spans="1:33" ht="18" customHeight="1">
      <c r="A6" s="1616" t="s">
        <v>1352</v>
      </c>
      <c r="B6" s="3978" t="s">
        <v>1804</v>
      </c>
      <c r="C6" s="749">
        <f ca="1">ROUND(F6*F8*F7*(1-F9)/10000,0)</f>
        <v>449</v>
      </c>
      <c r="D6" s="2143" t="s">
        <v>1803</v>
      </c>
      <c r="E6" s="750" t="s">
        <v>1266</v>
      </c>
      <c r="F6" s="751">
        <f ca="1">INDIRECT("'数据-取费表'!u"&amp;$G$1)</f>
        <v>1500</v>
      </c>
      <c r="G6" s="1785"/>
      <c r="H6" s="2150" t="s">
        <v>1809</v>
      </c>
      <c r="I6" s="3978" t="s">
        <v>1804</v>
      </c>
      <c r="J6" s="749">
        <f ca="1">ROUND(M6*M8*M7*(1-M9)/10000,0)</f>
        <v>0</v>
      </c>
      <c r="K6" s="332" t="s">
        <v>1265</v>
      </c>
      <c r="L6" s="750" t="s">
        <v>1266</v>
      </c>
      <c r="M6" s="751">
        <f ca="1">INDIRECT("'数据-取费表'!z"&amp;$G$1)</f>
        <v>0</v>
      </c>
    </row>
    <row r="7" spans="1:33" ht="18" customHeight="1">
      <c r="A7" s="2146"/>
      <c r="B7" s="3979"/>
      <c r="C7" s="754"/>
      <c r="D7" s="755"/>
      <c r="E7" s="750" t="s">
        <v>1267</v>
      </c>
      <c r="F7" s="751">
        <f ca="1">IF(INDIRECT("'数据-取费表'!ah"&amp;$G$1)="",INDIRECT("'数据-取费表'!k"&amp;$G$1),INDIRECT("'数据-取费表'!ah"&amp;$G$1))</f>
        <v>277</v>
      </c>
      <c r="G7" s="1785"/>
      <c r="H7" s="2135"/>
      <c r="I7" s="3979"/>
      <c r="J7" s="754"/>
      <c r="K7" s="755"/>
      <c r="L7" s="750" t="s">
        <v>1267</v>
      </c>
      <c r="M7" s="751">
        <f ca="1">F7</f>
        <v>277</v>
      </c>
    </row>
    <row r="8" spans="1:33" ht="18" customHeight="1">
      <c r="A8" s="2139"/>
      <c r="B8" s="3980"/>
      <c r="C8" s="754"/>
      <c r="D8" s="755"/>
      <c r="E8" s="750" t="s">
        <v>1268</v>
      </c>
      <c r="F8" s="751">
        <f ca="1">INDIRECT("'数据-取费表'!ai"&amp;$G$1)</f>
        <v>12</v>
      </c>
      <c r="G8" s="1785"/>
      <c r="H8" s="2135"/>
      <c r="I8" s="3980"/>
      <c r="J8" s="754"/>
      <c r="K8" s="755"/>
      <c r="L8" s="750" t="s">
        <v>1268</v>
      </c>
      <c r="M8" s="751">
        <f ca="1">INDIRECT("'数据-取费表'!ai"&amp;$G$1)</f>
        <v>12</v>
      </c>
    </row>
    <row r="9" spans="1:33" ht="18" customHeight="1">
      <c r="A9" s="752"/>
      <c r="B9" s="3981"/>
      <c r="C9" s="754"/>
      <c r="D9" s="755"/>
      <c r="E9" s="750" t="s">
        <v>1269</v>
      </c>
      <c r="F9" s="760">
        <f ca="1">INDIRECT("'数据-取费表'!w"&amp;$G$1)</f>
        <v>0.1</v>
      </c>
      <c r="G9" s="1785"/>
      <c r="H9" s="2151"/>
      <c r="I9" s="3980"/>
      <c r="J9" s="754"/>
      <c r="K9" s="755"/>
      <c r="L9" s="761" t="s">
        <v>1269</v>
      </c>
      <c r="M9" s="762">
        <f ca="1">INDIRECT("'数据-取费表'!ab"&amp;$G$1)</f>
        <v>0</v>
      </c>
    </row>
    <row r="10" spans="1:33" ht="18" customHeight="1">
      <c r="A10" s="1616" t="s">
        <v>1807</v>
      </c>
      <c r="B10" s="2140" t="s">
        <v>1800</v>
      </c>
      <c r="C10" s="765">
        <f ca="1">ROUND(IF(F10="押一",C6/12*F11,IF(F10="押二",C6/12*2*F11,IF(F10="押三",C6/12*3*F11,C11*F11))),0)</f>
        <v>0</v>
      </c>
      <c r="D10" s="2147" t="s">
        <v>2228</v>
      </c>
      <c r="E10" s="2144" t="s">
        <v>1805</v>
      </c>
      <c r="F10" s="2228" t="s">
        <v>3368</v>
      </c>
      <c r="G10" s="1785"/>
      <c r="H10" s="2178" t="s">
        <v>1810</v>
      </c>
      <c r="I10" s="2183" t="s">
        <v>1800</v>
      </c>
      <c r="J10" s="749">
        <f ca="1">ROUND(IF(M10="押一",J6/12*M11,IF(M10="押二",J6/12*2*M11,IF(M10="押三",J6/12*3*M11,J11*M11))),0)</f>
        <v>0</v>
      </c>
      <c r="K10" s="2147" t="s">
        <v>2228</v>
      </c>
      <c r="L10" s="2144" t="s">
        <v>1805</v>
      </c>
      <c r="M10" s="2228"/>
    </row>
    <row r="11" spans="1:33" ht="18" customHeight="1">
      <c r="A11" s="756"/>
      <c r="B11" s="2141" t="s">
        <v>1853</v>
      </c>
      <c r="C11" s="2145"/>
      <c r="D11" s="755"/>
      <c r="E11" s="2144" t="s">
        <v>1806</v>
      </c>
      <c r="F11" s="762">
        <f ca="1">'数据-取费表'!B39</f>
        <v>1.4999999999999999E-2</v>
      </c>
      <c r="G11" s="1785"/>
      <c r="H11" s="2179"/>
      <c r="I11" s="2141" t="s">
        <v>1853</v>
      </c>
      <c r="J11" s="2145"/>
      <c r="K11" s="2180"/>
      <c r="L11" s="2144" t="s">
        <v>1806</v>
      </c>
      <c r="M11" s="2138">
        <f ca="1">'数据-取费表'!B39</f>
        <v>1.4999999999999999E-2</v>
      </c>
    </row>
    <row r="12" spans="1:33" ht="18" customHeight="1" thickBot="1">
      <c r="A12" s="2154" t="s">
        <v>1808</v>
      </c>
      <c r="B12" s="2155" t="s">
        <v>1801</v>
      </c>
      <c r="C12" s="2156"/>
      <c r="D12" s="2157"/>
      <c r="E12" s="2158"/>
      <c r="F12" s="2159"/>
      <c r="G12" s="1785"/>
      <c r="H12" s="2168" t="s">
        <v>1811</v>
      </c>
      <c r="I12" s="2181" t="s">
        <v>1801</v>
      </c>
      <c r="J12" s="2182"/>
      <c r="K12" s="2157"/>
      <c r="L12" s="2158"/>
      <c r="M12" s="2171"/>
    </row>
    <row r="13" spans="1:33" ht="18" customHeight="1" thickTop="1">
      <c r="A13" s="1615">
        <v>2</v>
      </c>
      <c r="B13" s="1613" t="s">
        <v>1270</v>
      </c>
      <c r="C13" s="758">
        <f ca="1">ROUND(C29*F13,0)</f>
        <v>7759</v>
      </c>
      <c r="D13" s="1620" t="s">
        <v>1651</v>
      </c>
      <c r="E13" s="1620" t="s">
        <v>1272</v>
      </c>
      <c r="F13" s="2153">
        <f ca="1">INDIRECT("'数据-取费表'!y"&amp;$G$1)</f>
        <v>1</v>
      </c>
      <c r="G13" s="1785"/>
      <c r="H13" s="1615">
        <v>2</v>
      </c>
      <c r="I13" s="1613" t="s">
        <v>1270</v>
      </c>
      <c r="J13" s="1605">
        <f ca="1">ROUND(J14*J15,0)</f>
        <v>0</v>
      </c>
      <c r="K13" s="1607" t="s">
        <v>1271</v>
      </c>
      <c r="L13" s="2169"/>
      <c r="M13" s="2170"/>
    </row>
    <row r="14" spans="1:33" ht="18" customHeight="1">
      <c r="A14" s="1453" t="s">
        <v>1408</v>
      </c>
      <c r="B14" s="750" t="s">
        <v>592</v>
      </c>
      <c r="C14" s="770">
        <f ca="1">INDIRECT("'数据-取费表'!m"&amp;$G$1)+INDIRECT("'数据-取费表'!t"&amp;$G$1)</f>
        <v>5537</v>
      </c>
      <c r="D14" s="1733" t="s">
        <v>1273</v>
      </c>
      <c r="E14" s="1734"/>
      <c r="F14" s="771"/>
      <c r="G14" s="1785"/>
      <c r="H14" s="1454" t="s">
        <v>1358</v>
      </c>
      <c r="I14" s="1949" t="s">
        <v>2100</v>
      </c>
      <c r="J14" s="51">
        <f ca="1">C29</f>
        <v>7759</v>
      </c>
      <c r="K14" s="24"/>
      <c r="L14" s="767"/>
      <c r="M14" s="768"/>
    </row>
    <row r="15" spans="1:33" s="1787" customFormat="1" ht="18" customHeight="1" thickBot="1">
      <c r="A15" s="1453" t="s">
        <v>1409</v>
      </c>
      <c r="B15" s="750" t="s">
        <v>594</v>
      </c>
      <c r="C15" s="51">
        <f ca="1">ROUND(C14*F15,0)</f>
        <v>443</v>
      </c>
      <c r="D15" s="772" t="s">
        <v>1274</v>
      </c>
      <c r="E15" s="772" t="s">
        <v>1275</v>
      </c>
      <c r="F15" s="773">
        <f>'数据-取费表'!B33</f>
        <v>0.08</v>
      </c>
      <c r="G15" s="3002"/>
      <c r="H15" s="2168" t="s">
        <v>1413</v>
      </c>
      <c r="I15" s="2163" t="s">
        <v>1272</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1410</v>
      </c>
      <c r="B16" s="750" t="s">
        <v>597</v>
      </c>
      <c r="C16" s="51">
        <f ca="1">ROUND(INDIRECT("'数据-取费表'!m"&amp;$G$1)*F16,0)</f>
        <v>0</v>
      </c>
      <c r="D16" s="750" t="s">
        <v>1274</v>
      </c>
      <c r="E16" s="750" t="s">
        <v>1275</v>
      </c>
      <c r="F16" s="775">
        <f ca="1">IF(INDIRECT("'数据-取费表'!c"&amp;$G$1)="住宅",'数据-取费表'!B34,0)</f>
        <v>0</v>
      </c>
      <c r="G16" s="1785"/>
      <c r="H16" s="1615" t="s">
        <v>1276</v>
      </c>
      <c r="I16" s="1613" t="s">
        <v>1277</v>
      </c>
      <c r="J16" s="758">
        <f ca="1">ROUND(J17+J22+J23+J24,0)</f>
        <v>117</v>
      </c>
      <c r="K16" s="1607" t="s">
        <v>1278</v>
      </c>
      <c r="L16" s="2132"/>
      <c r="M16" s="2137"/>
    </row>
    <row r="17" spans="1:33" s="1787" customFormat="1" ht="18" customHeight="1">
      <c r="A17" s="1453" t="s">
        <v>1411</v>
      </c>
      <c r="B17" s="750" t="s">
        <v>600</v>
      </c>
      <c r="C17" s="51">
        <f ca="1">ROUND(F17*(F43+INDIRECT("'数据-取费表'!S"&amp;$G$1))/10000,0)</f>
        <v>138</v>
      </c>
      <c r="D17" s="750" t="s">
        <v>1279</v>
      </c>
      <c r="E17" s="750" t="s">
        <v>1280</v>
      </c>
      <c r="F17" s="54">
        <f>'数据-取费表'!B35</f>
        <v>200</v>
      </c>
      <c r="G17" s="3002"/>
      <c r="H17" s="1454" t="s">
        <v>1358</v>
      </c>
      <c r="I17" s="750" t="s">
        <v>603</v>
      </c>
      <c r="J17" s="2761">
        <f ca="1">ROUND(IF(AND(项目基本情况!B11="自然人",项目基本情况!B10="北京市"),J6*M17/(1+'数据-取费表'!C42),J18+J19+J20),2)</f>
        <v>0.79</v>
      </c>
      <c r="K17" s="2131" t="s">
        <v>1281</v>
      </c>
      <c r="L17" s="2130"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1412</v>
      </c>
      <c r="B18" s="750" t="s">
        <v>606</v>
      </c>
      <c r="C18" s="51">
        <f ca="1">ROUND(C14*F18,0)</f>
        <v>83</v>
      </c>
      <c r="D18" s="750" t="s">
        <v>1274</v>
      </c>
      <c r="E18" s="750" t="s">
        <v>1275</v>
      </c>
      <c r="F18" s="775">
        <f>'数据-取费表'!B36</f>
        <v>1.4999999999999999E-2</v>
      </c>
      <c r="G18" s="3002"/>
      <c r="H18" s="1453" t="s">
        <v>1408</v>
      </c>
      <c r="I18" s="750" t="s">
        <v>1283</v>
      </c>
      <c r="J18" s="51">
        <f ca="1">ROUND(J6*M18/(1+'数据-取费表'!C42),2)</f>
        <v>0</v>
      </c>
      <c r="K18" s="2130" t="s">
        <v>1284</v>
      </c>
      <c r="L18" s="750" t="s">
        <v>1275</v>
      </c>
      <c r="M18" s="775">
        <f>'数据-取费表'!B41</f>
        <v>0</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1358</v>
      </c>
      <c r="B19" s="750" t="s">
        <v>609</v>
      </c>
      <c r="C19" s="51">
        <f ca="1">SUM(C14:C18)</f>
        <v>6201</v>
      </c>
      <c r="D19" s="252" t="s">
        <v>1285</v>
      </c>
      <c r="E19" s="1736"/>
      <c r="F19" s="54"/>
      <c r="G19" s="1785"/>
      <c r="H19" s="1453" t="s">
        <v>1409</v>
      </c>
      <c r="I19" s="750" t="s">
        <v>1286</v>
      </c>
      <c r="J19" s="51">
        <f ca="1">IF(K19="按租金收入计税",ROUND(J6*M19/(1+'数据-取费表'!C42),1),ROUND(C29*F33*0.7,2))</f>
        <v>0</v>
      </c>
      <c r="K19" s="776" t="s">
        <v>3246</v>
      </c>
      <c r="L19" s="750" t="s">
        <v>1275</v>
      </c>
      <c r="M19" s="775">
        <f>IF(K19="按租金收入计税",'数据-取费表'!B51,'数据-取费表'!B50)</f>
        <v>0.12</v>
      </c>
    </row>
    <row r="20" spans="1:33" s="1787" customFormat="1" ht="18" customHeight="1">
      <c r="A20" s="1454" t="s">
        <v>1413</v>
      </c>
      <c r="B20" s="750" t="s">
        <v>612</v>
      </c>
      <c r="C20" s="51">
        <f ca="1">ROUND(C19*F20,0)</f>
        <v>186</v>
      </c>
      <c r="D20" s="777" t="s">
        <v>1287</v>
      </c>
      <c r="E20" s="750" t="s">
        <v>1275</v>
      </c>
      <c r="F20" s="775">
        <f>'数据-取费表'!B37</f>
        <v>0.03</v>
      </c>
      <c r="G20" s="3002"/>
      <c r="H20" s="1456" t="s">
        <v>1404</v>
      </c>
      <c r="I20" s="332" t="s">
        <v>1288</v>
      </c>
      <c r="J20" s="52">
        <f ca="1">ROUND(M20*M21/10000,2)</f>
        <v>0.79</v>
      </c>
      <c r="K20" s="779" t="s">
        <v>1289</v>
      </c>
      <c r="L20" s="750" t="s">
        <v>1290</v>
      </c>
      <c r="M20" s="608">
        <f>'数据-取费表'!B52</f>
        <v>3</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1414</v>
      </c>
      <c r="B21" s="750" t="s">
        <v>1291</v>
      </c>
      <c r="C21" s="51" t="s">
        <v>1292</v>
      </c>
      <c r="D21" s="777" t="s">
        <v>1652</v>
      </c>
      <c r="E21" s="750" t="s">
        <v>1293</v>
      </c>
      <c r="F21" s="775">
        <f>'数据-取费表'!B38</f>
        <v>0.03</v>
      </c>
      <c r="G21" s="3002"/>
      <c r="H21" s="2152"/>
      <c r="I21" s="759"/>
      <c r="J21" s="67"/>
      <c r="K21" s="781"/>
      <c r="L21" s="750" t="s">
        <v>1294</v>
      </c>
      <c r="M21" s="751">
        <f ca="1">INDIRECT("'数据-取费表'!r"&amp;$G$1)</f>
        <v>2626.7200000000003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1415</v>
      </c>
      <c r="B22" s="750" t="s">
        <v>1295</v>
      </c>
      <c r="C22" s="51"/>
      <c r="D22" s="2187" t="str">
        <f>IF(F23&lt;=1,"单利计息。","复利计息。")&amp;"建造成本、管理费用、销售费用产生的利息。"</f>
        <v>复利计息。建造成本、管理费用、销售费用产生的利息。</v>
      </c>
      <c r="E22" s="1736"/>
      <c r="F22" s="54"/>
      <c r="G22" s="1785"/>
      <c r="H22" s="1454" t="s">
        <v>1413</v>
      </c>
      <c r="I22" s="750" t="s">
        <v>1296</v>
      </c>
      <c r="J22" s="51">
        <f ca="1">ROUND(J14*M22,2)</f>
        <v>116.39</v>
      </c>
      <c r="K22" s="2130" t="s">
        <v>1297</v>
      </c>
      <c r="L22" s="750" t="s">
        <v>1275</v>
      </c>
      <c r="M22" s="782">
        <f ca="1">INDIRECT("'数据-取费表'!Ak"&amp;$G$1)</f>
        <v>1.4999999999999999E-2</v>
      </c>
    </row>
    <row r="23" spans="1:33" s="1787" customFormat="1" ht="18" customHeight="1">
      <c r="A23" s="1453" t="s">
        <v>1359</v>
      </c>
      <c r="B23" s="750" t="s">
        <v>1815</v>
      </c>
      <c r="C23" s="51">
        <f ca="1">ROUND(IF('数据-取费表'!B22&lt;=1,(C19+C20)*F24*F23/2,(C19+C20)*(POWER((1+F24),F23/2)-1)),0)</f>
        <v>333</v>
      </c>
      <c r="D23" s="2186" t="str">
        <f>IF(F23&lt;=1,"(建造成本+管理费用)×利率×(建设周期÷2)","(建造成本+管理费用)×((1+利率)^(建设周期÷2)-1)")</f>
        <v>(建造成本+管理费用)×((1+利率)^(建设周期÷2)-1)</v>
      </c>
      <c r="E23" s="750" t="s">
        <v>1298</v>
      </c>
      <c r="F23" s="608">
        <f>'数据-取费表'!B20</f>
        <v>2.5</v>
      </c>
      <c r="G23" s="3002"/>
      <c r="H23" s="1454" t="s">
        <v>1414</v>
      </c>
      <c r="I23" s="750" t="s">
        <v>625</v>
      </c>
      <c r="J23" s="51">
        <f ca="1">ROUND(J13*M23,2)</f>
        <v>0</v>
      </c>
      <c r="K23" s="2130" t="s">
        <v>1299</v>
      </c>
      <c r="L23" s="750" t="s">
        <v>1275</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1360</v>
      </c>
      <c r="B24" s="750" t="s">
        <v>1300</v>
      </c>
      <c r="C24" s="51">
        <f ca="1">ROUND(IF('数据-取费表'!B22&lt;=1,F21*F24*F23/2,F21*(POWER((1+F24),F23/2)-1)),4)</f>
        <v>1.6000000000000001E-3</v>
      </c>
      <c r="D24" s="2186" t="str">
        <f>IF(F23&lt;=1,"销售费用×利率×(建设周期÷2)","销售费用×((1+利率)^(建设周期÷2)-1)")</f>
        <v>销售费用×((1+利率)^(建设周期÷2)-1)</v>
      </c>
      <c r="E24" s="750" t="s">
        <v>1301</v>
      </c>
      <c r="F24" s="784">
        <f ca="1">'数据-取费表'!B40</f>
        <v>4.1499999999999995E-2</v>
      </c>
      <c r="G24" s="3002"/>
      <c r="H24" s="2168" t="s">
        <v>1415</v>
      </c>
      <c r="I24" s="2163" t="s">
        <v>612</v>
      </c>
      <c r="J24" s="2161">
        <f ca="1">ROUND(J5*M24,2)</f>
        <v>0</v>
      </c>
      <c r="K24" s="2162" t="s">
        <v>1302</v>
      </c>
      <c r="L24" s="2163" t="s">
        <v>1275</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1368</v>
      </c>
      <c r="B25" s="750" t="s">
        <v>630</v>
      </c>
      <c r="C25" s="51"/>
      <c r="D25" s="252" t="s">
        <v>1303</v>
      </c>
      <c r="E25" s="1736"/>
      <c r="F25" s="54"/>
      <c r="G25" s="1785"/>
      <c r="H25" s="1615" t="s">
        <v>1304</v>
      </c>
      <c r="I25" s="2483" t="s">
        <v>2096</v>
      </c>
      <c r="J25" s="758">
        <f ca="1">J5-J16</f>
        <v>-117</v>
      </c>
      <c r="K25" s="2165" t="s">
        <v>1305</v>
      </c>
      <c r="L25" s="2166"/>
      <c r="M25" s="2167"/>
    </row>
    <row r="26" spans="1:33" ht="18" customHeight="1">
      <c r="A26" s="1453" t="s">
        <v>1359</v>
      </c>
      <c r="B26" s="750" t="s">
        <v>1782</v>
      </c>
      <c r="C26" s="51">
        <f ca="1">ROUND((C19+C20)*F26,0)</f>
        <v>766</v>
      </c>
      <c r="D26" s="777" t="s">
        <v>1306</v>
      </c>
      <c r="E26" s="761" t="s">
        <v>1307</v>
      </c>
      <c r="F26" s="760">
        <f ca="1">INDIRECT("'数据-取费表'!q"&amp;$G$1)</f>
        <v>0.12</v>
      </c>
      <c r="G26" s="1785"/>
      <c r="H26" s="2148" t="s">
        <v>1308</v>
      </c>
      <c r="I26" s="1950" t="s">
        <v>2101</v>
      </c>
      <c r="J26" s="749">
        <f ca="1">IF(J5&lt;&gt;0,ROUND(J25*(1-((1+M28)/(1+M26))^M27)/(M26-M28),0),0)</f>
        <v>0</v>
      </c>
      <c r="K26" s="779" t="s">
        <v>1309</v>
      </c>
      <c r="L26" s="750" t="s">
        <v>1770</v>
      </c>
      <c r="M26" s="760">
        <f ca="1">INDIRECT("'数据-取费表'!I"&amp;$G$1)</f>
        <v>0.05</v>
      </c>
    </row>
    <row r="27" spans="1:33" ht="18" customHeight="1">
      <c r="A27" s="1453" t="s">
        <v>1360</v>
      </c>
      <c r="B27" s="750" t="s">
        <v>632</v>
      </c>
      <c r="C27" s="51">
        <f ca="1">ROUND(F21*F26,4)</f>
        <v>3.5999999999999999E-3</v>
      </c>
      <c r="D27" s="777" t="s">
        <v>1310</v>
      </c>
      <c r="E27" s="772"/>
      <c r="F27" s="773"/>
      <c r="G27" s="1785"/>
      <c r="H27" s="2149"/>
      <c r="I27" s="753"/>
      <c r="J27" s="754"/>
      <c r="K27" s="786" t="s">
        <v>1311</v>
      </c>
      <c r="L27" s="750" t="s">
        <v>1312</v>
      </c>
      <c r="M27" s="787">
        <f ca="1">INDIRECT("'数据-取费表'!ag"&amp;$G$1)</f>
        <v>0</v>
      </c>
    </row>
    <row r="28" spans="1:33" s="1787" customFormat="1" ht="18" customHeight="1">
      <c r="A28" s="1455" t="s">
        <v>1369</v>
      </c>
      <c r="B28" s="750" t="s">
        <v>633</v>
      </c>
      <c r="C28" s="51">
        <f>ROUND(F28/(1+'数据-取费表'!C42),4)</f>
        <v>0</v>
      </c>
      <c r="D28" s="777" t="s">
        <v>1653</v>
      </c>
      <c r="E28" s="750" t="s">
        <v>1313</v>
      </c>
      <c r="F28" s="775">
        <f>'数据-取费表'!B41</f>
        <v>0</v>
      </c>
      <c r="G28" s="3002"/>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1654</v>
      </c>
      <c r="C29" s="2161">
        <f ca="1">ROUND((C19+C20+C23+C26)/(1-F21-C24-C27-C28),0)</f>
        <v>7759</v>
      </c>
      <c r="D29" s="2162"/>
      <c r="E29" s="2163"/>
      <c r="F29" s="2164"/>
      <c r="G29" s="3002"/>
      <c r="H29" s="788" t="s">
        <v>1315</v>
      </c>
      <c r="I29" s="789" t="s">
        <v>1316</v>
      </c>
      <c r="J29" s="790">
        <f ca="1">ROUND(J26/(1+F40)^F41,0)</f>
        <v>0</v>
      </c>
      <c r="K29" s="791" t="s">
        <v>1317</v>
      </c>
      <c r="L29" s="792"/>
      <c r="M29" s="793">
        <f ca="1">INDIRECT("'数据-取费表'!k"&amp;$G$1)</f>
        <v>5705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1417</v>
      </c>
      <c r="B30" s="1613" t="s">
        <v>1318</v>
      </c>
      <c r="C30" s="758">
        <f ca="1">ROUND(C31+C36+C37+C38,0)</f>
        <v>187</v>
      </c>
      <c r="D30" s="1607" t="s">
        <v>1319</v>
      </c>
      <c r="E30" s="2132"/>
      <c r="F30" s="2137"/>
      <c r="G30" s="1785"/>
      <c r="H30" s="1788"/>
      <c r="I30" s="1789"/>
      <c r="J30" s="1790"/>
      <c r="K30" s="1791"/>
      <c r="L30" s="1792"/>
      <c r="M30" s="1793"/>
    </row>
    <row r="31" spans="1:33" ht="18" customHeight="1">
      <c r="A31" s="1454" t="s">
        <v>1358</v>
      </c>
      <c r="B31" s="750" t="s">
        <v>603</v>
      </c>
      <c r="C31" s="2761">
        <f ca="1">ROUND(IF(AND(项目基本情况!B11="自然人",项目基本情况!B10="北京市"),C6*F31/(1+'数据-取费表'!C42),C32+C33+C34),2)</f>
        <v>54.67</v>
      </c>
      <c r="D31" s="1733" t="s">
        <v>1320</v>
      </c>
      <c r="E31" s="1731" t="s">
        <v>1321</v>
      </c>
      <c r="F31" s="2760" t="str">
        <f>IF(项目基本情况!B11="企业","——",IF(M47="住宅",IF(F6*F7*F8/12/(1+'数据-取费表'!F30)&gt;100000,4%,2.5%),IF(F6*F7*F8/12/(1+'数据-取费表'!F30)&gt;100000,12%,7%)))</f>
        <v>——</v>
      </c>
      <c r="G31" s="1785"/>
      <c r="H31" s="2999" t="s">
        <v>2280</v>
      </c>
      <c r="I31" s="1789"/>
      <c r="J31" s="1790"/>
      <c r="K31" s="1791"/>
      <c r="L31" s="1792"/>
      <c r="M31" s="1793"/>
    </row>
    <row r="32" spans="1:33" ht="18" customHeight="1">
      <c r="A32" s="1453" t="s">
        <v>1359</v>
      </c>
      <c r="B32" s="750" t="s">
        <v>1322</v>
      </c>
      <c r="C32" s="51">
        <f ca="1">ROUND(C6*F32/(1+'数据-取费表'!C42),2)</f>
        <v>0</v>
      </c>
      <c r="D32" s="1731" t="s">
        <v>1323</v>
      </c>
      <c r="E32" s="750" t="s">
        <v>1324</v>
      </c>
      <c r="F32" s="775">
        <f>'数据-取费表'!B41</f>
        <v>0</v>
      </c>
      <c r="G32" s="1785"/>
      <c r="H32" s="1794"/>
      <c r="I32" s="1795"/>
      <c r="J32" s="1796"/>
      <c r="K32" s="1797"/>
      <c r="L32" s="1798"/>
      <c r="M32" s="1799"/>
    </row>
    <row r="33" spans="1:18" ht="18" customHeight="1">
      <c r="A33" s="1453" t="s">
        <v>1360</v>
      </c>
      <c r="B33" s="750" t="s">
        <v>1325</v>
      </c>
      <c r="C33" s="51">
        <f ca="1">IF(D33="按租金收入计税",ROUND(C6*F33/(1+'数据-取费表'!C42),2),IF(D33="按房产原值计税",ROUND(C29*F33*0.7,2),INDIRECT("'数据-取费表'!Aj"&amp;$G$1)))</f>
        <v>53.88</v>
      </c>
      <c r="D33" s="776" t="s">
        <v>3246</v>
      </c>
      <c r="E33" s="750" t="s">
        <v>1324</v>
      </c>
      <c r="F33" s="775">
        <f>IF(D33="按租金收入计税",'数据-取费表'!B51,'数据-取费表'!B50)</f>
        <v>0.12</v>
      </c>
      <c r="G33" s="1785"/>
      <c r="H33" s="1800"/>
      <c r="I33" s="1800"/>
      <c r="J33" s="1800"/>
      <c r="K33" s="1801"/>
      <c r="L33" s="1800"/>
      <c r="M33" s="1800"/>
    </row>
    <row r="34" spans="1:18" ht="18" customHeight="1">
      <c r="A34" s="1456" t="s">
        <v>1361</v>
      </c>
      <c r="B34" s="332" t="s">
        <v>1326</v>
      </c>
      <c r="C34" s="52">
        <f ca="1">ROUND(F34*F35/10000,2)</f>
        <v>0.79</v>
      </c>
      <c r="D34" s="779" t="s">
        <v>1327</v>
      </c>
      <c r="E34" s="750" t="s">
        <v>1328</v>
      </c>
      <c r="F34" s="608">
        <f>'数据-取费表'!B52</f>
        <v>3</v>
      </c>
      <c r="G34" s="1785"/>
      <c r="H34" s="1788"/>
      <c r="I34" s="800" t="s">
        <v>1341</v>
      </c>
      <c r="J34" s="801"/>
      <c r="K34" s="1803"/>
      <c r="L34" s="1802"/>
      <c r="M34" s="1802"/>
    </row>
    <row r="35" spans="1:18" ht="18" customHeight="1">
      <c r="A35" s="780"/>
      <c r="B35" s="759"/>
      <c r="C35" s="67"/>
      <c r="D35" s="781"/>
      <c r="E35" s="750" t="s">
        <v>1329</v>
      </c>
      <c r="F35" s="751">
        <f ca="1">INDIRECT("'数据-取费表'!r"&amp;$G$1)</f>
        <v>2626.7200000000003</v>
      </c>
      <c r="G35" s="1785"/>
      <c r="H35" s="1788"/>
      <c r="I35" s="802" t="s">
        <v>1342</v>
      </c>
      <c r="J35" s="803">
        <f ca="1">ROUND(C13*J36,0)</f>
        <v>543</v>
      </c>
      <c r="K35" s="1801"/>
      <c r="L35" s="1800"/>
      <c r="M35" s="1800"/>
    </row>
    <row r="36" spans="1:18" ht="18" customHeight="1">
      <c r="A36" s="1454" t="s">
        <v>1413</v>
      </c>
      <c r="B36" s="750" t="s">
        <v>1330</v>
      </c>
      <c r="C36" s="51">
        <f ca="1">ROUND(C29*F36,2)</f>
        <v>116.39</v>
      </c>
      <c r="D36" s="1731" t="s">
        <v>1331</v>
      </c>
      <c r="E36" s="750" t="s">
        <v>1324</v>
      </c>
      <c r="F36" s="782">
        <f ca="1">INDIRECT("'数据-取费表'!Ak"&amp;$G$1)</f>
        <v>1.4999999999999999E-2</v>
      </c>
      <c r="G36" s="1785"/>
      <c r="H36" s="1800"/>
      <c r="I36" s="804" t="s">
        <v>1343</v>
      </c>
      <c r="J36" s="805">
        <f ca="1">INDIRECT("'数据-取费表'!j"&amp;$G$1)</f>
        <v>7.0000000000000007E-2</v>
      </c>
      <c r="K36" s="1804"/>
      <c r="L36" s="1800"/>
      <c r="M36" s="1800"/>
    </row>
    <row r="37" spans="1:18" ht="18" customHeight="1">
      <c r="A37" s="1454" t="s">
        <v>1414</v>
      </c>
      <c r="B37" s="750" t="s">
        <v>625</v>
      </c>
      <c r="C37" s="51">
        <f ca="1">ROUND(C13*F37,2)</f>
        <v>11.64</v>
      </c>
      <c r="D37" s="1731" t="s">
        <v>1332</v>
      </c>
      <c r="E37" s="750" t="s">
        <v>1324</v>
      </c>
      <c r="F37" s="783">
        <f ca="1">INDIRECT("'数据-取费表'!Al"&amp;$G$1)</f>
        <v>1.5E-3</v>
      </c>
      <c r="G37" s="1785"/>
      <c r="H37" s="1800"/>
      <c r="I37" s="806" t="s">
        <v>1344</v>
      </c>
      <c r="J37" s="807"/>
      <c r="K37" s="1804"/>
      <c r="L37" s="1800"/>
      <c r="M37" s="1800"/>
    </row>
    <row r="38" spans="1:18" ht="18" customHeight="1" thickBot="1">
      <c r="A38" s="2168" t="s">
        <v>1415</v>
      </c>
      <c r="B38" s="2163" t="s">
        <v>612</v>
      </c>
      <c r="C38" s="2161">
        <f ca="1">ROUND(C5*F38,2)</f>
        <v>4.49</v>
      </c>
      <c r="D38" s="2162" t="s">
        <v>1333</v>
      </c>
      <c r="E38" s="2163" t="s">
        <v>1324</v>
      </c>
      <c r="F38" s="2159">
        <f ca="1">INDIRECT("'数据-取费表'!Am"&amp;$G$1)</f>
        <v>0.01</v>
      </c>
      <c r="G38" s="1785"/>
      <c r="H38" s="1800"/>
      <c r="I38" s="808" t="s">
        <v>1345</v>
      </c>
      <c r="J38" s="809"/>
      <c r="K38" s="1805"/>
      <c r="L38" s="1800"/>
      <c r="M38" s="1800"/>
    </row>
    <row r="39" spans="1:18" ht="24.6" customHeight="1" thickTop="1">
      <c r="A39" s="1615" t="s">
        <v>1418</v>
      </c>
      <c r="B39" s="2483" t="s">
        <v>2096</v>
      </c>
      <c r="C39" s="758">
        <f ca="1">C5-C30</f>
        <v>262</v>
      </c>
      <c r="D39" s="2165" t="s">
        <v>1334</v>
      </c>
      <c r="E39" s="2166"/>
      <c r="F39" s="2167"/>
      <c r="G39" s="1785"/>
      <c r="H39" s="1800"/>
      <c r="I39" s="802" t="s">
        <v>1346</v>
      </c>
      <c r="J39" s="810">
        <f ca="1">ROUND(J35/C39,3)</f>
        <v>2.073</v>
      </c>
      <c r="K39" s="1805"/>
      <c r="L39" s="1800"/>
      <c r="M39" s="1800"/>
    </row>
    <row r="40" spans="1:18" ht="18" customHeight="1">
      <c r="A40" s="747" t="s">
        <v>1419</v>
      </c>
      <c r="B40" s="1950" t="s">
        <v>1655</v>
      </c>
      <c r="C40" s="749">
        <f ca="1">ROUND(C39*(1-((1+F42)/(1+F40))^F41)/(F40-F42),0)</f>
        <v>5363</v>
      </c>
      <c r="D40" s="779" t="s">
        <v>1335</v>
      </c>
      <c r="E40" s="750" t="s">
        <v>1770</v>
      </c>
      <c r="F40" s="760">
        <f ca="1">INDIRECT("'数据-取费表'!I"&amp;$G$1)</f>
        <v>0.05</v>
      </c>
      <c r="G40" s="1785"/>
      <c r="H40" s="1785"/>
      <c r="I40" s="802" t="s">
        <v>1347</v>
      </c>
      <c r="J40" s="810">
        <f ca="1">1-J39</f>
        <v>-1.073</v>
      </c>
      <c r="K40" s="1805"/>
      <c r="L40" s="1785"/>
      <c r="M40" s="1785"/>
    </row>
    <row r="41" spans="1:18" ht="18" customHeight="1">
      <c r="A41" s="752"/>
      <c r="B41" s="753"/>
      <c r="C41" s="754"/>
      <c r="D41" s="786" t="s">
        <v>1336</v>
      </c>
      <c r="E41" s="750" t="s">
        <v>2220</v>
      </c>
      <c r="F41" s="787">
        <f ca="1">IF(INDIRECT("'数据-取费表'!af"&amp;$G$1)=0,INDIRECT("'数据-取费表'!ae"&amp;$G$1),INDIRECT("'数据-取费表'!af"&amp;$G$1))</f>
        <v>32.85</v>
      </c>
      <c r="G41" s="1785"/>
      <c r="H41" s="1740"/>
      <c r="I41" s="808" t="s">
        <v>1348</v>
      </c>
      <c r="J41" s="811"/>
      <c r="K41" s="1804"/>
      <c r="L41" s="1740"/>
      <c r="M41" s="1740"/>
    </row>
    <row r="42" spans="1:18" ht="18" customHeight="1">
      <c r="A42" s="756"/>
      <c r="B42" s="757"/>
      <c r="C42" s="758"/>
      <c r="D42" s="781"/>
      <c r="E42" s="750" t="s">
        <v>1337</v>
      </c>
      <c r="F42" s="760">
        <f ca="1">INDIRECT("'数据-取费表'!v"&amp;$G$1)</f>
        <v>0.02</v>
      </c>
      <c r="G42" s="1785"/>
      <c r="H42" s="1740"/>
      <c r="I42" s="812" t="s">
        <v>1349</v>
      </c>
      <c r="J42" s="810">
        <f ca="1">ROUND(C13/C40,3)</f>
        <v>1.4470000000000001</v>
      </c>
      <c r="K42" s="1804"/>
      <c r="L42" s="1740"/>
      <c r="M42" s="1740"/>
    </row>
    <row r="43" spans="1:18" ht="18" customHeight="1" thickBot="1">
      <c r="A43" s="788" t="s">
        <v>1315</v>
      </c>
      <c r="B43" s="789" t="s">
        <v>1338</v>
      </c>
      <c r="C43" s="790">
        <f ca="1">ROUND(C40*10000/F43,0)</f>
        <v>9401</v>
      </c>
      <c r="D43" s="791" t="s">
        <v>1339</v>
      </c>
      <c r="E43" s="792" t="s">
        <v>1340</v>
      </c>
      <c r="F43" s="793">
        <f ca="1">INDIRECT("'数据-取费表'!k"&amp;$G$1)</f>
        <v>5705</v>
      </c>
      <c r="G43" s="1785"/>
      <c r="H43" s="1740">
        <f ca="1">C40/F7</f>
        <v>19.361010830324911</v>
      </c>
      <c r="I43" s="812" t="s">
        <v>1350</v>
      </c>
      <c r="J43" s="813">
        <f ca="1">1-J42</f>
        <v>-0.44700000000000006</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1649</v>
      </c>
      <c r="B46" s="1807"/>
      <c r="C46" s="2189">
        <f ca="1">C67-C40</f>
        <v>-7424</v>
      </c>
      <c r="D46" s="3003"/>
      <c r="E46" s="3003"/>
      <c r="F46" s="3003"/>
      <c r="I46" s="2069" t="s">
        <v>1694</v>
      </c>
      <c r="J46" s="2070"/>
      <c r="K46" s="2071"/>
      <c r="L46" s="2565">
        <f>IF(OR(M47="住宅",D1="土地（套用方法）"),0,IF(L48&gt;J51,L60,J60))</f>
        <v>0</v>
      </c>
      <c r="M46" s="3004"/>
      <c r="O46" s="2085" t="s">
        <v>1761</v>
      </c>
      <c r="P46" s="1405"/>
      <c r="Q46" s="1413"/>
      <c r="R46" s="1405"/>
    </row>
    <row r="47" spans="1:18" s="1782" customFormat="1" ht="18" customHeight="1" thickBot="1">
      <c r="A47" s="3654">
        <v>1</v>
      </c>
      <c r="B47" s="3655" t="s">
        <v>582</v>
      </c>
      <c r="C47" s="3656">
        <f ca="1">C48+C52+C54</f>
        <v>0</v>
      </c>
      <c r="D47" s="3657"/>
      <c r="E47" s="3657"/>
      <c r="F47" s="3658"/>
      <c r="I47" s="2556" t="s">
        <v>1695</v>
      </c>
      <c r="J47" s="2072" t="s">
        <v>3369</v>
      </c>
      <c r="K47" s="2562" t="s">
        <v>1700</v>
      </c>
      <c r="L47" s="2566">
        <f ca="1">INDIRECT("'数据-取费表'!d"&amp;$G$1)</f>
        <v>50</v>
      </c>
      <c r="M47" s="1413" t="str">
        <f>IF(ISNUMBER(FIND("住宅",C1)),"住宅","非住宅")</f>
        <v>非住宅</v>
      </c>
      <c r="O47" s="2086" t="s">
        <v>1726</v>
      </c>
      <c r="P47" s="2087" t="s">
        <v>1727</v>
      </c>
      <c r="Q47" s="2088" t="s">
        <v>1728</v>
      </c>
      <c r="R47" s="2087" t="s">
        <v>1729</v>
      </c>
    </row>
    <row r="48" spans="1:18" s="1782" customFormat="1" ht="18" customHeight="1" thickBot="1">
      <c r="A48" s="2247" t="s">
        <v>1817</v>
      </c>
      <c r="B48" s="2248" t="s">
        <v>1818</v>
      </c>
      <c r="C48" s="2065">
        <f ca="1">ROUND(F48*F50*F49*(1-F51)/10000,0)</f>
        <v>0</v>
      </c>
      <c r="D48" s="2066" t="s">
        <v>583</v>
      </c>
      <c r="E48" s="2067" t="s">
        <v>1650</v>
      </c>
      <c r="F48" s="2068">
        <f ca="1">M6</f>
        <v>0</v>
      </c>
      <c r="G48" s="1812"/>
      <c r="I48" s="2553" t="s">
        <v>1696</v>
      </c>
      <c r="J48" s="2073" t="s">
        <v>1701</v>
      </c>
      <c r="K48" s="2563" t="s">
        <v>1702</v>
      </c>
      <c r="L48" s="1663">
        <f ca="1">INDIRECT("'数据-取费表'!f"&amp;$G$1)</f>
        <v>35.35</v>
      </c>
      <c r="M48" s="3004"/>
      <c r="O48" s="2089" t="s">
        <v>1730</v>
      </c>
      <c r="P48" s="2090" t="s">
        <v>1756</v>
      </c>
      <c r="Q48" s="2091">
        <f ca="1">C40+J29</f>
        <v>5363</v>
      </c>
      <c r="R48" s="2090" t="s">
        <v>1731</v>
      </c>
    </row>
    <row r="49" spans="1:18" s="1782" customFormat="1" ht="18" customHeight="1" thickBot="1">
      <c r="A49" s="752"/>
      <c r="B49" s="753"/>
      <c r="C49" s="754"/>
      <c r="D49" s="755"/>
      <c r="E49" s="750" t="s">
        <v>1267</v>
      </c>
      <c r="F49" s="751">
        <f ca="1">F7</f>
        <v>277</v>
      </c>
      <c r="G49" s="1812"/>
      <c r="H49" s="1815"/>
      <c r="I49" s="2553" t="s">
        <v>1697</v>
      </c>
      <c r="J49" s="2074"/>
      <c r="K49" s="2564" t="s">
        <v>1703</v>
      </c>
      <c r="L49" s="2075"/>
      <c r="M49" s="3004"/>
      <c r="O49" s="2089" t="s">
        <v>1732</v>
      </c>
      <c r="P49" s="2090" t="s">
        <v>1757</v>
      </c>
      <c r="Q49" s="2091" t="str">
        <f ca="1">J60</f>
        <v>0</v>
      </c>
      <c r="R49" s="2090" t="s">
        <v>1733</v>
      </c>
    </row>
    <row r="50" spans="1:18" s="1782" customFormat="1" ht="18" customHeight="1" thickBot="1">
      <c r="A50" s="752"/>
      <c r="B50" s="753"/>
      <c r="C50" s="754"/>
      <c r="D50" s="755"/>
      <c r="E50" s="750" t="s">
        <v>1268</v>
      </c>
      <c r="F50" s="751">
        <f ca="1">F8</f>
        <v>12</v>
      </c>
      <c r="G50" s="1817"/>
      <c r="H50" s="1815"/>
      <c r="I50" s="2553" t="s">
        <v>1698</v>
      </c>
      <c r="J50" s="2560">
        <f>SUMPRODUCT((I63:I65=J47)*(J62:L62=J48)*(J63:L65))</f>
        <v>60</v>
      </c>
      <c r="K50" s="2564" t="s">
        <v>1704</v>
      </c>
      <c r="L50" s="2075"/>
      <c r="M50" s="3004"/>
      <c r="O50" s="2092" t="s">
        <v>1734</v>
      </c>
      <c r="P50" s="2090" t="s">
        <v>1758</v>
      </c>
      <c r="Q50" s="2091">
        <f ca="1">C29</f>
        <v>7759</v>
      </c>
      <c r="R50" s="2090" t="s">
        <v>1731</v>
      </c>
    </row>
    <row r="51" spans="1:18" s="1782" customFormat="1" ht="18" customHeight="1" thickBot="1">
      <c r="A51" s="752"/>
      <c r="B51" s="753"/>
      <c r="C51" s="754"/>
      <c r="D51" s="755"/>
      <c r="E51" s="750" t="s">
        <v>587</v>
      </c>
      <c r="F51" s="2064"/>
      <c r="H51" s="1815"/>
      <c r="I51" s="2557" t="s">
        <v>1699</v>
      </c>
      <c r="J51" s="2561">
        <f>IF(J49="",J50,J49+J50-YEAR('数据-取费表'!B2))</f>
        <v>60</v>
      </c>
      <c r="K51" s="2553" t="s">
        <v>1705</v>
      </c>
      <c r="L51" s="2567">
        <f ca="1">ROUND(-PV(INDIRECT("'数据-取费表'!h"&amp;$G$1),J51,(C39-C13*J36),0),0)</f>
        <v>-5802</v>
      </c>
      <c r="M51" s="3004"/>
      <c r="O51" s="2092" t="s">
        <v>1735</v>
      </c>
      <c r="P51" s="2090" t="s">
        <v>1736</v>
      </c>
      <c r="Q51" s="2093" t="e">
        <f ca="1">J58</f>
        <v>#VALUE!</v>
      </c>
      <c r="R51" s="2094"/>
    </row>
    <row r="52" spans="1:18" s="1782" customFormat="1" ht="18" customHeight="1" thickBot="1">
      <c r="A52" s="747" t="s">
        <v>1816</v>
      </c>
      <c r="B52" s="2140" t="s">
        <v>1800</v>
      </c>
      <c r="C52" s="765">
        <f ca="1">ROUND(IF(F52="押一",C48/12*F11,IF(F52="押二",C48/12*2*F11,IF(F52="押三",C48/12*3*F11,C53*F11))),0)</f>
        <v>0</v>
      </c>
      <c r="D52" s="2147" t="s">
        <v>2229</v>
      </c>
      <c r="E52" s="2144" t="s">
        <v>1805</v>
      </c>
      <c r="F52" s="2228"/>
      <c r="I52" s="2558" t="s">
        <v>1772</v>
      </c>
      <c r="J52" s="2076"/>
      <c r="K52" s="2558" t="s">
        <v>1771</v>
      </c>
      <c r="L52" s="2076"/>
      <c r="M52" s="3004"/>
      <c r="O52" s="2092" t="s">
        <v>1737</v>
      </c>
      <c r="P52" s="2090" t="s">
        <v>1738</v>
      </c>
      <c r="Q52" s="2093">
        <f>J52</f>
        <v>0</v>
      </c>
      <c r="R52" s="2094"/>
    </row>
    <row r="53" spans="1:18" s="1782" customFormat="1" ht="39.75" customHeight="1" thickBot="1">
      <c r="A53" s="752"/>
      <c r="B53" s="2141" t="s">
        <v>1853</v>
      </c>
      <c r="C53" s="2145"/>
      <c r="D53" s="2147"/>
      <c r="E53" s="2144"/>
      <c r="F53" s="766"/>
      <c r="I53" s="2559" t="s">
        <v>2232</v>
      </c>
      <c r="J53" s="2610">
        <f ca="1">IF(M47="住宅",IF(D1="——",MAX(J51,L48),MAX(J51,L48-'数据-取费表'!B20)),IF(D1="——",MIN(J51,L48),MIN(J51,L48-'数据-取费表'!B20)))</f>
        <v>32.85</v>
      </c>
      <c r="K53" s="4003" t="s">
        <v>2222</v>
      </c>
      <c r="L53" s="4004"/>
      <c r="M53" s="3004"/>
      <c r="O53" s="2092" t="s">
        <v>1739</v>
      </c>
      <c r="P53" s="2090" t="s">
        <v>1740</v>
      </c>
      <c r="Q53" s="2091">
        <f ca="1">J53</f>
        <v>32.85</v>
      </c>
      <c r="R53" s="2090" t="s">
        <v>1741</v>
      </c>
    </row>
    <row r="54" spans="1:18" s="1782" customFormat="1" ht="18" customHeight="1" thickBot="1">
      <c r="A54" s="2154" t="s">
        <v>1808</v>
      </c>
      <c r="B54" s="2155" t="s">
        <v>1801</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1742</v>
      </c>
      <c r="P54" s="2090" t="s">
        <v>1759</v>
      </c>
      <c r="Q54" s="2091">
        <f ca="1">Q48+Q49</f>
        <v>5363</v>
      </c>
      <c r="R54" s="2094" t="s">
        <v>1743</v>
      </c>
    </row>
    <row r="55" spans="1:18" s="1782" customFormat="1" ht="18" customHeight="1" thickTop="1" thickBot="1">
      <c r="A55" s="763">
        <v>2</v>
      </c>
      <c r="B55" s="764" t="s">
        <v>591</v>
      </c>
      <c r="C55" s="765">
        <f ca="1">C13</f>
        <v>7759</v>
      </c>
      <c r="D55" s="761"/>
      <c r="E55" s="761"/>
      <c r="F55" s="766"/>
      <c r="I55" s="2570" t="s">
        <v>1706</v>
      </c>
      <c r="J55" s="2542" t="e">
        <f ca="1">ROUND(IF(J47="钢混",J57/J50,1-(1-2%)*(J50-J57)/J50),3)</f>
        <v>#VALUE!</v>
      </c>
      <c r="K55" s="2571" t="s">
        <v>1707</v>
      </c>
      <c r="L55" s="2077"/>
      <c r="M55" s="3004"/>
      <c r="O55" s="2095" t="s">
        <v>1762</v>
      </c>
      <c r="P55" s="1405"/>
      <c r="Q55" s="1413"/>
      <c r="R55" s="1405"/>
    </row>
    <row r="56" spans="1:18" s="1782" customFormat="1" ht="42.75" customHeight="1" thickBot="1">
      <c r="A56" s="1455"/>
      <c r="B56" s="1949" t="s">
        <v>1656</v>
      </c>
      <c r="C56" s="51">
        <f ca="1">C29</f>
        <v>7759</v>
      </c>
      <c r="D56" s="2244"/>
      <c r="E56" s="750"/>
      <c r="F56" s="775"/>
      <c r="I56" s="2572" t="s">
        <v>1708</v>
      </c>
      <c r="J56" s="2582" t="s">
        <v>3358</v>
      </c>
      <c r="K56" s="2553" t="s">
        <v>1713</v>
      </c>
      <c r="L56" s="1663" t="str">
        <f ca="1">IF(L48&lt;J51,"——",L48-J51)</f>
        <v>——</v>
      </c>
      <c r="M56" s="3004"/>
      <c r="O56" s="2086" t="s">
        <v>1726</v>
      </c>
      <c r="P56" s="2087" t="s">
        <v>1727</v>
      </c>
      <c r="Q56" s="2088" t="s">
        <v>1728</v>
      </c>
      <c r="R56" s="2087" t="s">
        <v>1729</v>
      </c>
    </row>
    <row r="57" spans="1:18" s="1782" customFormat="1" ht="28.5" customHeight="1" thickBot="1">
      <c r="A57" s="763" t="s">
        <v>1276</v>
      </c>
      <c r="B57" s="764" t="s">
        <v>598</v>
      </c>
      <c r="C57" s="765">
        <f ca="1">ROUND(C58+C63+C64+C65,0)</f>
        <v>129</v>
      </c>
      <c r="D57" s="24" t="s">
        <v>1278</v>
      </c>
      <c r="E57" s="2245"/>
      <c r="F57" s="54"/>
      <c r="I57" s="2573" t="s">
        <v>1709</v>
      </c>
      <c r="J57" s="2574" t="str">
        <f ca="1">IF(OR(M47="住宅",J51&lt;L48,J56="是"),"——",J51-L48)</f>
        <v>——</v>
      </c>
      <c r="K57" s="2553" t="s">
        <v>1714</v>
      </c>
      <c r="L57" s="1663" t="str">
        <f ca="1">IF(L48&lt;J51,"——",IF(L55="比较法",L49,IF(L55="基准地价",L50,L51)))</f>
        <v>——</v>
      </c>
      <c r="M57" s="3004"/>
      <c r="O57" s="2089" t="s">
        <v>1730</v>
      </c>
      <c r="P57" s="2090" t="s">
        <v>1760</v>
      </c>
      <c r="Q57" s="2091">
        <f ca="1">C40+J29</f>
        <v>5363</v>
      </c>
      <c r="R57" s="2090" t="s">
        <v>1731</v>
      </c>
    </row>
    <row r="58" spans="1:18" s="1782" customFormat="1" ht="28.5" customHeight="1" thickBot="1">
      <c r="A58" s="1454" t="s">
        <v>1352</v>
      </c>
      <c r="B58" s="750" t="s">
        <v>603</v>
      </c>
      <c r="C58" s="2761">
        <f ca="1">ROUND(IF(AND(项目基本情况!B11="自然人",项目基本情况!B10="北京市"),C48*F58/(1+'数据-取费表'!C42),C59+C60+C61),2)</f>
        <v>0.79</v>
      </c>
      <c r="D58" s="2243" t="s">
        <v>604</v>
      </c>
      <c r="E58" s="2244" t="s">
        <v>636</v>
      </c>
      <c r="F58" s="2760" t="str">
        <f>IF(项目基本情况!B11="企业","——",IF('数据-取费表'!B10="住宅",IF(F48*F49*F50/12/(1+'数据-取费表'!F30)&gt;100000,4%,2.5%),IF(F48*F49*F50/12/(1+'数据-取费表'!F30)&gt;100000,12%,7%)))</f>
        <v>——</v>
      </c>
      <c r="I58" s="2573" t="s">
        <v>1710</v>
      </c>
      <c r="J58" s="2543" t="e">
        <f ca="1">IF(J55&lt;0.4,0.4,J55)</f>
        <v>#VALUE!</v>
      </c>
      <c r="K58" s="2553" t="s">
        <v>1715</v>
      </c>
      <c r="L58" s="1663" t="e">
        <f ca="1">ROUND(POWER(1+L52,L47-L48)*(POWER(1+L52,L48)-1)/(POWER(1+L52,L47)-1),4)</f>
        <v>#DIV/0!</v>
      </c>
      <c r="M58" s="3004"/>
      <c r="O58" s="2089" t="s">
        <v>1732</v>
      </c>
      <c r="P58" s="2090" t="s">
        <v>1763</v>
      </c>
      <c r="Q58" s="2091">
        <f ca="1">L60</f>
        <v>0</v>
      </c>
      <c r="R58" s="2094" t="s">
        <v>1765</v>
      </c>
    </row>
    <row r="59" spans="1:18" s="1782" customFormat="1" ht="28.5" customHeight="1" thickBot="1">
      <c r="A59" s="1453" t="s">
        <v>1359</v>
      </c>
      <c r="B59" s="750" t="s">
        <v>607</v>
      </c>
      <c r="C59" s="51">
        <f ca="1">ROUND(C47*F59/1.05,2)</f>
        <v>0</v>
      </c>
      <c r="D59" s="2244" t="s">
        <v>1284</v>
      </c>
      <c r="E59" s="750" t="s">
        <v>1275</v>
      </c>
      <c r="F59" s="775">
        <f t="shared" ref="F59:F65" si="0">F32</f>
        <v>0</v>
      </c>
      <c r="I59" s="2573" t="s">
        <v>1711</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1734</v>
      </c>
      <c r="P59" s="2090" t="s">
        <v>1764</v>
      </c>
      <c r="Q59" s="2091">
        <f>IF(L55="比较法",L49,IF(L55="基准地价",L50,0))</f>
        <v>0</v>
      </c>
      <c r="R59" s="2090" t="s">
        <v>1731</v>
      </c>
    </row>
    <row r="60" spans="1:18" s="1782" customFormat="1" ht="18" customHeight="1" thickBot="1">
      <c r="A60" s="1453" t="s">
        <v>1360</v>
      </c>
      <c r="B60" s="750" t="s">
        <v>1286</v>
      </c>
      <c r="C60" s="51">
        <f ca="1">IF(D60="按租金收入计税",ROUND(C48*F60/(1+'数据-取费表'!C42),2),IF(D60="按房产原值计税",ROUND(C56*F60*0.7,2),INDIRECT("'数据-取费表'!Aj"&amp;$G$1)))</f>
        <v>0</v>
      </c>
      <c r="D60" s="2244" t="str">
        <f>D33</f>
        <v>按租金收入计税</v>
      </c>
      <c r="E60" s="750" t="s">
        <v>1275</v>
      </c>
      <c r="F60" s="775">
        <f t="shared" si="0"/>
        <v>0.12</v>
      </c>
      <c r="I60" s="2575" t="s">
        <v>1712</v>
      </c>
      <c r="J60" s="2576" t="str">
        <f ca="1">IF(OR(M47="住宅",J51&lt;L48,J56="是"),"0",ROUND(J59/(1+J52)^J53,0))</f>
        <v>0</v>
      </c>
      <c r="K60" s="2577" t="s">
        <v>1717</v>
      </c>
      <c r="L60" s="2576">
        <f ca="1">IF(OR(M47="住宅",L48&lt;J51),0,ROUND(L57*(L58/L59-1),0))</f>
        <v>0</v>
      </c>
      <c r="M60" s="3004"/>
      <c r="O60" s="2092" t="s">
        <v>1735</v>
      </c>
      <c r="P60" s="2090" t="s">
        <v>1744</v>
      </c>
      <c r="Q60" s="2093">
        <f>L52</f>
        <v>0</v>
      </c>
      <c r="R60" s="2094"/>
    </row>
    <row r="61" spans="1:18" s="1782" customFormat="1" ht="18" customHeight="1" thickBot="1">
      <c r="A61" s="1456" t="s">
        <v>1361</v>
      </c>
      <c r="B61" s="332" t="s">
        <v>614</v>
      </c>
      <c r="C61" s="52">
        <f ca="1">ROUND(F61*F62/10000,2)</f>
        <v>0.79</v>
      </c>
      <c r="D61" s="779" t="s">
        <v>615</v>
      </c>
      <c r="E61" s="750" t="s">
        <v>616</v>
      </c>
      <c r="F61" s="608">
        <f t="shared" si="0"/>
        <v>3</v>
      </c>
      <c r="K61" s="1808"/>
      <c r="O61" s="2092" t="s">
        <v>1737</v>
      </c>
      <c r="P61" s="2090" t="s">
        <v>1745</v>
      </c>
      <c r="Q61" s="2091" t="e">
        <f ca="1">L58</f>
        <v>#DIV/0!</v>
      </c>
      <c r="R61" s="2094" t="s">
        <v>1746</v>
      </c>
    </row>
    <row r="62" spans="1:18" s="1782" customFormat="1" ht="15.75" thickBot="1">
      <c r="A62" s="780"/>
      <c r="B62" s="759"/>
      <c r="C62" s="67"/>
      <c r="D62" s="781"/>
      <c r="E62" s="750" t="s">
        <v>620</v>
      </c>
      <c r="F62" s="751">
        <f t="shared" ca="1" si="0"/>
        <v>2626.7200000000003</v>
      </c>
      <c r="I62" s="2578" t="s">
        <v>1718</v>
      </c>
      <c r="J62" s="2579" t="s">
        <v>1719</v>
      </c>
      <c r="K62" s="2579" t="s">
        <v>1720</v>
      </c>
      <c r="L62" s="2579" t="s">
        <v>1701</v>
      </c>
      <c r="M62" s="2580" t="s">
        <v>2201</v>
      </c>
      <c r="O62" s="2092" t="s">
        <v>1739</v>
      </c>
      <c r="P62" s="2090" t="str">
        <f>K59</f>
        <v>建设期及建筑物耐用年限下的土地年期修正系数Kn</v>
      </c>
      <c r="Q62" s="2091" t="e">
        <f ca="1">L59</f>
        <v>#DIV/0!</v>
      </c>
      <c r="R62" s="2094" t="s">
        <v>1748</v>
      </c>
    </row>
    <row r="63" spans="1:18" s="1782" customFormat="1" ht="15.75" thickBot="1">
      <c r="A63" s="1454" t="s">
        <v>1413</v>
      </c>
      <c r="B63" s="750" t="s">
        <v>622</v>
      </c>
      <c r="C63" s="51">
        <f ca="1">ROUND(C56*F63,2)</f>
        <v>116.39</v>
      </c>
      <c r="D63" s="2244" t="s">
        <v>1331</v>
      </c>
      <c r="E63" s="750" t="s">
        <v>1275</v>
      </c>
      <c r="F63" s="782">
        <f t="shared" ca="1" si="0"/>
        <v>1.4999999999999999E-2</v>
      </c>
      <c r="I63" s="2578" t="s">
        <v>1721</v>
      </c>
      <c r="J63" s="2579">
        <v>70</v>
      </c>
      <c r="K63" s="2579">
        <v>50</v>
      </c>
      <c r="L63" s="2579">
        <v>80</v>
      </c>
      <c r="M63" s="2581">
        <v>0.02</v>
      </c>
      <c r="O63" s="2089" t="s">
        <v>1742</v>
      </c>
      <c r="P63" s="2090" t="s">
        <v>1759</v>
      </c>
      <c r="Q63" s="2091">
        <f ca="1">Q57+Q58</f>
        <v>5363</v>
      </c>
      <c r="R63" s="2094" t="s">
        <v>1743</v>
      </c>
    </row>
    <row r="64" spans="1:18" s="1782" customFormat="1" ht="16.5" thickBot="1">
      <c r="A64" s="1454" t="s">
        <v>1414</v>
      </c>
      <c r="B64" s="750" t="s">
        <v>625</v>
      </c>
      <c r="C64" s="51">
        <f ca="1">ROUND(C55*F64,2)</f>
        <v>11.64</v>
      </c>
      <c r="D64" s="2244" t="s">
        <v>626</v>
      </c>
      <c r="E64" s="750" t="s">
        <v>1275</v>
      </c>
      <c r="F64" s="783">
        <f t="shared" ca="1" si="0"/>
        <v>1.5E-3</v>
      </c>
      <c r="I64" s="2578" t="s">
        <v>1722</v>
      </c>
      <c r="J64" s="2579">
        <v>50</v>
      </c>
      <c r="K64" s="2579">
        <v>35</v>
      </c>
      <c r="L64" s="2579">
        <v>60</v>
      </c>
      <c r="M64" s="811">
        <v>0</v>
      </c>
      <c r="O64" s="2095" t="s">
        <v>1766</v>
      </c>
      <c r="P64" s="1405"/>
      <c r="Q64" s="1413"/>
      <c r="R64" s="1405"/>
    </row>
    <row r="65" spans="1:18" s="1782" customFormat="1" ht="15.75" thickBot="1">
      <c r="A65" s="1454" t="s">
        <v>1415</v>
      </c>
      <c r="B65" s="750" t="s">
        <v>612</v>
      </c>
      <c r="C65" s="51">
        <f ca="1">ROUND(C47*F65,2)</f>
        <v>0</v>
      </c>
      <c r="D65" s="2244" t="s">
        <v>629</v>
      </c>
      <c r="E65" s="750" t="s">
        <v>1275</v>
      </c>
      <c r="F65" s="760">
        <f t="shared" ca="1" si="0"/>
        <v>0.01</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1304</v>
      </c>
      <c r="B66" s="2484" t="s">
        <v>2096</v>
      </c>
      <c r="C66" s="765">
        <f ca="1">C47-C57</f>
        <v>-129</v>
      </c>
      <c r="D66" s="2243" t="s">
        <v>646</v>
      </c>
      <c r="E66" s="2242"/>
      <c r="F66" s="785"/>
      <c r="K66" s="1808"/>
      <c r="O66" s="2089" t="s">
        <v>1730</v>
      </c>
      <c r="P66" s="2090" t="s">
        <v>1760</v>
      </c>
      <c r="Q66" s="2091">
        <f ca="1">C40+J29</f>
        <v>5363</v>
      </c>
      <c r="R66" s="2090" t="s">
        <v>1731</v>
      </c>
    </row>
    <row r="67" spans="1:18" s="1782" customFormat="1" ht="20.25" thickBot="1">
      <c r="A67" s="747" t="s">
        <v>1308</v>
      </c>
      <c r="B67" s="1950" t="s">
        <v>1655</v>
      </c>
      <c r="C67" s="749">
        <f ca="1">ROUND(C66*(1-((1+F69)/(1+F67))^F68)/(F67-F69),0)</f>
        <v>-2061</v>
      </c>
      <c r="D67" s="779" t="s">
        <v>650</v>
      </c>
      <c r="E67" s="750" t="s">
        <v>651</v>
      </c>
      <c r="F67" s="760">
        <f ca="1">F40</f>
        <v>0.05</v>
      </c>
      <c r="K67" s="1808"/>
      <c r="O67" s="2089" t="s">
        <v>1732</v>
      </c>
      <c r="P67" s="2090" t="s">
        <v>1763</v>
      </c>
      <c r="Q67" s="2091">
        <f ca="1">L60</f>
        <v>0</v>
      </c>
      <c r="R67" s="2094" t="s">
        <v>1765</v>
      </c>
    </row>
    <row r="68" spans="1:18" ht="21.75" thickBot="1">
      <c r="A68" s="752"/>
      <c r="B68" s="753"/>
      <c r="C68" s="754"/>
      <c r="D68" s="786" t="s">
        <v>1336</v>
      </c>
      <c r="E68" s="750" t="s">
        <v>1312</v>
      </c>
      <c r="F68" s="787">
        <f ca="1">F41</f>
        <v>32.85</v>
      </c>
      <c r="O68" s="2092" t="s">
        <v>1734</v>
      </c>
      <c r="P68" s="2090" t="s">
        <v>1764</v>
      </c>
      <c r="Q68" s="2096">
        <f ca="1">L51</f>
        <v>-5802</v>
      </c>
      <c r="R68" s="2097" t="s">
        <v>1767</v>
      </c>
    </row>
    <row r="69" spans="1:18" ht="20.25" thickBot="1">
      <c r="A69" s="756"/>
      <c r="B69" s="757"/>
      <c r="C69" s="758"/>
      <c r="D69" s="781"/>
      <c r="E69" s="750" t="s">
        <v>656</v>
      </c>
      <c r="F69" s="2064"/>
      <c r="O69" s="2092" t="s">
        <v>1735</v>
      </c>
      <c r="P69" s="2098" t="s">
        <v>1749</v>
      </c>
      <c r="Q69" s="2091">
        <f ca="1">ROUND(Q70-Q71*Q72,0)</f>
        <v>-281</v>
      </c>
      <c r="R69" s="2094"/>
    </row>
    <row r="70" spans="1:18" ht="15.75" thickBot="1">
      <c r="A70" s="788" t="s">
        <v>1315</v>
      </c>
      <c r="B70" s="789" t="s">
        <v>1338</v>
      </c>
      <c r="C70" s="790">
        <f ca="1">ROUND(C67*10000/F70,0)</f>
        <v>-3613</v>
      </c>
      <c r="D70" s="791" t="s">
        <v>1339</v>
      </c>
      <c r="E70" s="792" t="s">
        <v>1340</v>
      </c>
      <c r="F70" s="793">
        <f ca="1">F43</f>
        <v>5705</v>
      </c>
      <c r="O70" s="2092" t="s">
        <v>1750</v>
      </c>
      <c r="P70" s="2098" t="s">
        <v>1751</v>
      </c>
      <c r="Q70" s="2091">
        <f ca="1">C39</f>
        <v>262</v>
      </c>
      <c r="R70" s="2090" t="s">
        <v>1731</v>
      </c>
    </row>
    <row r="71" spans="1:18" ht="15.75" thickBot="1">
      <c r="O71" s="2092" t="s">
        <v>1752</v>
      </c>
      <c r="P71" s="2098" t="s">
        <v>1753</v>
      </c>
      <c r="Q71" s="2091">
        <f ca="1">C13</f>
        <v>7759</v>
      </c>
      <c r="R71" s="2090" t="s">
        <v>1731</v>
      </c>
    </row>
    <row r="72" spans="1:18" ht="15.75" thickBot="1">
      <c r="O72" s="2092" t="s">
        <v>1754</v>
      </c>
      <c r="P72" s="2098" t="s">
        <v>1755</v>
      </c>
      <c r="Q72" s="2093">
        <f ca="1">J36</f>
        <v>7.0000000000000007E-2</v>
      </c>
      <c r="R72" s="2094"/>
    </row>
    <row r="73" spans="1:18" ht="15.75" thickBot="1">
      <c r="O73" s="2092" t="s">
        <v>1737</v>
      </c>
      <c r="P73" s="2090" t="s">
        <v>1744</v>
      </c>
      <c r="Q73" s="2093">
        <f>L52</f>
        <v>0</v>
      </c>
      <c r="R73" s="2094"/>
    </row>
    <row r="74" spans="1:18" ht="20.25" thickBot="1">
      <c r="O74" s="2092" t="s">
        <v>1739</v>
      </c>
      <c r="P74" s="2090" t="s">
        <v>1745</v>
      </c>
      <c r="Q74" s="2091" t="e">
        <f ca="1">L58</f>
        <v>#DIV/0!</v>
      </c>
      <c r="R74" s="2094" t="s">
        <v>1746</v>
      </c>
    </row>
    <row r="75" spans="1:18" ht="15.75" thickBot="1">
      <c r="O75" s="2092" t="s">
        <v>1768</v>
      </c>
      <c r="P75" s="2090" t="str">
        <f>K59</f>
        <v>建设期及建筑物耐用年限下的土地年期修正系数Kn</v>
      </c>
      <c r="Q75" s="2091" t="e">
        <f ca="1">L59</f>
        <v>#DIV/0!</v>
      </c>
      <c r="R75" s="2094" t="s">
        <v>1748</v>
      </c>
    </row>
    <row r="76" spans="1:18" ht="15.75" thickBot="1">
      <c r="O76" s="2089" t="s">
        <v>1742</v>
      </c>
      <c r="P76" s="2090" t="s">
        <v>1759</v>
      </c>
      <c r="Q76" s="2091">
        <f ca="1">Q66+Q67</f>
        <v>5363</v>
      </c>
      <c r="R76" s="2094" t="s">
        <v>1743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550</v>
      </c>
      <c r="B1" s="710"/>
      <c r="C1" s="1903"/>
      <c r="D1" s="1903"/>
      <c r="E1" s="1903"/>
      <c r="F1" s="1903"/>
      <c r="G1" s="1830"/>
    </row>
    <row r="2" spans="1:25" s="1782" customFormat="1" ht="18" customHeight="1">
      <c r="A2" s="410" t="s">
        <v>426</v>
      </c>
      <c r="B2" s="412">
        <f ca="1">C23</f>
        <v>0</v>
      </c>
      <c r="C2" s="3009"/>
      <c r="D2" s="3009"/>
      <c r="E2" s="3009"/>
      <c r="F2" s="3009"/>
      <c r="G2" s="3009"/>
    </row>
    <row r="3" spans="1:25" s="1782" customFormat="1" ht="18" customHeight="1">
      <c r="A3" s="1237" t="s">
        <v>1217</v>
      </c>
      <c r="B3" s="412">
        <f ca="1">ROUND(B2*10000/'数据-汇总表'!E3,0)</f>
        <v>0</v>
      </c>
      <c r="C3" s="3009"/>
      <c r="D3" s="3009"/>
      <c r="E3" s="3009"/>
      <c r="F3" s="3009"/>
      <c r="G3" s="3009"/>
    </row>
    <row r="4" spans="1:25" s="1782" customFormat="1" ht="18" customHeight="1">
      <c r="A4" s="413" t="s">
        <v>427</v>
      </c>
      <c r="B4" s="414">
        <f ca="1">ROUND(B2*10000/'数据-汇总表'!D3,0)</f>
        <v>0</v>
      </c>
      <c r="C4" s="2963"/>
      <c r="D4" s="3009"/>
      <c r="E4" s="3009"/>
      <c r="F4" s="3009"/>
      <c r="G4" s="3009"/>
    </row>
    <row r="5" spans="1:25" s="1782" customFormat="1" ht="18" customHeight="1" thickBot="1">
      <c r="A5" s="416"/>
      <c r="B5" s="417">
        <f ca="1">ROUND(B2/('数据-汇总表'!D3/666.67),0)</f>
        <v>0</v>
      </c>
      <c r="C5" s="418" t="s">
        <v>428</v>
      </c>
      <c r="D5" s="3009"/>
      <c r="E5" s="3009"/>
      <c r="F5" s="3009"/>
      <c r="G5" s="3009"/>
    </row>
    <row r="6" spans="1:25" s="1904" customFormat="1" ht="13.5" customHeight="1">
      <c r="A6" s="711"/>
      <c r="B6" s="712" t="s">
        <v>551</v>
      </c>
      <c r="C6" s="713" t="s">
        <v>552</v>
      </c>
      <c r="D6" s="713" t="s">
        <v>553</v>
      </c>
      <c r="E6" s="714" t="s">
        <v>554</v>
      </c>
      <c r="F6" s="714" t="s">
        <v>555</v>
      </c>
      <c r="G6" s="3008" t="s">
        <v>2281</v>
      </c>
    </row>
    <row r="7" spans="1:25" s="1904" customFormat="1" ht="13.5" customHeight="1">
      <c r="A7" s="2118">
        <v>1</v>
      </c>
      <c r="B7" s="715" t="s">
        <v>556</v>
      </c>
      <c r="C7" s="716">
        <f>C8+C9</f>
        <v>0</v>
      </c>
      <c r="D7" s="716"/>
      <c r="E7" s="717"/>
      <c r="F7" s="717"/>
      <c r="G7" s="2127"/>
    </row>
    <row r="8" spans="1:25" s="1904" customFormat="1" ht="13.5" customHeight="1">
      <c r="A8" s="2118" t="s">
        <v>1783</v>
      </c>
      <c r="B8" s="2121" t="s">
        <v>1785</v>
      </c>
      <c r="C8" s="3012">
        <f>ROUND(D8*E8/10000,0)</f>
        <v>0</v>
      </c>
      <c r="D8" s="3012">
        <v>0</v>
      </c>
      <c r="E8" s="3013">
        <v>0</v>
      </c>
      <c r="F8" s="717"/>
      <c r="G8" s="718"/>
    </row>
    <row r="9" spans="1:25" s="1904" customFormat="1" ht="13.5" customHeight="1">
      <c r="A9" s="2118" t="s">
        <v>1784</v>
      </c>
      <c r="B9" s="2121" t="s">
        <v>1786</v>
      </c>
      <c r="C9" s="3012">
        <f>ROUND(D9*E9/10000,0)</f>
        <v>0</v>
      </c>
      <c r="D9" s="3012">
        <v>0</v>
      </c>
      <c r="E9" s="3013">
        <v>0</v>
      </c>
      <c r="F9" s="717"/>
      <c r="G9" s="718"/>
    </row>
    <row r="10" spans="1:25" s="1904" customFormat="1" ht="36">
      <c r="A10" s="2118">
        <v>2</v>
      </c>
      <c r="B10" s="715" t="s">
        <v>560</v>
      </c>
      <c r="C10" s="716">
        <f>C11+C14+C15</f>
        <v>0</v>
      </c>
      <c r="D10" s="726"/>
      <c r="E10" s="716"/>
      <c r="F10" s="727"/>
      <c r="G10" s="725" t="s">
        <v>561</v>
      </c>
    </row>
    <row r="11" spans="1:25" s="1904" customFormat="1" ht="13.5" customHeight="1">
      <c r="A11" s="2118" t="s">
        <v>1783</v>
      </c>
      <c r="B11" s="719" t="s">
        <v>557</v>
      </c>
      <c r="C11" s="720">
        <f>'数据-取费表'!B29</f>
        <v>0</v>
      </c>
      <c r="D11" s="721"/>
      <c r="E11" s="720"/>
      <c r="F11" s="722"/>
      <c r="G11" s="2126" t="s">
        <v>1794</v>
      </c>
    </row>
    <row r="12" spans="1:25" s="1904" customFormat="1" ht="13.5" customHeight="1">
      <c r="A12" s="2124" t="s">
        <v>1791</v>
      </c>
      <c r="B12" s="723" t="s">
        <v>558</v>
      </c>
      <c r="C12" s="724">
        <f>ROUND(D12*E12/10000,0)</f>
        <v>0</v>
      </c>
      <c r="D12" s="3012">
        <f>'数据-汇总表'!E5</f>
        <v>0</v>
      </c>
      <c r="E12" s="3012">
        <f>'数据-取费表'!B27</f>
        <v>160</v>
      </c>
      <c r="F12" s="722"/>
      <c r="G12" s="725"/>
    </row>
    <row r="13" spans="1:25" s="1904" customFormat="1" ht="13.5" customHeight="1">
      <c r="A13" s="2124" t="s">
        <v>1790</v>
      </c>
      <c r="B13" s="723" t="s">
        <v>559</v>
      </c>
      <c r="C13" s="724">
        <f>ROUND(D13*E13/10000,0)</f>
        <v>1183</v>
      </c>
      <c r="D13" s="3012">
        <f>'数据-汇总表'!E6</f>
        <v>59167.44</v>
      </c>
      <c r="E13" s="3012">
        <f>'数据-取费表'!B28</f>
        <v>200</v>
      </c>
      <c r="F13" s="722"/>
      <c r="G13" s="725"/>
    </row>
    <row r="14" spans="1:25" s="1904" customFormat="1" ht="13.5" customHeight="1">
      <c r="A14" s="2118" t="s">
        <v>1784</v>
      </c>
      <c r="B14" s="2123" t="s">
        <v>1787</v>
      </c>
      <c r="C14" s="3014">
        <f>ROUND(D14*E14/10000,0)</f>
        <v>0</v>
      </c>
      <c r="D14" s="3012">
        <v>0</v>
      </c>
      <c r="E14" s="3013">
        <v>0</v>
      </c>
      <c r="F14" s="2122"/>
      <c r="G14" s="2125" t="s">
        <v>1792</v>
      </c>
    </row>
    <row r="15" spans="1:25" s="1904" customFormat="1" ht="13.5" customHeight="1">
      <c r="A15" s="2118" t="s">
        <v>1789</v>
      </c>
      <c r="B15" s="2123" t="s">
        <v>1788</v>
      </c>
      <c r="C15" s="3014">
        <f>ROUND(D15*E15/10000,0)</f>
        <v>0</v>
      </c>
      <c r="D15" s="3012">
        <v>0</v>
      </c>
      <c r="E15" s="3013">
        <v>0</v>
      </c>
      <c r="F15" s="2122"/>
      <c r="G15" s="2125" t="s">
        <v>1793</v>
      </c>
    </row>
    <row r="16" spans="1:25" s="1905" customFormat="1" ht="48">
      <c r="A16" s="2118">
        <v>3</v>
      </c>
      <c r="B16" s="715" t="s">
        <v>562</v>
      </c>
      <c r="C16" s="3014">
        <f>ROUND(D16*E16/10000,0)</f>
        <v>0</v>
      </c>
      <c r="D16" s="3012">
        <v>0</v>
      </c>
      <c r="E16" s="3013">
        <v>0</v>
      </c>
      <c r="F16" s="727"/>
      <c r="G16" s="725" t="s">
        <v>1795</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563</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564</v>
      </c>
      <c r="C18" s="716">
        <f>ROUND((C7+C10+C16)*F18,0)</f>
        <v>0</v>
      </c>
      <c r="D18" s="728"/>
      <c r="E18" s="729"/>
      <c r="F18" s="1209"/>
      <c r="G18" s="731" t="s">
        <v>565</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566</v>
      </c>
      <c r="C19" s="716">
        <f ca="1">C7+C10+C16+C17+C18</f>
        <v>0</v>
      </c>
      <c r="D19" s="726"/>
      <c r="E19" s="716"/>
      <c r="F19" s="727"/>
      <c r="G19" s="731" t="s">
        <v>567</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568</v>
      </c>
      <c r="C20" s="716">
        <f ca="1">ROUND(C19*F20,0)</f>
        <v>0</v>
      </c>
      <c r="D20" s="726"/>
      <c r="E20" s="716"/>
      <c r="F20" s="1209"/>
      <c r="G20" s="731" t="s">
        <v>569</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570</v>
      </c>
      <c r="C21" s="716">
        <f ca="1">C19+C20</f>
        <v>0</v>
      </c>
      <c r="D21" s="726"/>
      <c r="E21" s="716"/>
      <c r="F21" s="727"/>
      <c r="G21" s="731" t="s">
        <v>571</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572</v>
      </c>
      <c r="C22" s="716">
        <f ca="1">ROUND(C21*F22,0)</f>
        <v>0</v>
      </c>
      <c r="D22" s="726"/>
      <c r="E22" s="716"/>
      <c r="F22" s="732">
        <f>'数据-取费表'!AP16</f>
        <v>0.81799999999999995</v>
      </c>
      <c r="G22" s="731" t="s">
        <v>573</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574</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32" sqref="J3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2230" t="s">
        <v>665</v>
      </c>
      <c r="C1" s="2231" t="s">
        <v>666</v>
      </c>
      <c r="D1" s="2232"/>
      <c r="E1" s="1849"/>
      <c r="F1" s="2286"/>
      <c r="G1" s="1410" t="s">
        <v>667</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426</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467</v>
      </c>
      <c r="B3" s="816" t="e">
        <f>C49</f>
        <v>#DIV/0!</v>
      </c>
      <c r="C3" s="817" t="s">
        <v>668</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469</v>
      </c>
      <c r="B4" s="483"/>
      <c r="C4" s="3901" t="s">
        <v>470</v>
      </c>
      <c r="D4" s="3902"/>
      <c r="E4" s="3936" t="s">
        <v>471</v>
      </c>
      <c r="F4" s="3937"/>
      <c r="G4" s="3901" t="s">
        <v>472</v>
      </c>
      <c r="H4" s="3902"/>
      <c r="I4" s="3901" t="s">
        <v>473</v>
      </c>
      <c r="J4" s="3902"/>
      <c r="K4" s="818" t="s">
        <v>474</v>
      </c>
      <c r="L4" s="1855"/>
      <c r="M4" s="1856"/>
      <c r="N4" s="1856"/>
      <c r="O4" s="1856"/>
      <c r="P4" s="3903" t="s">
        <v>475</v>
      </c>
      <c r="Q4" s="3904"/>
      <c r="R4" s="3909" t="s">
        <v>471</v>
      </c>
      <c r="S4" s="3910"/>
      <c r="T4" s="3909" t="s">
        <v>472</v>
      </c>
      <c r="U4" s="3910"/>
      <c r="V4" s="3896" t="s">
        <v>473</v>
      </c>
      <c r="W4" s="3896"/>
      <c r="X4" s="1380"/>
      <c r="Y4" s="3909" t="s">
        <v>475</v>
      </c>
      <c r="Z4" s="3910"/>
      <c r="AA4" s="3898" t="s">
        <v>471</v>
      </c>
      <c r="AB4" s="3898" t="s">
        <v>472</v>
      </c>
      <c r="AC4" s="3898" t="s">
        <v>473</v>
      </c>
    </row>
    <row r="5" spans="1:29" ht="15">
      <c r="A5" s="485"/>
      <c r="B5" s="486"/>
      <c r="C5" s="3917" t="s">
        <v>2188</v>
      </c>
      <c r="D5" s="3918"/>
      <c r="E5" s="3938" t="s">
        <v>2189</v>
      </c>
      <c r="F5" s="3939"/>
      <c r="G5" s="3917" t="s">
        <v>2190</v>
      </c>
      <c r="H5" s="3918"/>
      <c r="I5" s="3917" t="s">
        <v>2191</v>
      </c>
      <c r="J5" s="3918"/>
      <c r="K5" s="819"/>
      <c r="L5" s="1855"/>
      <c r="M5" s="1856"/>
      <c r="N5" s="1856"/>
      <c r="O5" s="1856"/>
      <c r="P5" s="3905"/>
      <c r="Q5" s="3906"/>
      <c r="R5" s="3911"/>
      <c r="S5" s="3912"/>
      <c r="T5" s="3911"/>
      <c r="U5" s="3912"/>
      <c r="V5" s="3896"/>
      <c r="W5" s="3896"/>
      <c r="X5" s="1380"/>
      <c r="Y5" s="3911"/>
      <c r="Z5" s="3912"/>
      <c r="AA5" s="3899"/>
      <c r="AB5" s="3899"/>
      <c r="AC5" s="3899"/>
    </row>
    <row r="6" spans="1:29" ht="15.75" thickBot="1">
      <c r="A6" s="487"/>
      <c r="B6" s="488"/>
      <c r="C6" s="3915" t="s">
        <v>2192</v>
      </c>
      <c r="D6" s="3916"/>
      <c r="E6" s="3934" t="s">
        <v>2192</v>
      </c>
      <c r="F6" s="3935"/>
      <c r="G6" s="3915" t="s">
        <v>2192</v>
      </c>
      <c r="H6" s="3916"/>
      <c r="I6" s="3915" t="s">
        <v>2192</v>
      </c>
      <c r="J6" s="3916"/>
      <c r="K6" s="819" t="s">
        <v>476</v>
      </c>
      <c r="L6" s="1855"/>
      <c r="M6" s="1856"/>
      <c r="N6" s="1856"/>
      <c r="O6" s="1856"/>
      <c r="P6" s="3907"/>
      <c r="Q6" s="3908"/>
      <c r="R6" s="3911"/>
      <c r="S6" s="3912"/>
      <c r="T6" s="3913"/>
      <c r="U6" s="3914"/>
      <c r="V6" s="3896"/>
      <c r="W6" s="3896"/>
      <c r="X6" s="1380"/>
      <c r="Y6" s="3913"/>
      <c r="Z6" s="3914"/>
      <c r="AA6" s="3900"/>
      <c r="AB6" s="3900"/>
      <c r="AC6" s="3900"/>
    </row>
    <row r="7" spans="1:29" s="1118" customFormat="1" ht="15.75" thickBot="1">
      <c r="A7" s="2391"/>
      <c r="B7" s="2398" t="s">
        <v>477</v>
      </c>
      <c r="C7" s="489">
        <f>'数据-取费表'!B2</f>
        <v>44942</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25" t="s">
        <v>478</v>
      </c>
      <c r="Q7" s="3927"/>
      <c r="R7" s="1381" t="s">
        <v>10</v>
      </c>
      <c r="S7" s="1382">
        <f t="shared" ref="S7:S15" si="0">F7</f>
        <v>0</v>
      </c>
      <c r="T7" s="1381" t="s">
        <v>10</v>
      </c>
      <c r="U7" s="1382">
        <f t="shared" ref="U7:U15" si="1">H7</f>
        <v>0</v>
      </c>
      <c r="V7" s="1381" t="s">
        <v>10</v>
      </c>
      <c r="W7" s="1382">
        <f t="shared" ref="W7:W15" si="2">J7</f>
        <v>0</v>
      </c>
      <c r="X7" s="1383"/>
      <c r="Y7" s="3925" t="s">
        <v>478</v>
      </c>
      <c r="Z7" s="3926"/>
      <c r="AA7" s="1384" t="e">
        <f>D7/F7</f>
        <v>#DIV/0!</v>
      </c>
      <c r="AB7" s="1384" t="e">
        <f>D7/H7</f>
        <v>#DIV/0!</v>
      </c>
      <c r="AC7" s="1384" t="e">
        <f>D7/J7</f>
        <v>#DIV/0!</v>
      </c>
    </row>
    <row r="8" spans="1:29" s="1118" customFormat="1" ht="15.75" thickBot="1">
      <c r="A8" s="2392"/>
      <c r="B8" s="2399" t="s">
        <v>479</v>
      </c>
      <c r="C8" s="495" t="s">
        <v>523</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25" t="s">
        <v>481</v>
      </c>
      <c r="Q8" s="3926"/>
      <c r="R8" s="1381" t="s">
        <v>10</v>
      </c>
      <c r="S8" s="1382">
        <f t="shared" si="0"/>
        <v>0</v>
      </c>
      <c r="T8" s="1381" t="s">
        <v>10</v>
      </c>
      <c r="U8" s="1382">
        <f t="shared" si="1"/>
        <v>0</v>
      </c>
      <c r="V8" s="1381" t="s">
        <v>10</v>
      </c>
      <c r="W8" s="1382">
        <f t="shared" si="2"/>
        <v>0</v>
      </c>
      <c r="X8" s="1383"/>
      <c r="Y8" s="3925" t="s">
        <v>481</v>
      </c>
      <c r="Z8" s="3926"/>
      <c r="AA8" s="1384" t="e">
        <f t="shared" ref="AA8:AA46" si="3">D8/F8</f>
        <v>#DIV/0!</v>
      </c>
      <c r="AB8" s="1384" t="e">
        <f t="shared" ref="AB8:AB46" si="4">D8/H8</f>
        <v>#DIV/0!</v>
      </c>
      <c r="AC8" s="1384" t="e">
        <f t="shared" ref="AC8:AC46" si="5">D8/J8</f>
        <v>#DIV/0!</v>
      </c>
    </row>
    <row r="9" spans="1:29" s="1118" customFormat="1" ht="15">
      <c r="A9" s="2393"/>
      <c r="B9" s="2400" t="s">
        <v>2035</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95" t="s">
        <v>483</v>
      </c>
      <c r="Q9" s="1050" t="str">
        <f t="shared" ref="Q9:Q15" si="6">B9</f>
        <v>用途</v>
      </c>
      <c r="R9" s="1381" t="s">
        <v>5</v>
      </c>
      <c r="S9" s="1382">
        <f t="shared" si="0"/>
        <v>100</v>
      </c>
      <c r="T9" s="1381" t="s">
        <v>5</v>
      </c>
      <c r="U9" s="1382">
        <f t="shared" si="1"/>
        <v>100</v>
      </c>
      <c r="V9" s="1381" t="s">
        <v>5</v>
      </c>
      <c r="W9" s="1382">
        <f t="shared" si="2"/>
        <v>100</v>
      </c>
      <c r="X9" s="1383"/>
      <c r="Y9" s="3824" t="s">
        <v>484</v>
      </c>
      <c r="Z9" s="1049" t="str">
        <f t="shared" ref="Z9:Z15" si="7">Q9</f>
        <v>用途</v>
      </c>
      <c r="AA9" s="1384">
        <f t="shared" si="3"/>
        <v>1</v>
      </c>
      <c r="AB9" s="1384">
        <f t="shared" si="4"/>
        <v>1</v>
      </c>
      <c r="AC9" s="1384">
        <f t="shared" si="5"/>
        <v>1</v>
      </c>
    </row>
    <row r="10" spans="1:29" s="1199" customFormat="1" ht="27">
      <c r="A10" s="2394"/>
      <c r="B10" s="2399" t="s">
        <v>2036</v>
      </c>
      <c r="C10" s="3659"/>
      <c r="D10" s="246">
        <v>100</v>
      </c>
      <c r="E10" s="3660"/>
      <c r="F10" s="826">
        <f>SUMIF(65:65,E10,66:66)-SUMIF(65:65,C10,66:66)+100</f>
        <v>100</v>
      </c>
      <c r="G10" s="3659"/>
      <c r="H10" s="246">
        <f>SUMIF(65:65,G10,66:66)-SUMIF(65:65,C10,66:66)+100</f>
        <v>100</v>
      </c>
      <c r="I10" s="3659"/>
      <c r="J10" s="246">
        <f>SUMIF(65:65,I10,66:66)-SUMIF(65:65,C10,66:66)+100</f>
        <v>100</v>
      </c>
      <c r="K10" s="820"/>
      <c r="L10" s="1860"/>
      <c r="M10" s="1899"/>
      <c r="N10" s="1899"/>
      <c r="O10" s="1861"/>
      <c r="P10" s="3895"/>
      <c r="Q10" s="1050" t="str">
        <f t="shared" si="6"/>
        <v>土地使用年限（年）</v>
      </c>
      <c r="R10" s="1381" t="s">
        <v>5</v>
      </c>
      <c r="S10" s="1382">
        <f t="shared" si="0"/>
        <v>100</v>
      </c>
      <c r="T10" s="1381" t="s">
        <v>5</v>
      </c>
      <c r="U10" s="1382">
        <f t="shared" si="1"/>
        <v>100</v>
      </c>
      <c r="V10" s="1381" t="s">
        <v>5</v>
      </c>
      <c r="W10" s="1382">
        <f t="shared" si="2"/>
        <v>100</v>
      </c>
      <c r="X10" s="1383"/>
      <c r="Y10" s="3824"/>
      <c r="Z10" s="1049" t="str">
        <f t="shared" si="7"/>
        <v>土地使用年限（年）</v>
      </c>
      <c r="AA10" s="1384">
        <f t="shared" si="3"/>
        <v>1</v>
      </c>
      <c r="AB10" s="1384">
        <f t="shared" si="4"/>
        <v>1</v>
      </c>
      <c r="AC10" s="1384">
        <f t="shared" si="5"/>
        <v>1</v>
      </c>
    </row>
    <row r="11" spans="1:29" ht="15">
      <c r="A11" s="2395"/>
      <c r="B11" s="2399" t="s">
        <v>2037</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95"/>
      <c r="Q11" s="1050" t="str">
        <f t="shared" si="6"/>
        <v>容积率</v>
      </c>
      <c r="R11" s="1381" t="s">
        <v>8</v>
      </c>
      <c r="S11" s="1382" t="e">
        <f t="shared" si="0"/>
        <v>#N/A</v>
      </c>
      <c r="T11" s="1381" t="s">
        <v>8</v>
      </c>
      <c r="U11" s="1382" t="e">
        <f t="shared" si="1"/>
        <v>#N/A</v>
      </c>
      <c r="V11" s="1381" t="s">
        <v>8</v>
      </c>
      <c r="W11" s="1382" t="e">
        <f t="shared" si="2"/>
        <v>#N/A</v>
      </c>
      <c r="X11" s="1383"/>
      <c r="Y11" s="382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95"/>
      <c r="Q12" s="1050">
        <f t="shared" si="6"/>
        <v>111</v>
      </c>
      <c r="R12" s="1381" t="s">
        <v>8</v>
      </c>
      <c r="S12" s="1382">
        <f t="shared" si="0"/>
        <v>100</v>
      </c>
      <c r="T12" s="1381" t="s">
        <v>8</v>
      </c>
      <c r="U12" s="1382">
        <f t="shared" si="1"/>
        <v>100</v>
      </c>
      <c r="V12" s="1381" t="s">
        <v>8</v>
      </c>
      <c r="W12" s="1382">
        <f t="shared" si="2"/>
        <v>100</v>
      </c>
      <c r="X12" s="1383"/>
      <c r="Y12" s="3824"/>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95"/>
      <c r="Q13" s="1050">
        <f t="shared" si="6"/>
        <v>111</v>
      </c>
      <c r="R13" s="1381" t="s">
        <v>8</v>
      </c>
      <c r="S13" s="1382">
        <f t="shared" si="0"/>
        <v>100</v>
      </c>
      <c r="T13" s="1381" t="s">
        <v>8</v>
      </c>
      <c r="U13" s="1382">
        <f t="shared" si="1"/>
        <v>100</v>
      </c>
      <c r="V13" s="1381" t="s">
        <v>8</v>
      </c>
      <c r="W13" s="1382">
        <f t="shared" si="2"/>
        <v>100</v>
      </c>
      <c r="X13" s="1383"/>
      <c r="Y13" s="3824"/>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95"/>
      <c r="Q14" s="1050">
        <f t="shared" si="6"/>
        <v>111</v>
      </c>
      <c r="R14" s="1381" t="s">
        <v>8</v>
      </c>
      <c r="S14" s="1382">
        <f t="shared" si="0"/>
        <v>100</v>
      </c>
      <c r="T14" s="1381" t="s">
        <v>8</v>
      </c>
      <c r="U14" s="1382">
        <f t="shared" si="1"/>
        <v>100</v>
      </c>
      <c r="V14" s="1381" t="s">
        <v>8</v>
      </c>
      <c r="W14" s="1382">
        <f t="shared" si="2"/>
        <v>100</v>
      </c>
      <c r="X14" s="1383"/>
      <c r="Y14" s="3824"/>
      <c r="Z14" s="1049">
        <f t="shared" si="7"/>
        <v>111</v>
      </c>
      <c r="AA14" s="1384">
        <f t="shared" si="3"/>
        <v>1</v>
      </c>
      <c r="AB14" s="1384">
        <f t="shared" si="4"/>
        <v>1</v>
      </c>
      <c r="AC14" s="1384">
        <f t="shared" si="5"/>
        <v>1</v>
      </c>
    </row>
    <row r="15" spans="1:29" ht="99.75">
      <c r="A15" s="2389" t="s">
        <v>2033</v>
      </c>
      <c r="B15" s="159" t="s">
        <v>260</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28" t="s">
        <v>488</v>
      </c>
      <c r="Q15" s="1385" t="str">
        <f t="shared" si="6"/>
        <v>居住社区成熟度</v>
      </c>
      <c r="R15" s="1386" t="s">
        <v>8</v>
      </c>
      <c r="S15" s="1387">
        <f t="shared" si="0"/>
        <v>100</v>
      </c>
      <c r="T15" s="1386" t="s">
        <v>8</v>
      </c>
      <c r="U15" s="1387">
        <f t="shared" si="1"/>
        <v>100</v>
      </c>
      <c r="V15" s="1386" t="s">
        <v>8</v>
      </c>
      <c r="W15" s="1387">
        <f t="shared" si="2"/>
        <v>100</v>
      </c>
      <c r="X15" s="1380"/>
      <c r="Y15" s="3928" t="s">
        <v>488</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929"/>
      <c r="Q16" s="1385"/>
      <c r="R16" s="1386"/>
      <c r="S16" s="1387"/>
      <c r="T16" s="1386"/>
      <c r="U16" s="1387"/>
      <c r="V16" s="1386"/>
      <c r="W16" s="1387"/>
      <c r="X16" s="1380"/>
      <c r="Y16" s="3929"/>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29"/>
      <c r="Q17" s="1385" t="str">
        <f>B17</f>
        <v>交通便捷度</v>
      </c>
      <c r="R17" s="1386" t="s">
        <v>8</v>
      </c>
      <c r="S17" s="1387">
        <f>F17</f>
        <v>100</v>
      </c>
      <c r="T17" s="1386" t="s">
        <v>8</v>
      </c>
      <c r="U17" s="1387">
        <f>H17</f>
        <v>100</v>
      </c>
      <c r="V17" s="1386" t="s">
        <v>8</v>
      </c>
      <c r="W17" s="1387">
        <f>J17</f>
        <v>100</v>
      </c>
      <c r="X17" s="1380"/>
      <c r="Y17" s="392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929"/>
      <c r="Q18" s="1385"/>
      <c r="R18" s="1386"/>
      <c r="S18" s="1387"/>
      <c r="T18" s="1386"/>
      <c r="U18" s="1387"/>
      <c r="V18" s="1386"/>
      <c r="W18" s="1387"/>
      <c r="X18" s="1380"/>
      <c r="Y18" s="3929"/>
      <c r="Z18" s="1388"/>
      <c r="AA18" s="1389">
        <v>1</v>
      </c>
      <c r="AB18" s="1389">
        <v>1</v>
      </c>
      <c r="AC18" s="1389">
        <v>1</v>
      </c>
    </row>
    <row r="19" spans="1:29" ht="42.75">
      <c r="A19" s="502"/>
      <c r="B19" s="2207" t="s">
        <v>1826</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29"/>
      <c r="Q19" s="1385" t="str">
        <f>B19</f>
        <v>公共配套设施</v>
      </c>
      <c r="R19" s="1386" t="s">
        <v>8</v>
      </c>
      <c r="S19" s="1387">
        <f>F19</f>
        <v>100</v>
      </c>
      <c r="T19" s="1386" t="s">
        <v>8</v>
      </c>
      <c r="U19" s="1387">
        <f>H19</f>
        <v>100</v>
      </c>
      <c r="V19" s="1386" t="s">
        <v>8</v>
      </c>
      <c r="W19" s="1387">
        <f>J19</f>
        <v>100</v>
      </c>
      <c r="X19" s="1380"/>
      <c r="Y19" s="392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929"/>
      <c r="Q20" s="1385"/>
      <c r="R20" s="1386"/>
      <c r="S20" s="1387"/>
      <c r="T20" s="1386"/>
      <c r="U20" s="1387"/>
      <c r="V20" s="1386"/>
      <c r="W20" s="1387"/>
      <c r="X20" s="1380"/>
      <c r="Y20" s="3929"/>
      <c r="Z20" s="1388"/>
      <c r="AA20" s="1389">
        <v>1</v>
      </c>
      <c r="AB20" s="1389">
        <v>1</v>
      </c>
      <c r="AC20" s="1389">
        <v>1</v>
      </c>
    </row>
    <row r="21" spans="1:29" ht="28.5">
      <c r="A21" s="502"/>
      <c r="B21" s="2200" t="s">
        <v>1838</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29"/>
      <c r="Q21" s="2192" t="str">
        <f>B21</f>
        <v>基础设施水平</v>
      </c>
      <c r="R21" s="1386" t="s">
        <v>8</v>
      </c>
      <c r="S21" s="1387">
        <f>F21</f>
        <v>100</v>
      </c>
      <c r="T21" s="1386" t="s">
        <v>8</v>
      </c>
      <c r="U21" s="1387">
        <f>H21</f>
        <v>100</v>
      </c>
      <c r="V21" s="1386" t="s">
        <v>8</v>
      </c>
      <c r="W21" s="1387">
        <f>J21</f>
        <v>100</v>
      </c>
      <c r="X21" s="2194"/>
      <c r="Y21" s="3929"/>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929"/>
      <c r="Q22" s="2192"/>
      <c r="R22" s="1386"/>
      <c r="S22" s="1387"/>
      <c r="T22" s="1386"/>
      <c r="U22" s="1387"/>
      <c r="V22" s="1386"/>
      <c r="W22" s="1387"/>
      <c r="X22" s="2194"/>
      <c r="Y22" s="3929"/>
      <c r="Z22" s="2193"/>
      <c r="AA22" s="1389">
        <v>1</v>
      </c>
      <c r="AB22" s="1389">
        <v>1</v>
      </c>
      <c r="AC22" s="1389">
        <v>1</v>
      </c>
    </row>
    <row r="23" spans="1:29" ht="57">
      <c r="A23" s="502"/>
      <c r="B23" s="834" t="s">
        <v>262</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29"/>
      <c r="Q23" s="1385" t="str">
        <f>B23</f>
        <v>自然及人文环境</v>
      </c>
      <c r="R23" s="1386" t="s">
        <v>8</v>
      </c>
      <c r="S23" s="1387">
        <f>F23</f>
        <v>100</v>
      </c>
      <c r="T23" s="1386" t="s">
        <v>8</v>
      </c>
      <c r="U23" s="1387">
        <f>H23</f>
        <v>100</v>
      </c>
      <c r="V23" s="1386" t="s">
        <v>8</v>
      </c>
      <c r="W23" s="1387">
        <f>J23</f>
        <v>100</v>
      </c>
      <c r="X23" s="1380"/>
      <c r="Y23" s="392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929"/>
      <c r="Q24" s="1385"/>
      <c r="R24" s="1386"/>
      <c r="S24" s="1387"/>
      <c r="T24" s="1386"/>
      <c r="U24" s="1387"/>
      <c r="V24" s="1386"/>
      <c r="W24" s="1387"/>
      <c r="X24" s="1380"/>
      <c r="Y24" s="3929"/>
      <c r="Z24" s="1388"/>
      <c r="AA24" s="1389">
        <v>1</v>
      </c>
      <c r="AB24" s="1389">
        <v>1</v>
      </c>
      <c r="AC24" s="1389">
        <v>1</v>
      </c>
    </row>
    <row r="25" spans="1:29" ht="15">
      <c r="A25" s="502"/>
      <c r="B25" s="1650" t="s">
        <v>1612</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29"/>
      <c r="Q25" s="1385" t="str">
        <f t="shared" ref="Q25:Q46" si="8">B25</f>
        <v>楼层-1</v>
      </c>
      <c r="R25" s="1386" t="s">
        <v>8</v>
      </c>
      <c r="S25" s="1387">
        <f>F25</f>
        <v>100</v>
      </c>
      <c r="T25" s="1386" t="s">
        <v>8</v>
      </c>
      <c r="U25" s="1387">
        <f>H25</f>
        <v>100</v>
      </c>
      <c r="V25" s="1386" t="s">
        <v>8</v>
      </c>
      <c r="W25" s="1387">
        <f>J25</f>
        <v>100</v>
      </c>
      <c r="X25" s="1380"/>
      <c r="Y25" s="3929"/>
      <c r="Z25" s="1388" t="str">
        <f>Q25</f>
        <v>楼层-1</v>
      </c>
      <c r="AA25" s="1389">
        <f t="shared" si="3"/>
        <v>1</v>
      </c>
      <c r="AB25" s="1389">
        <f t="shared" si="4"/>
        <v>1</v>
      </c>
      <c r="AC25" s="1389">
        <f t="shared" si="5"/>
        <v>1</v>
      </c>
    </row>
    <row r="26" spans="1:29" ht="15">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29"/>
      <c r="Q26" s="1385" t="str">
        <f t="shared" si="8"/>
        <v>朝向</v>
      </c>
      <c r="R26" s="1386" t="s">
        <v>8</v>
      </c>
      <c r="S26" s="1387">
        <f>F26</f>
        <v>100</v>
      </c>
      <c r="T26" s="1386" t="s">
        <v>8</v>
      </c>
      <c r="U26" s="1387">
        <f>H26</f>
        <v>100</v>
      </c>
      <c r="V26" s="1386" t="s">
        <v>8</v>
      </c>
      <c r="W26" s="1387">
        <f>J26</f>
        <v>100</v>
      </c>
      <c r="X26" s="1380"/>
      <c r="Y26" s="3929"/>
      <c r="Z26" s="1388" t="str">
        <f>Q26</f>
        <v>朝向</v>
      </c>
      <c r="AA26" s="1389">
        <f t="shared" si="3"/>
        <v>1</v>
      </c>
      <c r="AB26" s="1389">
        <f t="shared" si="4"/>
        <v>1</v>
      </c>
      <c r="AC26" s="1389">
        <f t="shared" si="5"/>
        <v>1</v>
      </c>
    </row>
    <row r="27" spans="1:29" s="1118" customFormat="1" ht="15">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29"/>
      <c r="Q27" s="1050" t="str">
        <f t="shared" si="8"/>
        <v>道路级别</v>
      </c>
      <c r="R27" s="1381" t="s">
        <v>8</v>
      </c>
      <c r="S27" s="1382">
        <f>F27</f>
        <v>100</v>
      </c>
      <c r="T27" s="1381" t="s">
        <v>8</v>
      </c>
      <c r="U27" s="1382">
        <f>H27</f>
        <v>100</v>
      </c>
      <c r="V27" s="1381" t="s">
        <v>8</v>
      </c>
      <c r="W27" s="1382">
        <f>J27</f>
        <v>100</v>
      </c>
      <c r="X27" s="1383"/>
      <c r="Y27" s="3929"/>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29"/>
      <c r="Q28" s="1385">
        <f t="shared" si="8"/>
        <v>111</v>
      </c>
      <c r="R28" s="1386" t="s">
        <v>8</v>
      </c>
      <c r="S28" s="1387">
        <f t="shared" ref="S28:S46" si="9">F28</f>
        <v>100</v>
      </c>
      <c r="T28" s="1386" t="s">
        <v>8</v>
      </c>
      <c r="U28" s="1387">
        <f t="shared" ref="U28:U46" si="10">H28</f>
        <v>100</v>
      </c>
      <c r="V28" s="1386" t="s">
        <v>8</v>
      </c>
      <c r="W28" s="1387">
        <f t="shared" ref="W28:W46" si="11">J28</f>
        <v>100</v>
      </c>
      <c r="X28" s="1380"/>
      <c r="Y28" s="3929"/>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29"/>
      <c r="Q29" s="1385">
        <f t="shared" si="8"/>
        <v>111</v>
      </c>
      <c r="R29" s="1386" t="s">
        <v>8</v>
      </c>
      <c r="S29" s="1387">
        <f t="shared" si="9"/>
        <v>100</v>
      </c>
      <c r="T29" s="1386" t="s">
        <v>8</v>
      </c>
      <c r="U29" s="1387">
        <f t="shared" si="10"/>
        <v>100</v>
      </c>
      <c r="V29" s="1386" t="s">
        <v>8</v>
      </c>
      <c r="W29" s="1387">
        <f t="shared" si="11"/>
        <v>100</v>
      </c>
      <c r="X29" s="1380"/>
      <c r="Y29" s="392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29"/>
      <c r="Q30" s="1385">
        <f t="shared" si="8"/>
        <v>111</v>
      </c>
      <c r="R30" s="1386" t="s">
        <v>8</v>
      </c>
      <c r="S30" s="1387">
        <f t="shared" si="9"/>
        <v>100</v>
      </c>
      <c r="T30" s="1386" t="s">
        <v>8</v>
      </c>
      <c r="U30" s="1387">
        <f t="shared" si="10"/>
        <v>100</v>
      </c>
      <c r="V30" s="1386" t="s">
        <v>8</v>
      </c>
      <c r="W30" s="1387">
        <f t="shared" si="11"/>
        <v>100</v>
      </c>
      <c r="X30" s="1380"/>
      <c r="Y30" s="3929"/>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29"/>
      <c r="Q31" s="1385">
        <f t="shared" si="8"/>
        <v>111</v>
      </c>
      <c r="R31" s="1386" t="s">
        <v>8</v>
      </c>
      <c r="S31" s="1387">
        <f t="shared" si="9"/>
        <v>100</v>
      </c>
      <c r="T31" s="1386" t="s">
        <v>8</v>
      </c>
      <c r="U31" s="1387">
        <f t="shared" si="10"/>
        <v>100</v>
      </c>
      <c r="V31" s="1386" t="s">
        <v>8</v>
      </c>
      <c r="W31" s="1387">
        <f t="shared" si="11"/>
        <v>100</v>
      </c>
      <c r="X31" s="1380"/>
      <c r="Y31" s="3929"/>
      <c r="Z31" s="1388">
        <f t="shared" si="12"/>
        <v>111</v>
      </c>
      <c r="AA31" s="1389">
        <f t="shared" si="3"/>
        <v>1</v>
      </c>
      <c r="AB31" s="1389">
        <f t="shared" si="4"/>
        <v>1</v>
      </c>
      <c r="AC31" s="1389">
        <f t="shared" si="5"/>
        <v>1</v>
      </c>
    </row>
    <row r="32" spans="1:29" ht="15">
      <c r="A32" s="2386" t="s">
        <v>2034</v>
      </c>
      <c r="B32" s="165" t="s">
        <v>671</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30" t="s">
        <v>498</v>
      </c>
      <c r="Q32" s="1385" t="str">
        <f t="shared" si="8"/>
        <v>建筑类型</v>
      </c>
      <c r="R32" s="1386" t="s">
        <v>8</v>
      </c>
      <c r="S32" s="1387">
        <f t="shared" si="9"/>
        <v>100</v>
      </c>
      <c r="T32" s="1386" t="s">
        <v>8</v>
      </c>
      <c r="U32" s="1387">
        <f t="shared" si="10"/>
        <v>100</v>
      </c>
      <c r="V32" s="1386" t="s">
        <v>8</v>
      </c>
      <c r="W32" s="1387">
        <f t="shared" si="11"/>
        <v>100</v>
      </c>
      <c r="X32" s="1380"/>
      <c r="Y32" s="3931" t="s">
        <v>498</v>
      </c>
      <c r="Z32" s="1388" t="str">
        <f t="shared" si="12"/>
        <v>建筑类型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31"/>
      <c r="Q33" s="1414" t="str">
        <f t="shared" si="8"/>
        <v>项目建筑规模</v>
      </c>
      <c r="R33" s="1390" t="s">
        <v>8</v>
      </c>
      <c r="S33" s="1391" t="e">
        <f t="shared" si="9"/>
        <v>#N/A</v>
      </c>
      <c r="T33" s="1390" t="s">
        <v>8</v>
      </c>
      <c r="U33" s="1391" t="e">
        <f t="shared" si="10"/>
        <v>#N/A</v>
      </c>
      <c r="V33" s="1390" t="s">
        <v>8</v>
      </c>
      <c r="W33" s="1391" t="e">
        <f t="shared" si="11"/>
        <v>#N/A</v>
      </c>
      <c r="X33" s="1392"/>
      <c r="Y33" s="3931"/>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31"/>
      <c r="Q34" s="1385" t="str">
        <f t="shared" si="8"/>
        <v>建筑结构</v>
      </c>
      <c r="R34" s="1386" t="s">
        <v>8</v>
      </c>
      <c r="S34" s="1387">
        <f t="shared" si="9"/>
        <v>100</v>
      </c>
      <c r="T34" s="1386" t="s">
        <v>8</v>
      </c>
      <c r="U34" s="1387">
        <f t="shared" si="10"/>
        <v>100</v>
      </c>
      <c r="V34" s="1386" t="s">
        <v>8</v>
      </c>
      <c r="W34" s="1387">
        <f t="shared" si="11"/>
        <v>100</v>
      </c>
      <c r="X34" s="1380"/>
      <c r="Y34" s="3931"/>
      <c r="Z34" s="1388" t="str">
        <f t="shared" si="12"/>
        <v>建筑结构</v>
      </c>
      <c r="AA34" s="1389">
        <f t="shared" si="3"/>
        <v>1</v>
      </c>
      <c r="AB34" s="1389">
        <f t="shared" si="4"/>
        <v>1</v>
      </c>
      <c r="AC34" s="1389">
        <f t="shared" si="5"/>
        <v>1</v>
      </c>
    </row>
    <row r="35" spans="1:29" ht="15">
      <c r="A35" s="564"/>
      <c r="B35" s="497" t="s">
        <v>674</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31"/>
      <c r="Q35" s="1385" t="str">
        <f t="shared" si="8"/>
        <v>建筑品质</v>
      </c>
      <c r="R35" s="1386" t="s">
        <v>8</v>
      </c>
      <c r="S35" s="1387">
        <f t="shared" si="9"/>
        <v>100</v>
      </c>
      <c r="T35" s="1386" t="s">
        <v>8</v>
      </c>
      <c r="U35" s="1387">
        <f t="shared" si="10"/>
        <v>100</v>
      </c>
      <c r="V35" s="1386" t="s">
        <v>8</v>
      </c>
      <c r="W35" s="1387">
        <f t="shared" si="11"/>
        <v>100</v>
      </c>
      <c r="X35" s="1380"/>
      <c r="Y35" s="3931"/>
      <c r="Z35" s="1388" t="str">
        <f t="shared" si="12"/>
        <v>建筑品质</v>
      </c>
      <c r="AA35" s="1389">
        <f t="shared" si="3"/>
        <v>1</v>
      </c>
      <c r="AB35" s="1389">
        <f t="shared" si="4"/>
        <v>1</v>
      </c>
      <c r="AC35" s="1389">
        <f t="shared" si="5"/>
        <v>1</v>
      </c>
    </row>
    <row r="36" spans="1:29" ht="15">
      <c r="A36" s="564"/>
      <c r="B36" s="497" t="s">
        <v>675</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31"/>
      <c r="Q36" s="1385" t="str">
        <f t="shared" si="8"/>
        <v>公共部分装修</v>
      </c>
      <c r="R36" s="1386" t="s">
        <v>8</v>
      </c>
      <c r="S36" s="1387">
        <f t="shared" si="9"/>
        <v>100</v>
      </c>
      <c r="T36" s="1386" t="s">
        <v>8</v>
      </c>
      <c r="U36" s="1387">
        <f t="shared" si="10"/>
        <v>100</v>
      </c>
      <c r="V36" s="1386" t="s">
        <v>8</v>
      </c>
      <c r="W36" s="1387">
        <f t="shared" si="11"/>
        <v>100</v>
      </c>
      <c r="X36" s="1380"/>
      <c r="Y36" s="3931"/>
      <c r="Z36" s="1388" t="str">
        <f t="shared" si="12"/>
        <v>公共部分装修</v>
      </c>
      <c r="AA36" s="1389">
        <f t="shared" si="3"/>
        <v>1</v>
      </c>
      <c r="AB36" s="1389">
        <f t="shared" si="4"/>
        <v>1</v>
      </c>
      <c r="AC36" s="1389">
        <f t="shared" si="5"/>
        <v>1</v>
      </c>
    </row>
    <row r="37" spans="1:29" s="1118" customFormat="1" ht="15">
      <c r="A37" s="570"/>
      <c r="B37" s="497" t="s">
        <v>676</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31"/>
      <c r="Q37" s="1050" t="str">
        <f t="shared" si="8"/>
        <v>成新度</v>
      </c>
      <c r="R37" s="1381" t="s">
        <v>8</v>
      </c>
      <c r="S37" s="1382" t="e">
        <f t="shared" si="9"/>
        <v>#N/A</v>
      </c>
      <c r="T37" s="1381" t="s">
        <v>8</v>
      </c>
      <c r="U37" s="1382" t="e">
        <f t="shared" si="10"/>
        <v>#N/A</v>
      </c>
      <c r="V37" s="1381" t="s">
        <v>8</v>
      </c>
      <c r="W37" s="1382" t="e">
        <f t="shared" si="11"/>
        <v>#N/A</v>
      </c>
      <c r="X37" s="1383"/>
      <c r="Y37" s="3931"/>
      <c r="Z37" s="1049" t="str">
        <f t="shared" si="12"/>
        <v>成新度</v>
      </c>
      <c r="AA37" s="1384" t="e">
        <f t="shared" si="3"/>
        <v>#N/A</v>
      </c>
      <c r="AB37" s="1384" t="e">
        <f t="shared" si="4"/>
        <v>#N/A</v>
      </c>
      <c r="AC37" s="1384" t="e">
        <f t="shared" si="5"/>
        <v>#N/A</v>
      </c>
    </row>
    <row r="38" spans="1:29" ht="15">
      <c r="A38" s="564"/>
      <c r="B38" s="497" t="s">
        <v>677</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31" t="s">
        <v>498</v>
      </c>
      <c r="Q38" s="1385" t="str">
        <f t="shared" si="8"/>
        <v>物业管理</v>
      </c>
      <c r="R38" s="1386" t="s">
        <v>8</v>
      </c>
      <c r="S38" s="1387">
        <f t="shared" si="9"/>
        <v>100</v>
      </c>
      <c r="T38" s="1386" t="s">
        <v>8</v>
      </c>
      <c r="U38" s="1387">
        <f t="shared" si="10"/>
        <v>100</v>
      </c>
      <c r="V38" s="1386" t="s">
        <v>8</v>
      </c>
      <c r="W38" s="1387">
        <f t="shared" si="11"/>
        <v>100</v>
      </c>
      <c r="X38" s="1380"/>
      <c r="Y38" s="3931" t="s">
        <v>498</v>
      </c>
      <c r="Z38" s="1388" t="str">
        <f t="shared" si="12"/>
        <v>物业管理</v>
      </c>
      <c r="AA38" s="1389">
        <f t="shared" si="3"/>
        <v>1</v>
      </c>
      <c r="AB38" s="1389">
        <f t="shared" si="4"/>
        <v>1</v>
      </c>
      <c r="AC38" s="1389">
        <f t="shared" si="5"/>
        <v>1</v>
      </c>
    </row>
    <row r="39" spans="1:29" ht="15">
      <c r="A39" s="564"/>
      <c r="B39" s="1650" t="s">
        <v>1844</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31"/>
      <c r="Q39" s="1385" t="str">
        <f t="shared" si="8"/>
        <v>市政基础设施</v>
      </c>
      <c r="R39" s="1386" t="s">
        <v>8</v>
      </c>
      <c r="S39" s="1387">
        <f t="shared" si="9"/>
        <v>100</v>
      </c>
      <c r="T39" s="1386" t="s">
        <v>8</v>
      </c>
      <c r="U39" s="1387">
        <f t="shared" si="10"/>
        <v>100</v>
      </c>
      <c r="V39" s="1386" t="s">
        <v>8</v>
      </c>
      <c r="W39" s="1387">
        <f t="shared" si="11"/>
        <v>100</v>
      </c>
      <c r="X39" s="1380"/>
      <c r="Y39" s="3931"/>
      <c r="Z39" s="1388" t="str">
        <f t="shared" si="12"/>
        <v>市政基础设施</v>
      </c>
      <c r="AA39" s="1389">
        <f t="shared" si="3"/>
        <v>1</v>
      </c>
      <c r="AB39" s="1389">
        <f t="shared" si="4"/>
        <v>1</v>
      </c>
      <c r="AC39" s="1389">
        <f t="shared" si="5"/>
        <v>1</v>
      </c>
    </row>
    <row r="40" spans="1:29" ht="15">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31"/>
      <c r="Q40" s="1385" t="str">
        <f t="shared" si="8"/>
        <v>房型</v>
      </c>
      <c r="R40" s="1386" t="s">
        <v>8</v>
      </c>
      <c r="S40" s="1387">
        <f t="shared" si="9"/>
        <v>100</v>
      </c>
      <c r="T40" s="1386" t="s">
        <v>8</v>
      </c>
      <c r="U40" s="1387">
        <f t="shared" si="10"/>
        <v>100</v>
      </c>
      <c r="V40" s="1386" t="s">
        <v>8</v>
      </c>
      <c r="W40" s="1387">
        <f t="shared" si="11"/>
        <v>100</v>
      </c>
      <c r="X40" s="1380"/>
      <c r="Y40" s="3931"/>
      <c r="Z40" s="1388" t="str">
        <f t="shared" si="12"/>
        <v>房型</v>
      </c>
      <c r="AA40" s="1389">
        <f t="shared" si="3"/>
        <v>1</v>
      </c>
      <c r="AB40" s="1389">
        <f t="shared" si="4"/>
        <v>1</v>
      </c>
      <c r="AC40" s="1389">
        <f t="shared" si="5"/>
        <v>1</v>
      </c>
    </row>
    <row r="41" spans="1:29" s="1200" customFormat="1" ht="28.5">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31"/>
      <c r="Q41" s="1414" t="str">
        <f t="shared" si="8"/>
        <v>单套/主力户型建筑面积</v>
      </c>
      <c r="R41" s="1390" t="s">
        <v>8</v>
      </c>
      <c r="S41" s="1391">
        <f t="shared" si="9"/>
        <v>100</v>
      </c>
      <c r="T41" s="1390" t="s">
        <v>8</v>
      </c>
      <c r="U41" s="1391">
        <f t="shared" si="10"/>
        <v>100</v>
      </c>
      <c r="V41" s="1390" t="s">
        <v>8</v>
      </c>
      <c r="W41" s="1391">
        <f t="shared" si="11"/>
        <v>100</v>
      </c>
      <c r="X41" s="1392"/>
      <c r="Y41" s="3931"/>
      <c r="Z41" s="1393" t="str">
        <f t="shared" si="12"/>
        <v>单套/主力户型建筑面积</v>
      </c>
      <c r="AA41" s="1389">
        <f t="shared" si="3"/>
        <v>1</v>
      </c>
      <c r="AB41" s="1389">
        <f t="shared" si="4"/>
        <v>1</v>
      </c>
      <c r="AC41" s="1389">
        <f t="shared" si="5"/>
        <v>1</v>
      </c>
    </row>
    <row r="42" spans="1:29" ht="15">
      <c r="A42" s="564"/>
      <c r="B42" s="497" t="s">
        <v>680</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31"/>
      <c r="Q42" s="1385" t="str">
        <f t="shared" si="8"/>
        <v>内部装修</v>
      </c>
      <c r="R42" s="1386" t="s">
        <v>8</v>
      </c>
      <c r="S42" s="1387">
        <f t="shared" si="9"/>
        <v>100</v>
      </c>
      <c r="T42" s="1386" t="s">
        <v>8</v>
      </c>
      <c r="U42" s="1387">
        <f t="shared" si="10"/>
        <v>100</v>
      </c>
      <c r="V42" s="1386" t="s">
        <v>8</v>
      </c>
      <c r="W42" s="1387">
        <f t="shared" si="11"/>
        <v>100</v>
      </c>
      <c r="X42" s="1380"/>
      <c r="Y42" s="3931"/>
      <c r="Z42" s="1388" t="str">
        <f t="shared" si="12"/>
        <v>内部装修</v>
      </c>
      <c r="AA42" s="1389">
        <f t="shared" si="3"/>
        <v>1</v>
      </c>
      <c r="AB42" s="1389">
        <f t="shared" si="4"/>
        <v>1</v>
      </c>
      <c r="AC42" s="1389">
        <f t="shared" si="5"/>
        <v>1</v>
      </c>
    </row>
    <row r="43" spans="1:29" ht="27">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31"/>
      <c r="Q43" s="1385" t="str">
        <f t="shared" si="8"/>
        <v>内部装修维护情况</v>
      </c>
      <c r="R43" s="1386" t="s">
        <v>8</v>
      </c>
      <c r="S43" s="1387">
        <f t="shared" si="9"/>
        <v>100</v>
      </c>
      <c r="T43" s="1386" t="s">
        <v>8</v>
      </c>
      <c r="U43" s="1387">
        <f t="shared" si="10"/>
        <v>100</v>
      </c>
      <c r="V43" s="1386" t="s">
        <v>8</v>
      </c>
      <c r="W43" s="1387">
        <f t="shared" si="11"/>
        <v>100</v>
      </c>
      <c r="X43" s="1380"/>
      <c r="Y43" s="393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31"/>
      <c r="Q44" s="1050">
        <f t="shared" si="8"/>
        <v>111</v>
      </c>
      <c r="R44" s="1381" t="s">
        <v>8</v>
      </c>
      <c r="S44" s="1382">
        <f t="shared" si="9"/>
        <v>100</v>
      </c>
      <c r="T44" s="1381" t="s">
        <v>8</v>
      </c>
      <c r="U44" s="1382">
        <f t="shared" si="10"/>
        <v>100</v>
      </c>
      <c r="V44" s="1381" t="s">
        <v>8</v>
      </c>
      <c r="W44" s="1382">
        <f t="shared" si="11"/>
        <v>100</v>
      </c>
      <c r="X44" s="1383"/>
      <c r="Y44" s="393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31"/>
      <c r="Q45" s="1385">
        <f t="shared" si="8"/>
        <v>111</v>
      </c>
      <c r="R45" s="1386" t="s">
        <v>8</v>
      </c>
      <c r="S45" s="1387">
        <f t="shared" si="9"/>
        <v>100</v>
      </c>
      <c r="T45" s="1386" t="s">
        <v>8</v>
      </c>
      <c r="U45" s="1387">
        <f t="shared" si="10"/>
        <v>100</v>
      </c>
      <c r="V45" s="1386" t="s">
        <v>8</v>
      </c>
      <c r="W45" s="1387">
        <f t="shared" si="11"/>
        <v>100</v>
      </c>
      <c r="X45" s="1380"/>
      <c r="Y45" s="3931"/>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07"/>
      <c r="Q46" s="1385">
        <f t="shared" si="8"/>
        <v>111</v>
      </c>
      <c r="R46" s="1386" t="s">
        <v>7</v>
      </c>
      <c r="S46" s="1387">
        <f t="shared" si="9"/>
        <v>100</v>
      </c>
      <c r="T46" s="1386" t="s">
        <v>7</v>
      </c>
      <c r="U46" s="1387">
        <f t="shared" si="10"/>
        <v>100</v>
      </c>
      <c r="V46" s="1386" t="s">
        <v>7</v>
      </c>
      <c r="W46" s="1387">
        <f t="shared" si="11"/>
        <v>100</v>
      </c>
      <c r="X46" s="1380"/>
      <c r="Y46" s="4007"/>
      <c r="Z46" s="1388">
        <f t="shared" si="12"/>
        <v>111</v>
      </c>
      <c r="AA46" s="1389">
        <f t="shared" si="3"/>
        <v>1</v>
      </c>
      <c r="AB46" s="1389">
        <f t="shared" si="4"/>
        <v>1</v>
      </c>
      <c r="AC46" s="1389">
        <f t="shared" si="5"/>
        <v>1</v>
      </c>
    </row>
    <row r="47" spans="1:29" ht="15">
      <c r="A47" s="577" t="s">
        <v>682</v>
      </c>
      <c r="B47" s="850"/>
      <c r="C47" s="2233" t="s">
        <v>6</v>
      </c>
      <c r="D47" s="2234"/>
      <c r="E47" s="2235"/>
      <c r="F47" s="2236"/>
      <c r="G47" s="2237"/>
      <c r="H47" s="2238"/>
      <c r="I47" s="2235"/>
      <c r="J47" s="2238"/>
      <c r="K47" s="1415"/>
      <c r="L47" s="1866"/>
      <c r="M47" s="1867"/>
      <c r="N47" s="1856"/>
      <c r="O47" s="1867"/>
      <c r="P47" s="3895" t="str">
        <f>A47</f>
        <v>成交单价（元/平方米）</v>
      </c>
      <c r="Q47" s="3895"/>
      <c r="R47" s="4006">
        <f>E47</f>
        <v>0</v>
      </c>
      <c r="S47" s="4006"/>
      <c r="T47" s="4006">
        <f>G47</f>
        <v>0</v>
      </c>
      <c r="U47" s="4006"/>
      <c r="V47" s="4006">
        <f>I47</f>
        <v>0</v>
      </c>
      <c r="W47" s="4006"/>
      <c r="X47" s="1375"/>
      <c r="Y47" s="1394"/>
      <c r="Z47" s="1375"/>
      <c r="AA47" s="1375"/>
      <c r="AB47" s="1375"/>
      <c r="AC47" s="1375"/>
    </row>
    <row r="48" spans="1:29" ht="15.75" thickBot="1">
      <c r="A48" s="585" t="s">
        <v>2039</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895" t="str">
        <f>A48</f>
        <v>比较价格（元/平方米）</v>
      </c>
      <c r="Q48" s="3895"/>
      <c r="R48" s="4006" t="e">
        <f>IF(F1="售价",ROUND(PRODUCT(R47,AA7:AA46),0),ROUND(PRODUCT(R47,AA7:AA46),1))</f>
        <v>#DIV/0!</v>
      </c>
      <c r="S48" s="4006"/>
      <c r="T48" s="4006" t="e">
        <f>IF(F1="售价",ROUND(PRODUCT(T47,AB7:AB46),0),ROUND(PRODUCT(T47,AB7:AB46),1))</f>
        <v>#DIV/0!</v>
      </c>
      <c r="U48" s="4006"/>
      <c r="V48" s="4006" t="e">
        <f>IF(F1="售价",ROUND(PRODUCT(V47,AC7:AC46),0),ROUND(PRODUCT(V47,AC7:AC46),1))</f>
        <v>#DIV/0!</v>
      </c>
      <c r="W48" s="4006"/>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16"/>
      <c r="L49" s="1866"/>
      <c r="M49" s="1867"/>
      <c r="N49" s="1867"/>
      <c r="O49" s="1867"/>
      <c r="P49" s="3932" t="str">
        <f>A49</f>
        <v>估价对象XX用房的比较价格（楼面单价，元/平方米）</v>
      </c>
      <c r="Q49" s="3933"/>
      <c r="R49" s="4005" t="e">
        <f>IF(F1="售价",ROUND(IF(D48="简单平均",AVERAGE(R48:V48),R48*F48+T48*H48+V48*J48),0),ROUND(IF(D48="简单平均",AVERAGE(R48:V48),R48*F48+T48*H48+V48*J48),1))</f>
        <v>#DIV/0!</v>
      </c>
      <c r="S49" s="4005"/>
      <c r="T49" s="4005"/>
      <c r="U49" s="4005"/>
      <c r="V49" s="4005"/>
      <c r="W49" s="4005"/>
      <c r="X49" s="1375"/>
      <c r="Y49" s="1375"/>
      <c r="Z49" s="1375"/>
      <c r="AA49" s="1375"/>
      <c r="AB49" s="1375"/>
      <c r="AC49" s="1375"/>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7"/>
      <c r="B54" s="2957"/>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521</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477</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522</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479</v>
      </c>
      <c r="B61" s="616"/>
      <c r="C61" s="628" t="s">
        <v>523</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524</v>
      </c>
      <c r="B63" s="633" t="s">
        <v>482</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485</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487</v>
      </c>
      <c r="B76" s="633" t="s">
        <v>525</v>
      </c>
      <c r="C76" s="671" t="s">
        <v>526</v>
      </c>
      <c r="D76" s="671" t="s">
        <v>527</v>
      </c>
      <c r="E76" s="671" t="s">
        <v>528</v>
      </c>
      <c r="F76" s="671" t="s">
        <v>529</v>
      </c>
      <c r="G76" s="671" t="s">
        <v>530</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533</v>
      </c>
      <c r="C78" s="676" t="s">
        <v>526</v>
      </c>
      <c r="D78" s="676" t="s">
        <v>527</v>
      </c>
      <c r="E78" s="676" t="s">
        <v>528</v>
      </c>
      <c r="F78" s="676" t="s">
        <v>529</v>
      </c>
      <c r="G78" s="676" t="s">
        <v>530</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526</v>
      </c>
      <c r="D80" s="676" t="s">
        <v>527</v>
      </c>
      <c r="E80" s="676" t="s">
        <v>528</v>
      </c>
      <c r="F80" s="676" t="s">
        <v>529</v>
      </c>
      <c r="G80" s="676" t="s">
        <v>530</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683</v>
      </c>
      <c r="C84" s="676" t="s">
        <v>526</v>
      </c>
      <c r="D84" s="676" t="s">
        <v>527</v>
      </c>
      <c r="E84" s="676" t="s">
        <v>528</v>
      </c>
      <c r="F84" s="676" t="s">
        <v>529</v>
      </c>
      <c r="G84" s="676" t="s">
        <v>530</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1613</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685</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499</v>
      </c>
      <c r="B100" s="633" t="s">
        <v>686</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688</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689</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690</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692</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1836</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693</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679</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694</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1614</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1615</v>
      </c>
      <c r="C137" s="1674"/>
      <c r="D137" s="1674"/>
      <c r="E137" s="1674"/>
      <c r="F137" s="1674"/>
      <c r="G137" s="1675"/>
      <c r="H137" s="1676"/>
      <c r="I137" s="1677" t="s">
        <v>1616</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1617</v>
      </c>
      <c r="D138" s="1680" t="s">
        <v>1618</v>
      </c>
      <c r="E138" s="1681" t="s">
        <v>1619</v>
      </c>
      <c r="F138" s="1682" t="s">
        <v>1620</v>
      </c>
      <c r="G138" s="1680" t="s">
        <v>1621</v>
      </c>
      <c r="H138" s="1683" t="s">
        <v>1622</v>
      </c>
      <c r="I138" s="1684"/>
      <c r="J138" s="1680" t="s">
        <v>1623</v>
      </c>
      <c r="K138" s="1683" t="s">
        <v>1624</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1625</v>
      </c>
      <c r="E139" s="1654">
        <v>100</v>
      </c>
      <c r="F139" s="1655">
        <v>102.5</v>
      </c>
      <c r="G139" s="1685" t="s">
        <v>1626</v>
      </c>
      <c r="H139" s="1656">
        <v>105</v>
      </c>
      <c r="I139" s="1686" t="s">
        <v>1627</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1628</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1629</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1630</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1631</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1632</v>
      </c>
      <c r="E144" s="1660">
        <v>102</v>
      </c>
      <c r="F144" s="1666">
        <v>100</v>
      </c>
      <c r="G144" s="1689" t="s">
        <v>1632</v>
      </c>
      <c r="H144" s="1662">
        <v>105</v>
      </c>
      <c r="I144" s="1688" t="s">
        <v>1631</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1633</v>
      </c>
      <c r="C145" s="1667">
        <f>ROUND(MAX(C139:C144)/MIN(C139:C144)-1,3)</f>
        <v>7.2999999999999995E-2</v>
      </c>
      <c r="D145" s="1691"/>
      <c r="E145" s="1691"/>
      <c r="F145" s="1692" t="s">
        <v>1634</v>
      </c>
      <c r="G145" s="1693"/>
      <c r="H145" s="1694"/>
      <c r="I145" s="1695" t="s">
        <v>1631</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1642</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1643</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32" sqref="J3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696</v>
      </c>
      <c r="C1" s="474" t="s">
        <v>666</v>
      </c>
      <c r="D1" s="2063"/>
      <c r="E1" s="476"/>
      <c r="F1" s="2286"/>
      <c r="G1" s="1410" t="s">
        <v>667</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426</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467</v>
      </c>
      <c r="B3" s="480" t="e">
        <f>C49</f>
        <v>#DIV/0!</v>
      </c>
      <c r="C3" s="817" t="s">
        <v>668</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469</v>
      </c>
      <c r="B4" s="483"/>
      <c r="C4" s="3901" t="s">
        <v>470</v>
      </c>
      <c r="D4" s="3902"/>
      <c r="E4" s="3936" t="s">
        <v>471</v>
      </c>
      <c r="F4" s="3937"/>
      <c r="G4" s="3901" t="s">
        <v>472</v>
      </c>
      <c r="H4" s="3902"/>
      <c r="I4" s="3901" t="s">
        <v>473</v>
      </c>
      <c r="J4" s="3902"/>
      <c r="K4" s="484" t="s">
        <v>474</v>
      </c>
      <c r="L4" s="1855"/>
      <c r="M4" s="1856"/>
      <c r="N4" s="1856"/>
      <c r="O4" s="1856"/>
      <c r="P4" s="3903" t="s">
        <v>475</v>
      </c>
      <c r="Q4" s="3904"/>
      <c r="R4" s="3909" t="s">
        <v>471</v>
      </c>
      <c r="S4" s="3910"/>
      <c r="T4" s="3909" t="s">
        <v>472</v>
      </c>
      <c r="U4" s="3910"/>
      <c r="V4" s="3896" t="s">
        <v>473</v>
      </c>
      <c r="W4" s="3896"/>
      <c r="X4" s="1380"/>
      <c r="Y4" s="3909" t="s">
        <v>475</v>
      </c>
      <c r="Z4" s="3910"/>
      <c r="AA4" s="3898" t="s">
        <v>471</v>
      </c>
      <c r="AB4" s="3896" t="s">
        <v>472</v>
      </c>
      <c r="AC4" s="3898" t="s">
        <v>473</v>
      </c>
    </row>
    <row r="5" spans="1:29" ht="15">
      <c r="A5" s="485"/>
      <c r="B5" s="486"/>
      <c r="C5" s="3917" t="s">
        <v>2188</v>
      </c>
      <c r="D5" s="3918"/>
      <c r="E5" s="3938" t="s">
        <v>2189</v>
      </c>
      <c r="F5" s="3939"/>
      <c r="G5" s="3917" t="s">
        <v>2190</v>
      </c>
      <c r="H5" s="3918"/>
      <c r="I5" s="3917" t="s">
        <v>2191</v>
      </c>
      <c r="J5" s="3918"/>
      <c r="K5" s="484"/>
      <c r="L5" s="1855"/>
      <c r="M5" s="1856"/>
      <c r="N5" s="1856"/>
      <c r="O5" s="1856"/>
      <c r="P5" s="3905"/>
      <c r="Q5" s="3906"/>
      <c r="R5" s="3911"/>
      <c r="S5" s="3912"/>
      <c r="T5" s="3911"/>
      <c r="U5" s="3912"/>
      <c r="V5" s="3896"/>
      <c r="W5" s="3896"/>
      <c r="X5" s="1380"/>
      <c r="Y5" s="3911"/>
      <c r="Z5" s="3912"/>
      <c r="AA5" s="3899"/>
      <c r="AB5" s="3896"/>
      <c r="AC5" s="3899"/>
    </row>
    <row r="6" spans="1:29" ht="15.75" thickBot="1">
      <c r="A6" s="487"/>
      <c r="B6" s="488"/>
      <c r="C6" s="3915" t="s">
        <v>2192</v>
      </c>
      <c r="D6" s="3916"/>
      <c r="E6" s="3934" t="s">
        <v>2192</v>
      </c>
      <c r="F6" s="3935"/>
      <c r="G6" s="3915" t="s">
        <v>2192</v>
      </c>
      <c r="H6" s="3916"/>
      <c r="I6" s="3915" t="s">
        <v>2192</v>
      </c>
      <c r="J6" s="3916"/>
      <c r="K6" s="484" t="s">
        <v>476</v>
      </c>
      <c r="L6" s="1855"/>
      <c r="M6" s="1856"/>
      <c r="N6" s="1856"/>
      <c r="O6" s="1856"/>
      <c r="P6" s="3907"/>
      <c r="Q6" s="3908"/>
      <c r="R6" s="3911"/>
      <c r="S6" s="3912"/>
      <c r="T6" s="3913"/>
      <c r="U6" s="3914"/>
      <c r="V6" s="3896"/>
      <c r="W6" s="3896"/>
      <c r="X6" s="1380"/>
      <c r="Y6" s="3913"/>
      <c r="Z6" s="3914"/>
      <c r="AA6" s="3900"/>
      <c r="AB6" s="3896"/>
      <c r="AC6" s="3900"/>
    </row>
    <row r="7" spans="1:29" s="1118" customFormat="1" ht="15.75" thickBot="1">
      <c r="A7" s="2391"/>
      <c r="B7" s="2398" t="s">
        <v>477</v>
      </c>
      <c r="C7" s="489">
        <f>'数据-取费表'!B2</f>
        <v>44942</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25" t="s">
        <v>478</v>
      </c>
      <c r="Q7" s="3927"/>
      <c r="R7" s="1381" t="s">
        <v>5</v>
      </c>
      <c r="S7" s="1382">
        <f t="shared" ref="S7:S15" si="0">F7</f>
        <v>0</v>
      </c>
      <c r="T7" s="1381" t="s">
        <v>5</v>
      </c>
      <c r="U7" s="1382">
        <f t="shared" ref="U7:U15" si="1">H7</f>
        <v>0</v>
      </c>
      <c r="V7" s="1381" t="s">
        <v>5</v>
      </c>
      <c r="W7" s="1382">
        <f t="shared" ref="W7:W15" si="2">J7</f>
        <v>0</v>
      </c>
      <c r="X7" s="1383"/>
      <c r="Y7" s="3925" t="s">
        <v>478</v>
      </c>
      <c r="Z7" s="3926"/>
      <c r="AA7" s="1384" t="e">
        <f>D7/F7</f>
        <v>#DIV/0!</v>
      </c>
      <c r="AB7" s="1384" t="e">
        <f>D7/H7</f>
        <v>#DIV/0!</v>
      </c>
      <c r="AC7" s="1384" t="e">
        <f>D7/J7</f>
        <v>#DIV/0!</v>
      </c>
    </row>
    <row r="8" spans="1:29" s="1118" customFormat="1" ht="15.75" thickBot="1">
      <c r="A8" s="2392"/>
      <c r="B8" s="2399" t="s">
        <v>479</v>
      </c>
      <c r="C8" s="495" t="s">
        <v>523</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25" t="s">
        <v>481</v>
      </c>
      <c r="Q8" s="3926"/>
      <c r="R8" s="1381" t="s">
        <v>5</v>
      </c>
      <c r="S8" s="1382">
        <f t="shared" si="0"/>
        <v>0</v>
      </c>
      <c r="T8" s="1381" t="s">
        <v>5</v>
      </c>
      <c r="U8" s="1382">
        <f t="shared" si="1"/>
        <v>0</v>
      </c>
      <c r="V8" s="1381" t="s">
        <v>5</v>
      </c>
      <c r="W8" s="1382">
        <f t="shared" si="2"/>
        <v>0</v>
      </c>
      <c r="X8" s="1383"/>
      <c r="Y8" s="3925" t="s">
        <v>481</v>
      </c>
      <c r="Z8" s="3926"/>
      <c r="AA8" s="1384" t="e">
        <f t="shared" ref="AA8:AA46" si="3">D8/F8</f>
        <v>#DIV/0!</v>
      </c>
      <c r="AB8" s="1384" t="e">
        <f t="shared" ref="AB8:AB46" si="4">D8/H8</f>
        <v>#DIV/0!</v>
      </c>
      <c r="AC8" s="1384" t="e">
        <f t="shared" ref="AC8:AC46" si="5">D8/J8</f>
        <v>#DIV/0!</v>
      </c>
    </row>
    <row r="9" spans="1:29" s="1118" customFormat="1" ht="15">
      <c r="A9" s="2393"/>
      <c r="B9" s="2400" t="s">
        <v>2035</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95" t="s">
        <v>483</v>
      </c>
      <c r="Q9" s="1050" t="str">
        <f t="shared" ref="Q9:Q15" si="6">B9</f>
        <v>用途</v>
      </c>
      <c r="R9" s="1381" t="s">
        <v>5</v>
      </c>
      <c r="S9" s="1382">
        <f t="shared" si="0"/>
        <v>100</v>
      </c>
      <c r="T9" s="1381" t="s">
        <v>5</v>
      </c>
      <c r="U9" s="1382">
        <f t="shared" si="1"/>
        <v>100</v>
      </c>
      <c r="V9" s="1381" t="s">
        <v>5</v>
      </c>
      <c r="W9" s="1382">
        <f t="shared" si="2"/>
        <v>100</v>
      </c>
      <c r="X9" s="1383"/>
      <c r="Y9" s="3824" t="s">
        <v>484</v>
      </c>
      <c r="Z9" s="1049" t="str">
        <f t="shared" ref="Z9:Z15" si="7">Q9</f>
        <v>用途</v>
      </c>
      <c r="AA9" s="1384">
        <f t="shared" si="3"/>
        <v>1</v>
      </c>
      <c r="AB9" s="1384">
        <f t="shared" si="4"/>
        <v>1</v>
      </c>
      <c r="AC9" s="1384">
        <f t="shared" si="5"/>
        <v>1</v>
      </c>
    </row>
    <row r="10" spans="1:29" s="1199" customFormat="1" ht="27">
      <c r="A10" s="2394"/>
      <c r="B10" s="2399" t="s">
        <v>2036</v>
      </c>
      <c r="C10" s="3659"/>
      <c r="D10" s="246">
        <v>100</v>
      </c>
      <c r="E10" s="3659"/>
      <c r="F10" s="246">
        <f>SUMIF(65:65,E10,66:66)-SUMIF(65:65,C10,66:66)+100</f>
        <v>100</v>
      </c>
      <c r="G10" s="3660"/>
      <c r="H10" s="246">
        <f>SUMIF(65:65,G10,66:66)-SUMIF(65:65,C10,66:66)+100</f>
        <v>100</v>
      </c>
      <c r="I10" s="3659"/>
      <c r="J10" s="246">
        <f>SUMIF(65:65,I10,66:66)-SUMIF(65:65,C10,66:66)+100</f>
        <v>100</v>
      </c>
      <c r="K10" s="494"/>
      <c r="L10" s="1860"/>
      <c r="M10" s="1899"/>
      <c r="N10" s="1899"/>
      <c r="O10" s="1861"/>
      <c r="P10" s="3895"/>
      <c r="Q10" s="1050" t="str">
        <f t="shared" si="6"/>
        <v>土地使用年限（年）</v>
      </c>
      <c r="R10" s="1381" t="s">
        <v>5</v>
      </c>
      <c r="S10" s="1382">
        <f t="shared" si="0"/>
        <v>100</v>
      </c>
      <c r="T10" s="1381" t="s">
        <v>5</v>
      </c>
      <c r="U10" s="1382">
        <f t="shared" si="1"/>
        <v>100</v>
      </c>
      <c r="V10" s="1381" t="s">
        <v>5</v>
      </c>
      <c r="W10" s="1382">
        <f t="shared" si="2"/>
        <v>100</v>
      </c>
      <c r="X10" s="1383"/>
      <c r="Y10" s="3824"/>
      <c r="Z10" s="1049" t="str">
        <f t="shared" si="7"/>
        <v>土地使用年限（年）</v>
      </c>
      <c r="AA10" s="1384">
        <f t="shared" si="3"/>
        <v>1</v>
      </c>
      <c r="AB10" s="1384">
        <f t="shared" si="4"/>
        <v>1</v>
      </c>
      <c r="AC10" s="1384">
        <f t="shared" si="5"/>
        <v>1</v>
      </c>
    </row>
    <row r="11" spans="1:29" ht="15">
      <c r="A11" s="2395"/>
      <c r="B11" s="2399" t="s">
        <v>2037</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95"/>
      <c r="Q11" s="1050" t="str">
        <f t="shared" si="6"/>
        <v>容积率</v>
      </c>
      <c r="R11" s="1381" t="s">
        <v>5</v>
      </c>
      <c r="S11" s="1382" t="e">
        <f t="shared" si="0"/>
        <v>#N/A</v>
      </c>
      <c r="T11" s="1381" t="s">
        <v>5</v>
      </c>
      <c r="U11" s="1382" t="e">
        <f t="shared" si="1"/>
        <v>#N/A</v>
      </c>
      <c r="V11" s="1381" t="s">
        <v>5</v>
      </c>
      <c r="W11" s="1382" t="e">
        <f t="shared" si="2"/>
        <v>#N/A</v>
      </c>
      <c r="X11" s="1383"/>
      <c r="Y11" s="382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95"/>
      <c r="Q12" s="1050">
        <f t="shared" si="6"/>
        <v>111</v>
      </c>
      <c r="R12" s="1381" t="s">
        <v>5</v>
      </c>
      <c r="S12" s="1382">
        <f t="shared" si="0"/>
        <v>100</v>
      </c>
      <c r="T12" s="1381" t="s">
        <v>5</v>
      </c>
      <c r="U12" s="1382">
        <f t="shared" si="1"/>
        <v>100</v>
      </c>
      <c r="V12" s="1381" t="s">
        <v>5</v>
      </c>
      <c r="W12" s="1382">
        <f t="shared" si="2"/>
        <v>100</v>
      </c>
      <c r="X12" s="1383"/>
      <c r="Y12" s="3824"/>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95"/>
      <c r="Q13" s="1050">
        <f t="shared" si="6"/>
        <v>111</v>
      </c>
      <c r="R13" s="1381" t="s">
        <v>5</v>
      </c>
      <c r="S13" s="1382">
        <f t="shared" si="0"/>
        <v>100</v>
      </c>
      <c r="T13" s="1381" t="s">
        <v>5</v>
      </c>
      <c r="U13" s="1382">
        <f t="shared" si="1"/>
        <v>100</v>
      </c>
      <c r="V13" s="1381" t="s">
        <v>5</v>
      </c>
      <c r="W13" s="1382">
        <f t="shared" si="2"/>
        <v>100</v>
      </c>
      <c r="X13" s="1383"/>
      <c r="Y13" s="3824"/>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95"/>
      <c r="Q14" s="1050">
        <f t="shared" si="6"/>
        <v>111</v>
      </c>
      <c r="R14" s="1381" t="s">
        <v>5</v>
      </c>
      <c r="S14" s="1382">
        <f t="shared" si="0"/>
        <v>100</v>
      </c>
      <c r="T14" s="1381" t="s">
        <v>5</v>
      </c>
      <c r="U14" s="1382">
        <f t="shared" si="1"/>
        <v>100</v>
      </c>
      <c r="V14" s="1381" t="s">
        <v>5</v>
      </c>
      <c r="W14" s="1382">
        <f t="shared" si="2"/>
        <v>100</v>
      </c>
      <c r="X14" s="1383"/>
      <c r="Y14" s="3824"/>
      <c r="Z14" s="1049">
        <f t="shared" si="7"/>
        <v>111</v>
      </c>
      <c r="AA14" s="1384">
        <f t="shared" si="3"/>
        <v>1</v>
      </c>
      <c r="AB14" s="1384">
        <f t="shared" si="4"/>
        <v>1</v>
      </c>
      <c r="AC14" s="1384">
        <f t="shared" si="5"/>
        <v>1</v>
      </c>
    </row>
    <row r="15" spans="1:29" ht="71.25">
      <c r="A15" s="2389" t="s">
        <v>2033</v>
      </c>
      <c r="B15" s="159" t="s">
        <v>489</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28" t="s">
        <v>488</v>
      </c>
      <c r="Q15" s="1385" t="str">
        <f t="shared" si="6"/>
        <v>商业繁华度</v>
      </c>
      <c r="R15" s="1386" t="s">
        <v>5</v>
      </c>
      <c r="S15" s="1387">
        <f t="shared" si="0"/>
        <v>100</v>
      </c>
      <c r="T15" s="1386" t="s">
        <v>5</v>
      </c>
      <c r="U15" s="1387">
        <f t="shared" si="1"/>
        <v>100</v>
      </c>
      <c r="V15" s="1386" t="s">
        <v>5</v>
      </c>
      <c r="W15" s="1387">
        <f t="shared" si="2"/>
        <v>100</v>
      </c>
      <c r="X15" s="1380"/>
      <c r="Y15" s="3928" t="s">
        <v>488</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29"/>
      <c r="Q16" s="1385"/>
      <c r="R16" s="1386"/>
      <c r="S16" s="1387"/>
      <c r="T16" s="1386"/>
      <c r="U16" s="1387"/>
      <c r="V16" s="1386"/>
      <c r="W16" s="1387"/>
      <c r="X16" s="1380"/>
      <c r="Y16" s="3929"/>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29"/>
      <c r="Q17" s="1385" t="str">
        <f>B17</f>
        <v>交通便捷度</v>
      </c>
      <c r="R17" s="1386" t="s">
        <v>5</v>
      </c>
      <c r="S17" s="1387">
        <f>F17</f>
        <v>100</v>
      </c>
      <c r="T17" s="1386" t="s">
        <v>5</v>
      </c>
      <c r="U17" s="1387">
        <f>H17</f>
        <v>100</v>
      </c>
      <c r="V17" s="1386" t="s">
        <v>5</v>
      </c>
      <c r="W17" s="1387">
        <f>J17</f>
        <v>100</v>
      </c>
      <c r="X17" s="1380"/>
      <c r="Y17" s="392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29"/>
      <c r="Q18" s="1385"/>
      <c r="R18" s="1386"/>
      <c r="S18" s="1387"/>
      <c r="T18" s="1386"/>
      <c r="U18" s="1387"/>
      <c r="V18" s="1386"/>
      <c r="W18" s="1387"/>
      <c r="X18" s="1380"/>
      <c r="Y18" s="3929"/>
      <c r="Z18" s="1388"/>
      <c r="AA18" s="1389">
        <v>1</v>
      </c>
      <c r="AB18" s="1389">
        <v>1</v>
      </c>
      <c r="AC18" s="1389">
        <v>1</v>
      </c>
    </row>
    <row r="19" spans="1:29" ht="42.75">
      <c r="A19" s="502"/>
      <c r="B19" s="2207" t="s">
        <v>1826</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29"/>
      <c r="Q19" s="1385" t="str">
        <f>B19</f>
        <v>公共配套设施</v>
      </c>
      <c r="R19" s="1386" t="s">
        <v>5</v>
      </c>
      <c r="S19" s="1387">
        <f>F19</f>
        <v>100</v>
      </c>
      <c r="T19" s="1386" t="s">
        <v>5</v>
      </c>
      <c r="U19" s="1387">
        <f>H19</f>
        <v>100</v>
      </c>
      <c r="V19" s="1386" t="s">
        <v>5</v>
      </c>
      <c r="W19" s="1387">
        <f>J19</f>
        <v>100</v>
      </c>
      <c r="X19" s="1380"/>
      <c r="Y19" s="392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929"/>
      <c r="Q20" s="1385"/>
      <c r="R20" s="1386"/>
      <c r="S20" s="1387"/>
      <c r="T20" s="1386"/>
      <c r="U20" s="1387"/>
      <c r="V20" s="1386"/>
      <c r="W20" s="1387"/>
      <c r="X20" s="1380"/>
      <c r="Y20" s="3929"/>
      <c r="Z20" s="1388"/>
      <c r="AA20" s="1389">
        <v>1</v>
      </c>
      <c r="AB20" s="1389">
        <v>1</v>
      </c>
      <c r="AC20" s="1389">
        <v>1</v>
      </c>
    </row>
    <row r="21" spans="1:29" ht="28.5">
      <c r="A21" s="502"/>
      <c r="B21" s="2200" t="s">
        <v>1838</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29"/>
      <c r="Q21" s="2192" t="str">
        <f>B21</f>
        <v>基础设施水平</v>
      </c>
      <c r="R21" s="1386" t="s">
        <v>5</v>
      </c>
      <c r="S21" s="1387">
        <f>F21</f>
        <v>100</v>
      </c>
      <c r="T21" s="1386" t="s">
        <v>5</v>
      </c>
      <c r="U21" s="1387">
        <f>H21</f>
        <v>100</v>
      </c>
      <c r="V21" s="1386" t="s">
        <v>5</v>
      </c>
      <c r="W21" s="1387">
        <f>J21</f>
        <v>100</v>
      </c>
      <c r="X21" s="2194"/>
      <c r="Y21" s="3929"/>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929"/>
      <c r="Q22" s="2192"/>
      <c r="R22" s="1386"/>
      <c r="S22" s="1387"/>
      <c r="T22" s="1386"/>
      <c r="U22" s="1387"/>
      <c r="V22" s="1386"/>
      <c r="W22" s="1387"/>
      <c r="X22" s="2194"/>
      <c r="Y22" s="3929"/>
      <c r="Z22" s="2193"/>
      <c r="AA22" s="1389">
        <v>1</v>
      </c>
      <c r="AB22" s="1389">
        <v>1</v>
      </c>
      <c r="AC22" s="1389">
        <v>1</v>
      </c>
    </row>
    <row r="23" spans="1:29" ht="57">
      <c r="A23" s="502"/>
      <c r="B23" s="834" t="s">
        <v>262</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29"/>
      <c r="Q23" s="1385" t="str">
        <f>B23</f>
        <v>自然及人文环境</v>
      </c>
      <c r="R23" s="1386" t="s">
        <v>5</v>
      </c>
      <c r="S23" s="1387">
        <f>F23</f>
        <v>100</v>
      </c>
      <c r="T23" s="1386" t="s">
        <v>5</v>
      </c>
      <c r="U23" s="1387">
        <f>H23</f>
        <v>100</v>
      </c>
      <c r="V23" s="1386" t="s">
        <v>5</v>
      </c>
      <c r="W23" s="1387">
        <f>J23</f>
        <v>100</v>
      </c>
      <c r="X23" s="1380"/>
      <c r="Y23" s="392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929"/>
      <c r="Q24" s="1385"/>
      <c r="R24" s="1386"/>
      <c r="S24" s="1387"/>
      <c r="T24" s="1386"/>
      <c r="U24" s="1387"/>
      <c r="V24" s="1386"/>
      <c r="W24" s="1387"/>
      <c r="X24" s="1380"/>
      <c r="Y24" s="3929"/>
      <c r="Z24" s="1388"/>
      <c r="AA24" s="1389">
        <v>1</v>
      </c>
      <c r="AB24" s="1389">
        <v>1</v>
      </c>
      <c r="AC24" s="1389">
        <v>1</v>
      </c>
    </row>
    <row r="25" spans="1:29" ht="15">
      <c r="A25" s="502"/>
      <c r="B25" s="497" t="s">
        <v>495</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29"/>
      <c r="Q25" s="1385" t="str">
        <f t="shared" ref="Q25:Q46" si="8">B25</f>
        <v>临街状况</v>
      </c>
      <c r="R25" s="1386" t="s">
        <v>5</v>
      </c>
      <c r="S25" s="1387">
        <f>F25</f>
        <v>100</v>
      </c>
      <c r="T25" s="1386" t="s">
        <v>5</v>
      </c>
      <c r="U25" s="1387">
        <f>H25</f>
        <v>100</v>
      </c>
      <c r="V25" s="1386" t="s">
        <v>5</v>
      </c>
      <c r="W25" s="1387">
        <f>J25</f>
        <v>100</v>
      </c>
      <c r="X25" s="1380"/>
      <c r="Y25" s="3929"/>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29"/>
      <c r="Q26" s="1385" t="str">
        <f t="shared" si="8"/>
        <v>平面位置/可视性</v>
      </c>
      <c r="R26" s="1386" t="s">
        <v>5</v>
      </c>
      <c r="S26" s="1387">
        <f>F26</f>
        <v>100</v>
      </c>
      <c r="T26" s="1386" t="s">
        <v>5</v>
      </c>
      <c r="U26" s="1387">
        <f>H26</f>
        <v>100</v>
      </c>
      <c r="V26" s="1386" t="s">
        <v>5</v>
      </c>
      <c r="W26" s="1387">
        <f>J26</f>
        <v>100</v>
      </c>
      <c r="X26" s="1380"/>
      <c r="Y26" s="3929"/>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29"/>
      <c r="Q27" s="1050" t="str">
        <f t="shared" si="8"/>
        <v>人流量</v>
      </c>
      <c r="R27" s="1381" t="s">
        <v>5</v>
      </c>
      <c r="S27" s="1382">
        <f>F27</f>
        <v>100</v>
      </c>
      <c r="T27" s="1381" t="s">
        <v>5</v>
      </c>
      <c r="U27" s="1382">
        <f>H27</f>
        <v>100</v>
      </c>
      <c r="V27" s="1381" t="s">
        <v>5</v>
      </c>
      <c r="W27" s="1382">
        <f>J27</f>
        <v>100</v>
      </c>
      <c r="X27" s="1383"/>
      <c r="Y27" s="3929"/>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29"/>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9"/>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29"/>
      <c r="Q29" s="1385">
        <f t="shared" si="8"/>
        <v>111</v>
      </c>
      <c r="R29" s="1386" t="s">
        <v>5</v>
      </c>
      <c r="S29" s="1387">
        <f t="shared" si="9"/>
        <v>100</v>
      </c>
      <c r="T29" s="1386" t="s">
        <v>5</v>
      </c>
      <c r="U29" s="1387">
        <f t="shared" si="10"/>
        <v>100</v>
      </c>
      <c r="V29" s="1386" t="s">
        <v>5</v>
      </c>
      <c r="W29" s="1387">
        <f t="shared" si="11"/>
        <v>100</v>
      </c>
      <c r="X29" s="1380"/>
      <c r="Y29" s="392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29"/>
      <c r="Q30" s="1385">
        <f t="shared" si="8"/>
        <v>111</v>
      </c>
      <c r="R30" s="1386" t="s">
        <v>5</v>
      </c>
      <c r="S30" s="1387">
        <f t="shared" si="9"/>
        <v>100</v>
      </c>
      <c r="T30" s="1386" t="s">
        <v>5</v>
      </c>
      <c r="U30" s="1387">
        <f t="shared" si="10"/>
        <v>100</v>
      </c>
      <c r="V30" s="1386" t="s">
        <v>5</v>
      </c>
      <c r="W30" s="1387">
        <f t="shared" si="11"/>
        <v>100</v>
      </c>
      <c r="X30" s="1380"/>
      <c r="Y30" s="3929"/>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29"/>
      <c r="Q31" s="1385">
        <f t="shared" si="8"/>
        <v>111</v>
      </c>
      <c r="R31" s="1386" t="s">
        <v>5</v>
      </c>
      <c r="S31" s="1387">
        <f t="shared" si="9"/>
        <v>100</v>
      </c>
      <c r="T31" s="1386" t="s">
        <v>5</v>
      </c>
      <c r="U31" s="1387">
        <f t="shared" si="10"/>
        <v>100</v>
      </c>
      <c r="V31" s="1386" t="s">
        <v>5</v>
      </c>
      <c r="W31" s="1387">
        <f t="shared" si="11"/>
        <v>100</v>
      </c>
      <c r="X31" s="1380"/>
      <c r="Y31" s="3929"/>
      <c r="Z31" s="1388">
        <f t="shared" si="12"/>
        <v>111</v>
      </c>
      <c r="AA31" s="1389">
        <f t="shared" si="3"/>
        <v>1</v>
      </c>
      <c r="AB31" s="1389">
        <f t="shared" si="4"/>
        <v>1</v>
      </c>
      <c r="AC31" s="1389">
        <f t="shared" si="5"/>
        <v>1</v>
      </c>
    </row>
    <row r="32" spans="1:29" ht="15">
      <c r="A32" s="2386" t="s">
        <v>2034</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30" t="s">
        <v>498</v>
      </c>
      <c r="Q32" s="1385" t="str">
        <f t="shared" si="8"/>
        <v>商业类型</v>
      </c>
      <c r="R32" s="1386" t="s">
        <v>5</v>
      </c>
      <c r="S32" s="1387">
        <f t="shared" si="9"/>
        <v>100</v>
      </c>
      <c r="T32" s="1386" t="s">
        <v>5</v>
      </c>
      <c r="U32" s="1387">
        <f t="shared" si="10"/>
        <v>100</v>
      </c>
      <c r="V32" s="1386" t="s">
        <v>5</v>
      </c>
      <c r="W32" s="1387">
        <f t="shared" si="11"/>
        <v>100</v>
      </c>
      <c r="X32" s="1380"/>
      <c r="Y32" s="3931" t="s">
        <v>498</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31"/>
      <c r="Q33" s="1414" t="str">
        <f t="shared" si="8"/>
        <v>项目建筑规模</v>
      </c>
      <c r="R33" s="1390" t="s">
        <v>5</v>
      </c>
      <c r="S33" s="1391" t="e">
        <f t="shared" si="9"/>
        <v>#N/A</v>
      </c>
      <c r="T33" s="1390" t="s">
        <v>5</v>
      </c>
      <c r="U33" s="1391" t="e">
        <f t="shared" si="10"/>
        <v>#N/A</v>
      </c>
      <c r="V33" s="1390" t="s">
        <v>5</v>
      </c>
      <c r="W33" s="1391" t="e">
        <f t="shared" si="11"/>
        <v>#N/A</v>
      </c>
      <c r="X33" s="1392"/>
      <c r="Y33" s="3931"/>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31"/>
      <c r="Q34" s="1385" t="str">
        <f t="shared" si="8"/>
        <v>建筑结构</v>
      </c>
      <c r="R34" s="1386" t="s">
        <v>5</v>
      </c>
      <c r="S34" s="1387">
        <f t="shared" si="9"/>
        <v>100</v>
      </c>
      <c r="T34" s="1386" t="s">
        <v>5</v>
      </c>
      <c r="U34" s="1387">
        <f t="shared" si="10"/>
        <v>100</v>
      </c>
      <c r="V34" s="1386" t="s">
        <v>5</v>
      </c>
      <c r="W34" s="1387">
        <f t="shared" si="11"/>
        <v>100</v>
      </c>
      <c r="X34" s="1380"/>
      <c r="Y34" s="3931"/>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31"/>
      <c r="Q35" s="1385" t="str">
        <f t="shared" si="8"/>
        <v>公共部分装修</v>
      </c>
      <c r="R35" s="1386" t="s">
        <v>5</v>
      </c>
      <c r="S35" s="1387">
        <f t="shared" si="9"/>
        <v>100</v>
      </c>
      <c r="T35" s="1386" t="s">
        <v>5</v>
      </c>
      <c r="U35" s="1387">
        <f t="shared" si="10"/>
        <v>100</v>
      </c>
      <c r="V35" s="1386" t="s">
        <v>5</v>
      </c>
      <c r="W35" s="1387">
        <f t="shared" si="11"/>
        <v>100</v>
      </c>
      <c r="X35" s="1380"/>
      <c r="Y35" s="3931"/>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31"/>
      <c r="Q36" s="1385" t="str">
        <f t="shared" si="8"/>
        <v>成新度</v>
      </c>
      <c r="R36" s="1386" t="s">
        <v>5</v>
      </c>
      <c r="S36" s="1387" t="e">
        <f t="shared" si="9"/>
        <v>#N/A</v>
      </c>
      <c r="T36" s="1386" t="s">
        <v>5</v>
      </c>
      <c r="U36" s="1387" t="e">
        <f t="shared" si="10"/>
        <v>#N/A</v>
      </c>
      <c r="V36" s="1386" t="s">
        <v>5</v>
      </c>
      <c r="W36" s="1387" t="e">
        <f t="shared" si="11"/>
        <v>#N/A</v>
      </c>
      <c r="X36" s="1380"/>
      <c r="Y36" s="3931"/>
      <c r="Z36" s="1388" t="str">
        <f t="shared" si="12"/>
        <v>成新度</v>
      </c>
      <c r="AA36" s="1389" t="e">
        <f t="shared" si="3"/>
        <v>#N/A</v>
      </c>
      <c r="AB36" s="1389" t="e">
        <f t="shared" si="4"/>
        <v>#N/A</v>
      </c>
      <c r="AC36" s="1389" t="e">
        <f t="shared" si="5"/>
        <v>#N/A</v>
      </c>
    </row>
    <row r="37" spans="1:29" s="1118" customFormat="1" ht="15">
      <c r="A37" s="570"/>
      <c r="B37" s="1650" t="s">
        <v>1845</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31"/>
      <c r="Q37" s="1050" t="str">
        <f t="shared" si="8"/>
        <v>市政基础设施</v>
      </c>
      <c r="R37" s="1381" t="s">
        <v>5</v>
      </c>
      <c r="S37" s="1382">
        <f t="shared" si="9"/>
        <v>100</v>
      </c>
      <c r="T37" s="1381" t="s">
        <v>5</v>
      </c>
      <c r="U37" s="1382">
        <f t="shared" si="10"/>
        <v>100</v>
      </c>
      <c r="V37" s="1381" t="s">
        <v>5</v>
      </c>
      <c r="W37" s="1382">
        <f t="shared" si="11"/>
        <v>100</v>
      </c>
      <c r="X37" s="1383"/>
      <c r="Y37" s="3931"/>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31" t="s">
        <v>705</v>
      </c>
      <c r="Q38" s="1385" t="str">
        <f t="shared" si="8"/>
        <v>业态</v>
      </c>
      <c r="R38" s="1386" t="s">
        <v>5</v>
      </c>
      <c r="S38" s="1387">
        <f t="shared" si="9"/>
        <v>100</v>
      </c>
      <c r="T38" s="1386" t="s">
        <v>5</v>
      </c>
      <c r="U38" s="1387">
        <f t="shared" si="10"/>
        <v>100</v>
      </c>
      <c r="V38" s="1386" t="s">
        <v>5</v>
      </c>
      <c r="W38" s="1387">
        <f t="shared" si="11"/>
        <v>100</v>
      </c>
      <c r="X38" s="1380"/>
      <c r="Y38" s="3931"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31"/>
      <c r="Q39" s="1385" t="str">
        <f t="shared" si="8"/>
        <v>层高</v>
      </c>
      <c r="R39" s="1386" t="s">
        <v>5</v>
      </c>
      <c r="S39" s="1387">
        <f t="shared" si="9"/>
        <v>100</v>
      </c>
      <c r="T39" s="1386" t="s">
        <v>5</v>
      </c>
      <c r="U39" s="1387">
        <f t="shared" si="10"/>
        <v>100</v>
      </c>
      <c r="V39" s="1386" t="s">
        <v>5</v>
      </c>
      <c r="W39" s="1387">
        <f t="shared" si="11"/>
        <v>100</v>
      </c>
      <c r="X39" s="1380"/>
      <c r="Y39" s="3931"/>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31"/>
      <c r="Q40" s="1385" t="str">
        <f t="shared" si="8"/>
        <v>单套建筑面积</v>
      </c>
      <c r="R40" s="1386" t="s">
        <v>5</v>
      </c>
      <c r="S40" s="1387">
        <f t="shared" si="9"/>
        <v>100</v>
      </c>
      <c r="T40" s="1386" t="s">
        <v>5</v>
      </c>
      <c r="U40" s="1387">
        <f t="shared" si="10"/>
        <v>100</v>
      </c>
      <c r="V40" s="1386" t="s">
        <v>5</v>
      </c>
      <c r="W40" s="1387">
        <f t="shared" si="11"/>
        <v>100</v>
      </c>
      <c r="X40" s="1380"/>
      <c r="Y40" s="3931"/>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31"/>
      <c r="Q41" s="1414" t="str">
        <f t="shared" si="8"/>
        <v>进深比</v>
      </c>
      <c r="R41" s="1390" t="s">
        <v>5</v>
      </c>
      <c r="S41" s="1391">
        <f t="shared" si="9"/>
        <v>100</v>
      </c>
      <c r="T41" s="1390" t="s">
        <v>5</v>
      </c>
      <c r="U41" s="1391">
        <f t="shared" si="10"/>
        <v>100</v>
      </c>
      <c r="V41" s="1390" t="s">
        <v>5</v>
      </c>
      <c r="W41" s="1391">
        <f t="shared" si="11"/>
        <v>100</v>
      </c>
      <c r="X41" s="1392"/>
      <c r="Y41" s="3931"/>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31"/>
      <c r="Q42" s="1385" t="str">
        <f t="shared" si="8"/>
        <v>内部装修</v>
      </c>
      <c r="R42" s="1386" t="s">
        <v>5</v>
      </c>
      <c r="S42" s="1387">
        <f t="shared" si="9"/>
        <v>100</v>
      </c>
      <c r="T42" s="1386" t="s">
        <v>5</v>
      </c>
      <c r="U42" s="1387">
        <f t="shared" si="10"/>
        <v>100</v>
      </c>
      <c r="V42" s="1386" t="s">
        <v>5</v>
      </c>
      <c r="W42" s="1387">
        <f t="shared" si="11"/>
        <v>100</v>
      </c>
      <c r="X42" s="1380"/>
      <c r="Y42" s="3931"/>
      <c r="Z42" s="1388" t="str">
        <f t="shared" si="12"/>
        <v>内部装修</v>
      </c>
      <c r="AA42" s="1389">
        <f t="shared" si="3"/>
        <v>1</v>
      </c>
      <c r="AB42" s="1389">
        <f t="shared" si="4"/>
        <v>1</v>
      </c>
      <c r="AC42" s="1389">
        <f t="shared" si="5"/>
        <v>1</v>
      </c>
    </row>
    <row r="43" spans="1:29" ht="27">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31"/>
      <c r="Q43" s="1385" t="str">
        <f t="shared" si="8"/>
        <v>内部装修维护情况</v>
      </c>
      <c r="R43" s="1386" t="s">
        <v>5</v>
      </c>
      <c r="S43" s="1387">
        <f t="shared" si="9"/>
        <v>100</v>
      </c>
      <c r="T43" s="1386" t="s">
        <v>5</v>
      </c>
      <c r="U43" s="1387">
        <f t="shared" si="10"/>
        <v>100</v>
      </c>
      <c r="V43" s="1386" t="s">
        <v>5</v>
      </c>
      <c r="W43" s="1387">
        <f t="shared" si="11"/>
        <v>100</v>
      </c>
      <c r="X43" s="1380"/>
      <c r="Y43" s="393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31"/>
      <c r="Q44" s="1050">
        <f t="shared" si="8"/>
        <v>111</v>
      </c>
      <c r="R44" s="1381" t="s">
        <v>5</v>
      </c>
      <c r="S44" s="1382">
        <f t="shared" si="9"/>
        <v>100</v>
      </c>
      <c r="T44" s="1381" t="s">
        <v>5</v>
      </c>
      <c r="U44" s="1382">
        <f t="shared" si="10"/>
        <v>100</v>
      </c>
      <c r="V44" s="1381" t="s">
        <v>5</v>
      </c>
      <c r="W44" s="1382">
        <f t="shared" si="11"/>
        <v>100</v>
      </c>
      <c r="X44" s="1383"/>
      <c r="Y44" s="393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31"/>
      <c r="Q45" s="1385">
        <f t="shared" si="8"/>
        <v>111</v>
      </c>
      <c r="R45" s="1386" t="s">
        <v>5</v>
      </c>
      <c r="S45" s="1387">
        <f t="shared" si="9"/>
        <v>100</v>
      </c>
      <c r="T45" s="1386" t="s">
        <v>5</v>
      </c>
      <c r="U45" s="1387">
        <f t="shared" si="10"/>
        <v>100</v>
      </c>
      <c r="V45" s="1386" t="s">
        <v>5</v>
      </c>
      <c r="W45" s="1387">
        <f t="shared" si="11"/>
        <v>100</v>
      </c>
      <c r="X45" s="1380"/>
      <c r="Y45" s="3931"/>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07"/>
      <c r="Q46" s="1385">
        <f t="shared" si="8"/>
        <v>111</v>
      </c>
      <c r="R46" s="1386" t="s">
        <v>5</v>
      </c>
      <c r="S46" s="1387">
        <f t="shared" si="9"/>
        <v>100</v>
      </c>
      <c r="T46" s="1386" t="s">
        <v>5</v>
      </c>
      <c r="U46" s="1387">
        <f t="shared" si="10"/>
        <v>100</v>
      </c>
      <c r="V46" s="1386" t="s">
        <v>5</v>
      </c>
      <c r="W46" s="1387">
        <f t="shared" si="11"/>
        <v>100</v>
      </c>
      <c r="X46" s="1380"/>
      <c r="Y46" s="4007"/>
      <c r="Z46" s="1388">
        <f t="shared" si="12"/>
        <v>111</v>
      </c>
      <c r="AA46" s="1389">
        <f t="shared" si="3"/>
        <v>1</v>
      </c>
      <c r="AB46" s="1389">
        <f t="shared" si="4"/>
        <v>1</v>
      </c>
      <c r="AC46" s="1389">
        <f t="shared" si="5"/>
        <v>1</v>
      </c>
    </row>
    <row r="47" spans="1:29" ht="15">
      <c r="A47" s="577" t="s">
        <v>682</v>
      </c>
      <c r="B47" s="850"/>
      <c r="C47" s="2233" t="s">
        <v>0</v>
      </c>
      <c r="D47" s="2234"/>
      <c r="E47" s="2235"/>
      <c r="F47" s="2236"/>
      <c r="G47" s="2237"/>
      <c r="H47" s="2238"/>
      <c r="I47" s="2235"/>
      <c r="J47" s="2238"/>
      <c r="K47" s="1419"/>
      <c r="L47" s="1866"/>
      <c r="M47" s="1867"/>
      <c r="N47" s="1856"/>
      <c r="O47" s="1867"/>
      <c r="P47" s="3895" t="str">
        <f>A47</f>
        <v>成交单价（元/平方米）</v>
      </c>
      <c r="Q47" s="3895"/>
      <c r="R47" s="4006">
        <f>E47</f>
        <v>0</v>
      </c>
      <c r="S47" s="4006"/>
      <c r="T47" s="4006">
        <f>G47</f>
        <v>0</v>
      </c>
      <c r="U47" s="4006"/>
      <c r="V47" s="4006">
        <f>I47</f>
        <v>0</v>
      </c>
      <c r="W47" s="4006"/>
      <c r="X47" s="1375"/>
      <c r="Y47" s="1394"/>
      <c r="Z47" s="1375"/>
      <c r="AA47" s="1375"/>
      <c r="AB47" s="1375"/>
      <c r="AC47" s="1375"/>
    </row>
    <row r="48" spans="1:29" ht="15.75" thickBot="1">
      <c r="A48" s="585" t="s">
        <v>2039</v>
      </c>
      <c r="B48" s="851"/>
      <c r="C48" s="2239" t="e">
        <f>R49</f>
        <v>#DIV/0!</v>
      </c>
      <c r="D48" s="2756" t="s">
        <v>2257</v>
      </c>
      <c r="E48" s="2240" t="e">
        <f>R48</f>
        <v>#DIV/0!</v>
      </c>
      <c r="F48" s="2757"/>
      <c r="G48" s="2239" t="e">
        <f>T48</f>
        <v>#DIV/0!</v>
      </c>
      <c r="H48" s="2757"/>
      <c r="I48" s="2240" t="e">
        <f>V48</f>
        <v>#DIV/0!</v>
      </c>
      <c r="J48" s="2757"/>
      <c r="K48" s="2765">
        <f>F48+H48+J48</f>
        <v>0</v>
      </c>
      <c r="L48" s="1866"/>
      <c r="M48" s="1867"/>
      <c r="N48" s="1856"/>
      <c r="O48" s="1867"/>
      <c r="P48" s="3895" t="str">
        <f>A48</f>
        <v>比较价格（元/平方米）</v>
      </c>
      <c r="Q48" s="3895"/>
      <c r="R48" s="4006" t="e">
        <f>IF(F1="售价",ROUND(PRODUCT(R47,AA7:AA46),0),ROUND(PRODUCT(R47,AA7:AA46),1))</f>
        <v>#DIV/0!</v>
      </c>
      <c r="S48" s="4006"/>
      <c r="T48" s="4006" t="e">
        <f>IF(F1="售价",ROUND(PRODUCT(T47,AB7:AB46),0),ROUND(PRODUCT(T47,AB7:AB46),1))</f>
        <v>#DIV/0!</v>
      </c>
      <c r="U48" s="4006"/>
      <c r="V48" s="4006" t="e">
        <f>IF(F1="售价",ROUND(PRODUCT(V47,AC7:AC46),0),ROUND(PRODUCT(V47,AC7:AC46),1))</f>
        <v>#DIV/0!</v>
      </c>
      <c r="W48" s="4006"/>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20"/>
      <c r="L49" s="1866"/>
      <c r="M49" s="1867"/>
      <c r="N49" s="1856"/>
      <c r="O49" s="1867"/>
      <c r="P49" s="3932" t="str">
        <f>A49</f>
        <v>估价对象XX用房的比较价格（楼面单价，元/平方米）</v>
      </c>
      <c r="Q49" s="3933"/>
      <c r="R49" s="4005" t="e">
        <f>IF(F1="售价",ROUND(IF(D48="简单平均",AVERAGE(R48:V48),R48*F48+T48*H48+V48*J48),0),ROUND(IF(D48="简单平均",AVERAGE(R48:V48),R48*F48+T48*H48+V48*J48),1))</f>
        <v>#DIV/0!</v>
      </c>
      <c r="S49" s="4005"/>
      <c r="T49" s="4005"/>
      <c r="U49" s="4005"/>
      <c r="V49" s="4005"/>
      <c r="W49" s="4005"/>
      <c r="X49" s="1375"/>
      <c r="Y49" s="1375"/>
      <c r="Z49" s="1375"/>
      <c r="AA49" s="1375"/>
      <c r="AB49" s="1375"/>
      <c r="AC49" s="1375"/>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7"/>
      <c r="B54" s="2957"/>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521</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477</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522</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479</v>
      </c>
      <c r="B61" s="616"/>
      <c r="C61" s="628" t="s">
        <v>523</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524</v>
      </c>
      <c r="B63" s="633" t="s">
        <v>482</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485</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487</v>
      </c>
      <c r="B76" s="633" t="s">
        <v>525</v>
      </c>
      <c r="C76" s="671" t="s">
        <v>526</v>
      </c>
      <c r="D76" s="671" t="s">
        <v>527</v>
      </c>
      <c r="E76" s="671" t="s">
        <v>528</v>
      </c>
      <c r="F76" s="671" t="s">
        <v>529</v>
      </c>
      <c r="G76" s="671" t="s">
        <v>530</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533</v>
      </c>
      <c r="C78" s="676" t="s">
        <v>526</v>
      </c>
      <c r="D78" s="676" t="s">
        <v>527</v>
      </c>
      <c r="E78" s="676" t="s">
        <v>528</v>
      </c>
      <c r="F78" s="676" t="s">
        <v>529</v>
      </c>
      <c r="G78" s="676" t="s">
        <v>530</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526</v>
      </c>
      <c r="D80" s="676" t="s">
        <v>527</v>
      </c>
      <c r="E80" s="676" t="s">
        <v>528</v>
      </c>
      <c r="F80" s="676" t="s">
        <v>529</v>
      </c>
      <c r="G80" s="676" t="s">
        <v>530</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683</v>
      </c>
      <c r="C84" s="676" t="s">
        <v>526</v>
      </c>
      <c r="D84" s="676" t="s">
        <v>527</v>
      </c>
      <c r="E84" s="676" t="s">
        <v>528</v>
      </c>
      <c r="F84" s="676" t="s">
        <v>529</v>
      </c>
      <c r="G84" s="676" t="s">
        <v>530</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710</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499</v>
      </c>
      <c r="B100" s="633" t="s">
        <v>711</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688</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1836</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712</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713</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714</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715</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694</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32" sqref="J3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716</v>
      </c>
      <c r="C1" s="474" t="s">
        <v>666</v>
      </c>
      <c r="D1" s="814"/>
      <c r="E1" s="476"/>
      <c r="F1" s="2286"/>
      <c r="G1" s="1410" t="s">
        <v>667</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7" customFormat="1" ht="28.5" customHeight="1">
      <c r="A2" s="410" t="s">
        <v>426</v>
      </c>
      <c r="B2" s="815"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7" customFormat="1" ht="28.5" customHeight="1" thickBot="1">
      <c r="A3" s="479" t="s">
        <v>467</v>
      </c>
      <c r="B3" s="480" t="e">
        <f>C50</f>
        <v>#DIV/0!</v>
      </c>
      <c r="C3" s="817" t="s">
        <v>668</v>
      </c>
      <c r="D3" s="816">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469</v>
      </c>
      <c r="B4" s="483"/>
      <c r="C4" s="3901" t="s">
        <v>470</v>
      </c>
      <c r="D4" s="3902"/>
      <c r="E4" s="3936" t="s">
        <v>471</v>
      </c>
      <c r="F4" s="3937"/>
      <c r="G4" s="3901" t="s">
        <v>472</v>
      </c>
      <c r="H4" s="3902"/>
      <c r="I4" s="3901" t="s">
        <v>473</v>
      </c>
      <c r="J4" s="3902"/>
      <c r="K4" s="484" t="s">
        <v>474</v>
      </c>
      <c r="L4" s="1855"/>
      <c r="M4" s="1856"/>
      <c r="N4" s="1856"/>
      <c r="O4" s="1856"/>
      <c r="P4" s="4009" t="s">
        <v>475</v>
      </c>
      <c r="Q4" s="3904"/>
      <c r="R4" s="3909" t="s">
        <v>471</v>
      </c>
      <c r="S4" s="3910"/>
      <c r="T4" s="3909" t="s">
        <v>472</v>
      </c>
      <c r="U4" s="3910"/>
      <c r="V4" s="3896" t="s">
        <v>473</v>
      </c>
      <c r="W4" s="3896"/>
      <c r="X4" s="1380"/>
      <c r="Y4" s="3909" t="s">
        <v>475</v>
      </c>
      <c r="Z4" s="3910"/>
      <c r="AA4" s="3898" t="s">
        <v>471</v>
      </c>
      <c r="AB4" s="3898" t="s">
        <v>472</v>
      </c>
      <c r="AC4" s="3898" t="s">
        <v>473</v>
      </c>
    </row>
    <row r="5" spans="1:29" ht="15">
      <c r="A5" s="485"/>
      <c r="B5" s="486"/>
      <c r="C5" s="3917" t="s">
        <v>2188</v>
      </c>
      <c r="D5" s="3918"/>
      <c r="E5" s="3938" t="s">
        <v>2189</v>
      </c>
      <c r="F5" s="3939"/>
      <c r="G5" s="3917" t="s">
        <v>2190</v>
      </c>
      <c r="H5" s="3918"/>
      <c r="I5" s="3917" t="s">
        <v>2191</v>
      </c>
      <c r="J5" s="3918"/>
      <c r="K5" s="484"/>
      <c r="L5" s="1855"/>
      <c r="M5" s="1856"/>
      <c r="N5" s="1856"/>
      <c r="O5" s="1856"/>
      <c r="P5" s="4010"/>
      <c r="Q5" s="3906"/>
      <c r="R5" s="3911"/>
      <c r="S5" s="3912"/>
      <c r="T5" s="3911"/>
      <c r="U5" s="3912"/>
      <c r="V5" s="3896"/>
      <c r="W5" s="3896"/>
      <c r="X5" s="1380"/>
      <c r="Y5" s="3911"/>
      <c r="Z5" s="3912"/>
      <c r="AA5" s="3899"/>
      <c r="AB5" s="3899"/>
      <c r="AC5" s="3899"/>
    </row>
    <row r="6" spans="1:29" ht="15.75" thickBot="1">
      <c r="A6" s="487"/>
      <c r="B6" s="488"/>
      <c r="C6" s="3915" t="s">
        <v>2192</v>
      </c>
      <c r="D6" s="3916"/>
      <c r="E6" s="3934" t="s">
        <v>2192</v>
      </c>
      <c r="F6" s="3935"/>
      <c r="G6" s="3915" t="s">
        <v>2192</v>
      </c>
      <c r="H6" s="3916"/>
      <c r="I6" s="3915" t="s">
        <v>2192</v>
      </c>
      <c r="J6" s="3916"/>
      <c r="K6" s="484" t="s">
        <v>476</v>
      </c>
      <c r="L6" s="1855"/>
      <c r="M6" s="1856"/>
      <c r="N6" s="1856"/>
      <c r="O6" s="1856"/>
      <c r="P6" s="4011"/>
      <c r="Q6" s="3908"/>
      <c r="R6" s="3911"/>
      <c r="S6" s="3912"/>
      <c r="T6" s="3913"/>
      <c r="U6" s="3914"/>
      <c r="V6" s="3896"/>
      <c r="W6" s="3896"/>
      <c r="X6" s="1380"/>
      <c r="Y6" s="3913"/>
      <c r="Z6" s="3914"/>
      <c r="AA6" s="3900"/>
      <c r="AB6" s="3900"/>
      <c r="AC6" s="3900"/>
    </row>
    <row r="7" spans="1:29" s="1118" customFormat="1" ht="15.75" thickBot="1">
      <c r="A7" s="2391"/>
      <c r="B7" s="2398" t="s">
        <v>477</v>
      </c>
      <c r="C7" s="489">
        <f>'数据-取费表'!B2</f>
        <v>44942</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27" t="s">
        <v>478</v>
      </c>
      <c r="Q7" s="3927"/>
      <c r="R7" s="1381" t="s">
        <v>5</v>
      </c>
      <c r="S7" s="1382">
        <f t="shared" ref="S7:S15" si="0">F7</f>
        <v>0</v>
      </c>
      <c r="T7" s="1381" t="s">
        <v>5</v>
      </c>
      <c r="U7" s="1382">
        <f t="shared" ref="U7:U15" si="1">H7</f>
        <v>0</v>
      </c>
      <c r="V7" s="1381" t="s">
        <v>5</v>
      </c>
      <c r="W7" s="1382">
        <f t="shared" ref="W7:W15" si="2">J7</f>
        <v>0</v>
      </c>
      <c r="X7" s="1383"/>
      <c r="Y7" s="3925" t="s">
        <v>478</v>
      </c>
      <c r="Z7" s="3926"/>
      <c r="AA7" s="1384" t="e">
        <f>D7/F7</f>
        <v>#DIV/0!</v>
      </c>
      <c r="AB7" s="1384" t="e">
        <f>D7/H7</f>
        <v>#DIV/0!</v>
      </c>
      <c r="AC7" s="1384" t="e">
        <f>D7/J7</f>
        <v>#DIV/0!</v>
      </c>
    </row>
    <row r="8" spans="1:29" s="1118" customFormat="1" ht="15.75" thickBot="1">
      <c r="A8" s="2392"/>
      <c r="B8" s="2399" t="s">
        <v>479</v>
      </c>
      <c r="C8" s="495" t="s">
        <v>523</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27" t="s">
        <v>481</v>
      </c>
      <c r="Q8" s="3926"/>
      <c r="R8" s="1381" t="s">
        <v>5</v>
      </c>
      <c r="S8" s="1382">
        <f t="shared" si="0"/>
        <v>0</v>
      </c>
      <c r="T8" s="1381" t="s">
        <v>5</v>
      </c>
      <c r="U8" s="1382">
        <f t="shared" si="1"/>
        <v>0</v>
      </c>
      <c r="V8" s="1381" t="s">
        <v>5</v>
      </c>
      <c r="W8" s="1382">
        <f t="shared" si="2"/>
        <v>0</v>
      </c>
      <c r="X8" s="1383"/>
      <c r="Y8" s="3925" t="s">
        <v>481</v>
      </c>
      <c r="Z8" s="3926"/>
      <c r="AA8" s="1384" t="e">
        <f t="shared" ref="AA8:AA47" si="3">D8/F8</f>
        <v>#DIV/0!</v>
      </c>
      <c r="AB8" s="1384" t="e">
        <f t="shared" ref="AB8:AB47" si="4">D8/H8</f>
        <v>#DIV/0!</v>
      </c>
      <c r="AC8" s="1384" t="e">
        <f t="shared" ref="AC8:AC47" si="5">D8/J8</f>
        <v>#DIV/0!</v>
      </c>
    </row>
    <row r="9" spans="1:29" s="1118" customFormat="1" ht="15">
      <c r="A9" s="2393"/>
      <c r="B9" s="2400" t="s">
        <v>2035</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95" t="s">
        <v>483</v>
      </c>
      <c r="Q9" s="1050" t="str">
        <f t="shared" ref="Q9:Q15" si="6">B9</f>
        <v>用途</v>
      </c>
      <c r="R9" s="1381" t="s">
        <v>5</v>
      </c>
      <c r="S9" s="1382">
        <f t="shared" si="0"/>
        <v>100</v>
      </c>
      <c r="T9" s="1381" t="s">
        <v>5</v>
      </c>
      <c r="U9" s="1382">
        <f t="shared" si="1"/>
        <v>100</v>
      </c>
      <c r="V9" s="1381" t="s">
        <v>5</v>
      </c>
      <c r="W9" s="1382">
        <f t="shared" si="2"/>
        <v>100</v>
      </c>
      <c r="X9" s="1383"/>
      <c r="Y9" s="3824" t="s">
        <v>484</v>
      </c>
      <c r="Z9" s="1049" t="str">
        <f t="shared" ref="Z9:Z15" si="7">Q9</f>
        <v>用途</v>
      </c>
      <c r="AA9" s="1384">
        <f t="shared" si="3"/>
        <v>1</v>
      </c>
      <c r="AB9" s="1384">
        <f t="shared" si="4"/>
        <v>1</v>
      </c>
      <c r="AC9" s="1384">
        <f t="shared" si="5"/>
        <v>1</v>
      </c>
    </row>
    <row r="10" spans="1:29" s="1199" customFormat="1" ht="27">
      <c r="A10" s="2394"/>
      <c r="B10" s="2399" t="s">
        <v>2036</v>
      </c>
      <c r="C10" s="3659"/>
      <c r="D10" s="246">
        <v>100</v>
      </c>
      <c r="E10" s="3659"/>
      <c r="F10" s="246">
        <f>SUMIF(66:66,E10,67:67)-SUMIF(66:66,C10,67:67)+100</f>
        <v>100</v>
      </c>
      <c r="G10" s="3660"/>
      <c r="H10" s="246">
        <f>SUMIF(66:66,G10,67:67)-SUMIF(66:66,C10,67:67)+100</f>
        <v>100</v>
      </c>
      <c r="I10" s="3659"/>
      <c r="J10" s="246">
        <f>SUMIF(66:66,I10,67:67)-SUMIF(66:66,C10,67:67)+100</f>
        <v>100</v>
      </c>
      <c r="K10" s="494"/>
      <c r="L10" s="1860"/>
      <c r="M10" s="1899"/>
      <c r="N10" s="1899"/>
      <c r="O10" s="1899"/>
      <c r="P10" s="3895"/>
      <c r="Q10" s="1050" t="str">
        <f t="shared" si="6"/>
        <v>土地使用年限（年）</v>
      </c>
      <c r="R10" s="1381" t="s">
        <v>5</v>
      </c>
      <c r="S10" s="1382">
        <f t="shared" si="0"/>
        <v>100</v>
      </c>
      <c r="T10" s="1381" t="s">
        <v>5</v>
      </c>
      <c r="U10" s="1382">
        <f t="shared" si="1"/>
        <v>100</v>
      </c>
      <c r="V10" s="1381" t="s">
        <v>5</v>
      </c>
      <c r="W10" s="1382">
        <f t="shared" si="2"/>
        <v>100</v>
      </c>
      <c r="X10" s="1383"/>
      <c r="Y10" s="3824"/>
      <c r="Z10" s="1049" t="str">
        <f t="shared" si="7"/>
        <v>土地使用年限（年）</v>
      </c>
      <c r="AA10" s="1384">
        <f t="shared" si="3"/>
        <v>1</v>
      </c>
      <c r="AB10" s="1384">
        <f t="shared" si="4"/>
        <v>1</v>
      </c>
      <c r="AC10" s="1384">
        <f t="shared" si="5"/>
        <v>1</v>
      </c>
    </row>
    <row r="11" spans="1:29" ht="15">
      <c r="A11" s="2395"/>
      <c r="B11" s="2399" t="s">
        <v>2037</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95"/>
      <c r="Q11" s="1050" t="str">
        <f t="shared" si="6"/>
        <v>容积率</v>
      </c>
      <c r="R11" s="1381" t="s">
        <v>5</v>
      </c>
      <c r="S11" s="1382" t="e">
        <f t="shared" si="0"/>
        <v>#N/A</v>
      </c>
      <c r="T11" s="1381" t="s">
        <v>5</v>
      </c>
      <c r="U11" s="1382" t="e">
        <f t="shared" si="1"/>
        <v>#N/A</v>
      </c>
      <c r="V11" s="1381" t="s">
        <v>5</v>
      </c>
      <c r="W11" s="1382" t="e">
        <f t="shared" si="2"/>
        <v>#N/A</v>
      </c>
      <c r="X11" s="1383"/>
      <c r="Y11" s="382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95"/>
      <c r="Q12" s="1050">
        <f t="shared" si="6"/>
        <v>111</v>
      </c>
      <c r="R12" s="1381" t="s">
        <v>5</v>
      </c>
      <c r="S12" s="1382">
        <f t="shared" si="0"/>
        <v>100</v>
      </c>
      <c r="T12" s="1381" t="s">
        <v>5</v>
      </c>
      <c r="U12" s="1382">
        <f t="shared" si="1"/>
        <v>100</v>
      </c>
      <c r="V12" s="1381" t="s">
        <v>5</v>
      </c>
      <c r="W12" s="1382">
        <f t="shared" si="2"/>
        <v>100</v>
      </c>
      <c r="X12" s="1383"/>
      <c r="Y12" s="3824"/>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95"/>
      <c r="Q13" s="1050">
        <f t="shared" si="6"/>
        <v>111</v>
      </c>
      <c r="R13" s="1381" t="s">
        <v>5</v>
      </c>
      <c r="S13" s="1382">
        <f t="shared" si="0"/>
        <v>100</v>
      </c>
      <c r="T13" s="1381" t="s">
        <v>5</v>
      </c>
      <c r="U13" s="1382">
        <f t="shared" si="1"/>
        <v>100</v>
      </c>
      <c r="V13" s="1381" t="s">
        <v>5</v>
      </c>
      <c r="W13" s="1382">
        <f t="shared" si="2"/>
        <v>100</v>
      </c>
      <c r="X13" s="1383"/>
      <c r="Y13" s="3824"/>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95"/>
      <c r="Q14" s="1050">
        <f t="shared" si="6"/>
        <v>111</v>
      </c>
      <c r="R14" s="1381" t="s">
        <v>5</v>
      </c>
      <c r="S14" s="1382">
        <f t="shared" si="0"/>
        <v>100</v>
      </c>
      <c r="T14" s="1381" t="s">
        <v>5</v>
      </c>
      <c r="U14" s="1382">
        <f t="shared" si="1"/>
        <v>100</v>
      </c>
      <c r="V14" s="1381" t="s">
        <v>5</v>
      </c>
      <c r="W14" s="1382">
        <f t="shared" si="2"/>
        <v>100</v>
      </c>
      <c r="X14" s="1383"/>
      <c r="Y14" s="3824"/>
      <c r="Z14" s="1049">
        <f t="shared" si="7"/>
        <v>111</v>
      </c>
      <c r="AA14" s="1384">
        <f t="shared" si="3"/>
        <v>1</v>
      </c>
      <c r="AB14" s="1384">
        <f t="shared" si="4"/>
        <v>1</v>
      </c>
      <c r="AC14" s="1384">
        <f t="shared" si="5"/>
        <v>1</v>
      </c>
    </row>
    <row r="15" spans="1:29" ht="71.25">
      <c r="A15" s="2389" t="s">
        <v>2033</v>
      </c>
      <c r="B15" s="517" t="s">
        <v>490</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28" t="s">
        <v>488</v>
      </c>
      <c r="Q15" s="1385" t="str">
        <f t="shared" si="6"/>
        <v>办公集聚程度</v>
      </c>
      <c r="R15" s="1386" t="s">
        <v>5</v>
      </c>
      <c r="S15" s="1387">
        <f t="shared" si="0"/>
        <v>100</v>
      </c>
      <c r="T15" s="1386" t="s">
        <v>5</v>
      </c>
      <c r="U15" s="1387">
        <f t="shared" si="1"/>
        <v>100</v>
      </c>
      <c r="V15" s="1386" t="s">
        <v>5</v>
      </c>
      <c r="W15" s="1387">
        <f t="shared" si="2"/>
        <v>100</v>
      </c>
      <c r="X15" s="1380"/>
      <c r="Y15" s="3928" t="s">
        <v>488</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929"/>
      <c r="Q16" s="1385"/>
      <c r="R16" s="1386"/>
      <c r="S16" s="1387"/>
      <c r="T16" s="1386"/>
      <c r="U16" s="1387"/>
      <c r="V16" s="1386"/>
      <c r="W16" s="1387"/>
      <c r="X16" s="1380"/>
      <c r="Y16" s="3929"/>
      <c r="Z16" s="1388"/>
      <c r="AA16" s="1389">
        <v>1</v>
      </c>
      <c r="AB16" s="1389">
        <v>1</v>
      </c>
      <c r="AC16" s="1389">
        <v>1</v>
      </c>
    </row>
    <row r="17" spans="1:29" ht="85.5">
      <c r="A17" s="502"/>
      <c r="B17" s="530" t="s">
        <v>261</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29"/>
      <c r="Q17" s="1385" t="str">
        <f>B17</f>
        <v>交通便捷度</v>
      </c>
      <c r="R17" s="1386" t="s">
        <v>5</v>
      </c>
      <c r="S17" s="1387">
        <f>F17</f>
        <v>100</v>
      </c>
      <c r="T17" s="1386" t="s">
        <v>5</v>
      </c>
      <c r="U17" s="1387">
        <f>H17</f>
        <v>100</v>
      </c>
      <c r="V17" s="1386" t="s">
        <v>5</v>
      </c>
      <c r="W17" s="1387">
        <f>J17</f>
        <v>100</v>
      </c>
      <c r="X17" s="1380"/>
      <c r="Y17" s="3929"/>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929"/>
      <c r="Q18" s="1385"/>
      <c r="R18" s="1386"/>
      <c r="S18" s="1387"/>
      <c r="T18" s="1386"/>
      <c r="U18" s="1387"/>
      <c r="V18" s="1386"/>
      <c r="W18" s="1387"/>
      <c r="X18" s="1380"/>
      <c r="Y18" s="3929"/>
      <c r="Z18" s="1388"/>
      <c r="AA18" s="1389">
        <v>1</v>
      </c>
      <c r="AB18" s="1389">
        <v>1</v>
      </c>
      <c r="AC18" s="1389">
        <v>1</v>
      </c>
    </row>
    <row r="19" spans="1:29" ht="42.75">
      <c r="A19" s="502"/>
      <c r="B19" s="2210" t="s">
        <v>1826</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29"/>
      <c r="Q19" s="1385" t="str">
        <f>B19</f>
        <v>公共配套设施</v>
      </c>
      <c r="R19" s="1386" t="s">
        <v>5</v>
      </c>
      <c r="S19" s="1387">
        <f>F19</f>
        <v>100</v>
      </c>
      <c r="T19" s="1386" t="s">
        <v>5</v>
      </c>
      <c r="U19" s="1387">
        <f>H19</f>
        <v>100</v>
      </c>
      <c r="V19" s="1386" t="s">
        <v>5</v>
      </c>
      <c r="W19" s="1387">
        <f>J19</f>
        <v>100</v>
      </c>
      <c r="X19" s="1380"/>
      <c r="Y19" s="3929"/>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929"/>
      <c r="Q20" s="1385"/>
      <c r="R20" s="1386"/>
      <c r="S20" s="1387"/>
      <c r="T20" s="1386"/>
      <c r="U20" s="1387"/>
      <c r="V20" s="1386"/>
      <c r="W20" s="1387"/>
      <c r="X20" s="1380"/>
      <c r="Y20" s="3929"/>
      <c r="Z20" s="1388"/>
      <c r="AA20" s="1389">
        <v>1</v>
      </c>
      <c r="AB20" s="1389">
        <v>1</v>
      </c>
      <c r="AC20" s="1389">
        <v>1</v>
      </c>
    </row>
    <row r="21" spans="1:29" ht="28.5">
      <c r="A21" s="502"/>
      <c r="B21" s="2198" t="s">
        <v>1838</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29"/>
      <c r="Q21" s="2192" t="str">
        <f>B21</f>
        <v>基础设施水平</v>
      </c>
      <c r="R21" s="1386" t="s">
        <v>5</v>
      </c>
      <c r="S21" s="1387">
        <f>F21</f>
        <v>100</v>
      </c>
      <c r="T21" s="1386" t="s">
        <v>5</v>
      </c>
      <c r="U21" s="1387">
        <f>H21</f>
        <v>100</v>
      </c>
      <c r="V21" s="1386" t="s">
        <v>5</v>
      </c>
      <c r="W21" s="1387">
        <f>J21</f>
        <v>100</v>
      </c>
      <c r="X21" s="2194"/>
      <c r="Y21" s="3929"/>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929"/>
      <c r="Q22" s="2192"/>
      <c r="R22" s="1386"/>
      <c r="S22" s="1387"/>
      <c r="T22" s="1386"/>
      <c r="U22" s="1387"/>
      <c r="V22" s="1386"/>
      <c r="W22" s="1387"/>
      <c r="X22" s="2194"/>
      <c r="Y22" s="3929"/>
      <c r="Z22" s="2193"/>
      <c r="AA22" s="1389">
        <v>1</v>
      </c>
      <c r="AB22" s="1389">
        <v>1</v>
      </c>
      <c r="AC22" s="1389">
        <v>1</v>
      </c>
    </row>
    <row r="23" spans="1:29" ht="57">
      <c r="A23" s="502"/>
      <c r="B23" s="530" t="s">
        <v>717</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29"/>
      <c r="Q23" s="1385" t="str">
        <f>B23</f>
        <v>环境质量</v>
      </c>
      <c r="R23" s="1386" t="s">
        <v>5</v>
      </c>
      <c r="S23" s="1387">
        <f>F23</f>
        <v>100</v>
      </c>
      <c r="T23" s="1386" t="s">
        <v>5</v>
      </c>
      <c r="U23" s="1387">
        <f>H23</f>
        <v>100</v>
      </c>
      <c r="V23" s="1386" t="s">
        <v>5</v>
      </c>
      <c r="W23" s="1387">
        <f>J23</f>
        <v>100</v>
      </c>
      <c r="X23" s="1380"/>
      <c r="Y23" s="3929"/>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929"/>
      <c r="Q24" s="1385"/>
      <c r="R24" s="1386"/>
      <c r="S24" s="1387"/>
      <c r="T24" s="1386"/>
      <c r="U24" s="1387"/>
      <c r="V24" s="1386"/>
      <c r="W24" s="1387"/>
      <c r="X24" s="1380"/>
      <c r="Y24" s="3929"/>
      <c r="Z24" s="1388"/>
      <c r="AA24" s="1389">
        <v>1</v>
      </c>
      <c r="AB24" s="1389">
        <v>1</v>
      </c>
      <c r="AC24" s="1389">
        <v>1</v>
      </c>
    </row>
    <row r="25" spans="1:29" ht="27">
      <c r="A25" s="485"/>
      <c r="B25" s="530" t="s">
        <v>496</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29"/>
      <c r="Q25" s="1385" t="str">
        <f>B25</f>
        <v>毗邻道路的类型与等级</v>
      </c>
      <c r="R25" s="1386" t="s">
        <v>5</v>
      </c>
      <c r="S25" s="1387">
        <f>F25</f>
        <v>100</v>
      </c>
      <c r="T25" s="1386" t="s">
        <v>5</v>
      </c>
      <c r="U25" s="1387">
        <f>H25</f>
        <v>100</v>
      </c>
      <c r="V25" s="1386" t="s">
        <v>5</v>
      </c>
      <c r="W25" s="1387">
        <f>J25</f>
        <v>100</v>
      </c>
      <c r="X25" s="1380"/>
      <c r="Y25" s="3929"/>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929"/>
      <c r="Q26" s="1385"/>
      <c r="R26" s="1386"/>
      <c r="S26" s="1387"/>
      <c r="T26" s="1386"/>
      <c r="U26" s="1387"/>
      <c r="V26" s="1386"/>
      <c r="W26" s="1387"/>
      <c r="X26" s="1380"/>
      <c r="Y26" s="3929"/>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29"/>
      <c r="Q27" s="1385" t="str">
        <f t="shared" ref="Q27:Q47" si="8">B27</f>
        <v>楼层</v>
      </c>
      <c r="R27" s="1386" t="s">
        <v>5</v>
      </c>
      <c r="S27" s="1387">
        <f>F27</f>
        <v>100</v>
      </c>
      <c r="T27" s="1386" t="s">
        <v>5</v>
      </c>
      <c r="U27" s="1387">
        <f>H27</f>
        <v>100</v>
      </c>
      <c r="V27" s="1386" t="s">
        <v>5</v>
      </c>
      <c r="W27" s="1387">
        <f>J27</f>
        <v>100</v>
      </c>
      <c r="X27" s="1380"/>
      <c r="Y27" s="3929"/>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29"/>
      <c r="Q28" s="1050" t="str">
        <f t="shared" si="8"/>
        <v>朝向</v>
      </c>
      <c r="R28" s="1381" t="s">
        <v>5</v>
      </c>
      <c r="S28" s="1382">
        <f>F28</f>
        <v>100</v>
      </c>
      <c r="T28" s="1381" t="s">
        <v>5</v>
      </c>
      <c r="U28" s="1382">
        <f>H28</f>
        <v>100</v>
      </c>
      <c r="V28" s="1381" t="s">
        <v>5</v>
      </c>
      <c r="W28" s="1382">
        <f>J28</f>
        <v>100</v>
      </c>
      <c r="X28" s="1383"/>
      <c r="Y28" s="3929"/>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29"/>
      <c r="Q29" s="1385">
        <f t="shared" si="8"/>
        <v>111</v>
      </c>
      <c r="R29" s="1386" t="s">
        <v>5</v>
      </c>
      <c r="S29" s="1387">
        <f t="shared" ref="S29:S47" si="9">F29</f>
        <v>100</v>
      </c>
      <c r="T29" s="1386" t="s">
        <v>5</v>
      </c>
      <c r="U29" s="1387">
        <f t="shared" ref="U29:U47" si="10">H29</f>
        <v>100</v>
      </c>
      <c r="V29" s="1386" t="s">
        <v>5</v>
      </c>
      <c r="W29" s="1387">
        <f t="shared" ref="W29:W47" si="11">J29</f>
        <v>100</v>
      </c>
      <c r="X29" s="1380"/>
      <c r="Y29" s="3929"/>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29"/>
      <c r="Q30" s="1385">
        <f t="shared" si="8"/>
        <v>111</v>
      </c>
      <c r="R30" s="1386" t="s">
        <v>5</v>
      </c>
      <c r="S30" s="1387">
        <f t="shared" si="9"/>
        <v>100</v>
      </c>
      <c r="T30" s="1386" t="s">
        <v>5</v>
      </c>
      <c r="U30" s="1387">
        <f t="shared" si="10"/>
        <v>100</v>
      </c>
      <c r="V30" s="1386" t="s">
        <v>5</v>
      </c>
      <c r="W30" s="1387">
        <f t="shared" si="11"/>
        <v>100</v>
      </c>
      <c r="X30" s="1380"/>
      <c r="Y30" s="3929"/>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29"/>
      <c r="Q31" s="1385">
        <f t="shared" si="8"/>
        <v>111</v>
      </c>
      <c r="R31" s="1386" t="s">
        <v>5</v>
      </c>
      <c r="S31" s="1387">
        <f t="shared" si="9"/>
        <v>100</v>
      </c>
      <c r="T31" s="1386" t="s">
        <v>5</v>
      </c>
      <c r="U31" s="1387">
        <f t="shared" si="10"/>
        <v>100</v>
      </c>
      <c r="V31" s="1386" t="s">
        <v>5</v>
      </c>
      <c r="W31" s="1387">
        <f t="shared" si="11"/>
        <v>100</v>
      </c>
      <c r="X31" s="1380"/>
      <c r="Y31" s="3929"/>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29"/>
      <c r="Q32" s="1385">
        <f t="shared" si="8"/>
        <v>111</v>
      </c>
      <c r="R32" s="1386" t="s">
        <v>5</v>
      </c>
      <c r="S32" s="1387">
        <f t="shared" si="9"/>
        <v>100</v>
      </c>
      <c r="T32" s="1386" t="s">
        <v>5</v>
      </c>
      <c r="U32" s="1387">
        <f t="shared" si="10"/>
        <v>100</v>
      </c>
      <c r="V32" s="1386" t="s">
        <v>5</v>
      </c>
      <c r="W32" s="1387">
        <f t="shared" si="11"/>
        <v>100</v>
      </c>
      <c r="X32" s="1380"/>
      <c r="Y32" s="3929"/>
      <c r="Z32" s="1388">
        <f t="shared" si="12"/>
        <v>111</v>
      </c>
      <c r="AA32" s="1389">
        <f t="shared" si="3"/>
        <v>1</v>
      </c>
      <c r="AB32" s="1389">
        <f t="shared" si="4"/>
        <v>1</v>
      </c>
      <c r="AC32" s="1389">
        <f t="shared" si="5"/>
        <v>1</v>
      </c>
    </row>
    <row r="33" spans="1:29" ht="15">
      <c r="A33" s="2386" t="s">
        <v>2034</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30" t="s">
        <v>498</v>
      </c>
      <c r="Q33" s="1385" t="str">
        <f t="shared" si="8"/>
        <v>建筑类型</v>
      </c>
      <c r="R33" s="1386" t="s">
        <v>5</v>
      </c>
      <c r="S33" s="1387">
        <f t="shared" si="9"/>
        <v>100</v>
      </c>
      <c r="T33" s="1386" t="s">
        <v>5</v>
      </c>
      <c r="U33" s="1387">
        <f t="shared" si="10"/>
        <v>100</v>
      </c>
      <c r="V33" s="1386" t="s">
        <v>5</v>
      </c>
      <c r="W33" s="1387">
        <f t="shared" si="11"/>
        <v>100</v>
      </c>
      <c r="X33" s="1380"/>
      <c r="Y33" s="3931" t="s">
        <v>498</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31"/>
      <c r="Q34" s="1414" t="str">
        <f t="shared" si="8"/>
        <v>项目建筑规模</v>
      </c>
      <c r="R34" s="1390" t="s">
        <v>5</v>
      </c>
      <c r="S34" s="1391" t="e">
        <f t="shared" si="9"/>
        <v>#N/A</v>
      </c>
      <c r="T34" s="1390" t="s">
        <v>5</v>
      </c>
      <c r="U34" s="1391" t="e">
        <f t="shared" si="10"/>
        <v>#N/A</v>
      </c>
      <c r="V34" s="1390" t="s">
        <v>5</v>
      </c>
      <c r="W34" s="1391" t="e">
        <f t="shared" si="11"/>
        <v>#N/A</v>
      </c>
      <c r="X34" s="1392"/>
      <c r="Y34" s="3931"/>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31"/>
      <c r="Q35" s="1385" t="str">
        <f t="shared" si="8"/>
        <v>建筑结构</v>
      </c>
      <c r="R35" s="1386" t="s">
        <v>5</v>
      </c>
      <c r="S35" s="1387">
        <f t="shared" si="9"/>
        <v>100</v>
      </c>
      <c r="T35" s="1386" t="s">
        <v>5</v>
      </c>
      <c r="U35" s="1387">
        <f t="shared" si="10"/>
        <v>100</v>
      </c>
      <c r="V35" s="1386" t="s">
        <v>5</v>
      </c>
      <c r="W35" s="1387">
        <f t="shared" si="11"/>
        <v>100</v>
      </c>
      <c r="X35" s="1380"/>
      <c r="Y35" s="3931"/>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31"/>
      <c r="Q36" s="1385" t="str">
        <f t="shared" si="8"/>
        <v>公共部分装修</v>
      </c>
      <c r="R36" s="1386" t="s">
        <v>5</v>
      </c>
      <c r="S36" s="1387">
        <f t="shared" si="9"/>
        <v>100</v>
      </c>
      <c r="T36" s="1386" t="s">
        <v>5</v>
      </c>
      <c r="U36" s="1387">
        <f t="shared" si="10"/>
        <v>100</v>
      </c>
      <c r="V36" s="1386" t="s">
        <v>5</v>
      </c>
      <c r="W36" s="1387">
        <f t="shared" si="11"/>
        <v>100</v>
      </c>
      <c r="X36" s="1380"/>
      <c r="Y36" s="3931"/>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31"/>
      <c r="Q37" s="1385" t="str">
        <f t="shared" si="8"/>
        <v>成新度</v>
      </c>
      <c r="R37" s="1386" t="s">
        <v>5</v>
      </c>
      <c r="S37" s="1387" t="e">
        <f t="shared" si="9"/>
        <v>#N/A</v>
      </c>
      <c r="T37" s="1386" t="s">
        <v>5</v>
      </c>
      <c r="U37" s="1387" t="e">
        <f t="shared" si="10"/>
        <v>#N/A</v>
      </c>
      <c r="V37" s="1386" t="s">
        <v>5</v>
      </c>
      <c r="W37" s="1387" t="e">
        <f t="shared" si="11"/>
        <v>#N/A</v>
      </c>
      <c r="X37" s="1380"/>
      <c r="Y37" s="3931"/>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31"/>
      <c r="Q38" s="1050" t="str">
        <f t="shared" si="8"/>
        <v>写字楼等级</v>
      </c>
      <c r="R38" s="1381" t="s">
        <v>5</v>
      </c>
      <c r="S38" s="1382">
        <f t="shared" si="9"/>
        <v>100</v>
      </c>
      <c r="T38" s="1381" t="s">
        <v>5</v>
      </c>
      <c r="U38" s="1382">
        <f t="shared" si="10"/>
        <v>100</v>
      </c>
      <c r="V38" s="1381" t="s">
        <v>5</v>
      </c>
      <c r="W38" s="1382">
        <f t="shared" si="11"/>
        <v>100</v>
      </c>
      <c r="X38" s="1383"/>
      <c r="Y38" s="3931"/>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31" t="s">
        <v>498</v>
      </c>
      <c r="Q39" s="1385" t="str">
        <f t="shared" si="8"/>
        <v>物业管理</v>
      </c>
      <c r="R39" s="1386" t="s">
        <v>5</v>
      </c>
      <c r="S39" s="1387">
        <f t="shared" si="9"/>
        <v>100</v>
      </c>
      <c r="T39" s="1386" t="s">
        <v>5</v>
      </c>
      <c r="U39" s="1387">
        <f t="shared" si="10"/>
        <v>100</v>
      </c>
      <c r="V39" s="1386" t="s">
        <v>5</v>
      </c>
      <c r="W39" s="1387">
        <f t="shared" si="11"/>
        <v>100</v>
      </c>
      <c r="X39" s="1380"/>
      <c r="Y39" s="3931" t="s">
        <v>498</v>
      </c>
      <c r="Z39" s="1388" t="str">
        <f t="shared" si="12"/>
        <v>物业管理</v>
      </c>
      <c r="AA39" s="1389">
        <f t="shared" si="3"/>
        <v>1</v>
      </c>
      <c r="AB39" s="1389">
        <f t="shared" si="4"/>
        <v>1</v>
      </c>
      <c r="AC39" s="1389">
        <f t="shared" si="5"/>
        <v>1</v>
      </c>
    </row>
    <row r="40" spans="1:29" ht="15">
      <c r="A40" s="564"/>
      <c r="B40" s="1650" t="s">
        <v>1845</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31"/>
      <c r="Q40" s="1385" t="str">
        <f t="shared" si="8"/>
        <v>市政基础设施</v>
      </c>
      <c r="R40" s="1386" t="s">
        <v>5</v>
      </c>
      <c r="S40" s="1387">
        <f t="shared" si="9"/>
        <v>100</v>
      </c>
      <c r="T40" s="1386" t="s">
        <v>5</v>
      </c>
      <c r="U40" s="1387">
        <f t="shared" si="10"/>
        <v>100</v>
      </c>
      <c r="V40" s="1386" t="s">
        <v>5</v>
      </c>
      <c r="W40" s="1387">
        <f t="shared" si="11"/>
        <v>100</v>
      </c>
      <c r="X40" s="1380"/>
      <c r="Y40" s="3931"/>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31"/>
      <c r="Q41" s="1385" t="str">
        <f t="shared" si="8"/>
        <v>层高</v>
      </c>
      <c r="R41" s="1386" t="s">
        <v>5</v>
      </c>
      <c r="S41" s="1387">
        <f t="shared" si="9"/>
        <v>100</v>
      </c>
      <c r="T41" s="1386" t="s">
        <v>5</v>
      </c>
      <c r="U41" s="1387">
        <f t="shared" si="10"/>
        <v>100</v>
      </c>
      <c r="V41" s="1386" t="s">
        <v>5</v>
      </c>
      <c r="W41" s="1387">
        <f t="shared" si="11"/>
        <v>100</v>
      </c>
      <c r="X41" s="1380"/>
      <c r="Y41" s="3931"/>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31"/>
      <c r="Q42" s="1414" t="str">
        <f t="shared" si="8"/>
        <v>单套建筑面积</v>
      </c>
      <c r="R42" s="1390" t="s">
        <v>5</v>
      </c>
      <c r="S42" s="1391">
        <f t="shared" si="9"/>
        <v>100</v>
      </c>
      <c r="T42" s="1390" t="s">
        <v>5</v>
      </c>
      <c r="U42" s="1391">
        <f t="shared" si="10"/>
        <v>100</v>
      </c>
      <c r="V42" s="1390" t="s">
        <v>5</v>
      </c>
      <c r="W42" s="1391">
        <f t="shared" si="11"/>
        <v>100</v>
      </c>
      <c r="X42" s="1392"/>
      <c r="Y42" s="3931"/>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31"/>
      <c r="Q43" s="1385" t="str">
        <f t="shared" si="8"/>
        <v>内部装修</v>
      </c>
      <c r="R43" s="1386" t="s">
        <v>5</v>
      </c>
      <c r="S43" s="1387">
        <f t="shared" si="9"/>
        <v>100</v>
      </c>
      <c r="T43" s="1386" t="s">
        <v>5</v>
      </c>
      <c r="U43" s="1387">
        <f t="shared" si="10"/>
        <v>100</v>
      </c>
      <c r="V43" s="1386" t="s">
        <v>5</v>
      </c>
      <c r="W43" s="1387">
        <f t="shared" si="11"/>
        <v>100</v>
      </c>
      <c r="X43" s="1380"/>
      <c r="Y43" s="3931"/>
      <c r="Z43" s="1388" t="str">
        <f t="shared" si="12"/>
        <v>内部装修</v>
      </c>
      <c r="AA43" s="1389">
        <f t="shared" si="3"/>
        <v>1</v>
      </c>
      <c r="AB43" s="1389">
        <f t="shared" si="4"/>
        <v>1</v>
      </c>
      <c r="AC43" s="1389">
        <f t="shared" si="5"/>
        <v>1</v>
      </c>
    </row>
    <row r="44" spans="1:29" ht="27">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31"/>
      <c r="Q44" s="1385" t="str">
        <f t="shared" si="8"/>
        <v>内部装修维护情况</v>
      </c>
      <c r="R44" s="1386" t="s">
        <v>5</v>
      </c>
      <c r="S44" s="1387">
        <f t="shared" si="9"/>
        <v>100</v>
      </c>
      <c r="T44" s="1386" t="s">
        <v>5</v>
      </c>
      <c r="U44" s="1387">
        <f t="shared" si="10"/>
        <v>100</v>
      </c>
      <c r="V44" s="1386" t="s">
        <v>5</v>
      </c>
      <c r="W44" s="1387">
        <f t="shared" si="11"/>
        <v>100</v>
      </c>
      <c r="X44" s="1380"/>
      <c r="Y44" s="3931"/>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31"/>
      <c r="Q45" s="1050">
        <f t="shared" si="8"/>
        <v>111</v>
      </c>
      <c r="R45" s="1381" t="s">
        <v>5</v>
      </c>
      <c r="S45" s="1382">
        <f t="shared" si="9"/>
        <v>100</v>
      </c>
      <c r="T45" s="1381" t="s">
        <v>5</v>
      </c>
      <c r="U45" s="1382">
        <f t="shared" si="10"/>
        <v>100</v>
      </c>
      <c r="V45" s="1381" t="s">
        <v>5</v>
      </c>
      <c r="W45" s="1382">
        <f t="shared" si="11"/>
        <v>100</v>
      </c>
      <c r="X45" s="1383"/>
      <c r="Y45" s="3931"/>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31"/>
      <c r="Q46" s="1385">
        <f t="shared" si="8"/>
        <v>111</v>
      </c>
      <c r="R46" s="1386" t="s">
        <v>5</v>
      </c>
      <c r="S46" s="1387">
        <f t="shared" si="9"/>
        <v>100</v>
      </c>
      <c r="T46" s="1386" t="s">
        <v>5</v>
      </c>
      <c r="U46" s="1387">
        <f t="shared" si="10"/>
        <v>100</v>
      </c>
      <c r="V46" s="1386" t="s">
        <v>5</v>
      </c>
      <c r="W46" s="1387">
        <f t="shared" si="11"/>
        <v>100</v>
      </c>
      <c r="X46" s="1380"/>
      <c r="Y46" s="3931"/>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07"/>
      <c r="Q47" s="1385">
        <f t="shared" si="8"/>
        <v>111</v>
      </c>
      <c r="R47" s="1386" t="s">
        <v>5</v>
      </c>
      <c r="S47" s="1387">
        <f t="shared" si="9"/>
        <v>100</v>
      </c>
      <c r="T47" s="1386" t="s">
        <v>5</v>
      </c>
      <c r="U47" s="1387">
        <f t="shared" si="10"/>
        <v>100</v>
      </c>
      <c r="V47" s="1386" t="s">
        <v>5</v>
      </c>
      <c r="W47" s="1387">
        <f t="shared" si="11"/>
        <v>100</v>
      </c>
      <c r="X47" s="1380"/>
      <c r="Y47" s="4007"/>
      <c r="Z47" s="1388">
        <f t="shared" si="12"/>
        <v>111</v>
      </c>
      <c r="AA47" s="1389">
        <f t="shared" si="3"/>
        <v>1</v>
      </c>
      <c r="AB47" s="1389">
        <f t="shared" si="4"/>
        <v>1</v>
      </c>
      <c r="AC47" s="1389">
        <f t="shared" si="5"/>
        <v>1</v>
      </c>
    </row>
    <row r="48" spans="1:29" ht="15">
      <c r="A48" s="577" t="s">
        <v>682</v>
      </c>
      <c r="B48" s="850"/>
      <c r="C48" s="2233" t="s">
        <v>0</v>
      </c>
      <c r="D48" s="2234"/>
      <c r="E48" s="2235"/>
      <c r="F48" s="2236"/>
      <c r="G48" s="2237"/>
      <c r="H48" s="2238"/>
      <c r="I48" s="2235"/>
      <c r="J48" s="2238"/>
      <c r="K48" s="1419"/>
      <c r="L48" s="1866"/>
      <c r="M48" s="1856"/>
      <c r="N48" s="1856"/>
      <c r="O48" s="1856"/>
      <c r="P48" s="3933" t="str">
        <f>A48</f>
        <v>成交单价（元/平方米）</v>
      </c>
      <c r="Q48" s="3895"/>
      <c r="R48" s="4006">
        <f>E48</f>
        <v>0</v>
      </c>
      <c r="S48" s="4006"/>
      <c r="T48" s="4006">
        <f>G48</f>
        <v>0</v>
      </c>
      <c r="U48" s="4006"/>
      <c r="V48" s="4006">
        <f>I48</f>
        <v>0</v>
      </c>
      <c r="W48" s="4006"/>
      <c r="X48" s="1375"/>
      <c r="Y48" s="1394"/>
      <c r="Z48" s="1375"/>
      <c r="AA48" s="1375"/>
      <c r="AB48" s="1375"/>
      <c r="AC48" s="1375"/>
    </row>
    <row r="49" spans="1:29" ht="15.75" thickBot="1">
      <c r="A49" s="585" t="s">
        <v>2039</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933" t="str">
        <f>A49</f>
        <v>比较价格（元/平方米）</v>
      </c>
      <c r="Q49" s="3895"/>
      <c r="R49" s="4006" t="e">
        <f>IF(F1="售价",ROUND(PRODUCT(R48,AA7:AA47),0),ROUND(PRODUCT(R48,AA7:AA47),1))</f>
        <v>#DIV/0!</v>
      </c>
      <c r="S49" s="4006"/>
      <c r="T49" s="4006" t="e">
        <f>IF(F1="售价",ROUND(PRODUCT(T48,AB7:AB47),0),ROUND(PRODUCT(T48,AB7:AB47),1))</f>
        <v>#DIV/0!</v>
      </c>
      <c r="U49" s="4006"/>
      <c r="V49" s="4006" t="e">
        <f>IF(F1="售价",ROUND(PRODUCT(V48,AC7:AC47),0),ROUND(PRODUCT(V48,AC7:AC47),1))</f>
        <v>#DIV/0!</v>
      </c>
      <c r="W49" s="4006"/>
      <c r="X49" s="1375"/>
      <c r="Y49" s="1375"/>
      <c r="Z49" s="1375"/>
      <c r="AA49" s="1375"/>
      <c r="AB49" s="1375"/>
      <c r="AC49" s="1375"/>
    </row>
    <row r="50" spans="1:29" ht="15.75" thickBot="1">
      <c r="A50" s="589" t="s">
        <v>2194</v>
      </c>
      <c r="B50" s="590"/>
      <c r="C50" s="2241" t="e">
        <f>R50</f>
        <v>#DIV/0!</v>
      </c>
      <c r="D50" s="2241"/>
      <c r="E50" s="2241"/>
      <c r="F50" s="2241"/>
      <c r="G50" s="2241"/>
      <c r="H50" s="2241"/>
      <c r="I50" s="2241"/>
      <c r="J50" s="2241"/>
      <c r="K50" s="1420"/>
      <c r="L50" s="1866"/>
      <c r="M50" s="1856"/>
      <c r="N50" s="1856"/>
      <c r="O50" s="1856"/>
      <c r="P50" s="4008" t="str">
        <f>A50</f>
        <v>估价对象XX用房的比较价格（楼面单价，元/平方米）</v>
      </c>
      <c r="Q50" s="3933"/>
      <c r="R50" s="4005" t="e">
        <f>IF(F1="售价",ROUND(IF(D49="简单平均",AVERAGE(R49:V49),R49*F49+T49*H49+V49*J49),0),ROUND(IF(D49="简单平均",AVERAGE(R49:V49),R49*F49+T49*H49+V49*J49),1))</f>
        <v>#DIV/0!</v>
      </c>
      <c r="S50" s="4005"/>
      <c r="T50" s="4005"/>
      <c r="U50" s="4005"/>
      <c r="V50" s="4005"/>
      <c r="W50" s="4005"/>
      <c r="X50" s="1375"/>
      <c r="Y50" s="1375"/>
      <c r="Z50" s="1375"/>
      <c r="AA50" s="1375"/>
      <c r="AB50" s="1375"/>
      <c r="AC50" s="1375"/>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7"/>
      <c r="B55" s="2957"/>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521</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477</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522</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479</v>
      </c>
      <c r="B62" s="616"/>
      <c r="C62" s="628" t="s">
        <v>523</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524</v>
      </c>
      <c r="B64" s="633" t="s">
        <v>482</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485</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486</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487</v>
      </c>
      <c r="B77" s="633" t="s">
        <v>532</v>
      </c>
      <c r="C77" s="671" t="s">
        <v>526</v>
      </c>
      <c r="D77" s="671" t="s">
        <v>527</v>
      </c>
      <c r="E77" s="671" t="s">
        <v>528</v>
      </c>
      <c r="F77" s="671" t="s">
        <v>529</v>
      </c>
      <c r="G77" s="671" t="s">
        <v>530</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533</v>
      </c>
      <c r="C79" s="676" t="s">
        <v>526</v>
      </c>
      <c r="D79" s="676" t="s">
        <v>527</v>
      </c>
      <c r="E79" s="676" t="s">
        <v>528</v>
      </c>
      <c r="F79" s="676" t="s">
        <v>529</v>
      </c>
      <c r="G79" s="676" t="s">
        <v>530</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1837</v>
      </c>
      <c r="C81" s="676" t="s">
        <v>526</v>
      </c>
      <c r="D81" s="676" t="s">
        <v>527</v>
      </c>
      <c r="E81" s="676" t="s">
        <v>528</v>
      </c>
      <c r="F81" s="676" t="s">
        <v>529</v>
      </c>
      <c r="G81" s="676" t="s">
        <v>530</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1838</v>
      </c>
      <c r="C83" s="2205" t="s">
        <v>1839</v>
      </c>
      <c r="D83" s="2205" t="s">
        <v>1840</v>
      </c>
      <c r="E83" s="2205" t="s">
        <v>1841</v>
      </c>
      <c r="F83" s="2205" t="s">
        <v>1842</v>
      </c>
      <c r="G83" s="2205" t="s">
        <v>1843</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723</v>
      </c>
      <c r="C85" s="676" t="s">
        <v>526</v>
      </c>
      <c r="D85" s="676" t="s">
        <v>527</v>
      </c>
      <c r="E85" s="676" t="s">
        <v>528</v>
      </c>
      <c r="F85" s="676" t="s">
        <v>529</v>
      </c>
      <c r="G85" s="676" t="s">
        <v>530</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724</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499</v>
      </c>
      <c r="B101" s="633" t="s">
        <v>686</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688</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690</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725</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692</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1836</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726</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714</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694</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695</v>
      </c>
      <c r="C125" s="676" t="s">
        <v>526</v>
      </c>
      <c r="D125" s="676" t="s">
        <v>527</v>
      </c>
      <c r="E125" s="676" t="s">
        <v>528</v>
      </c>
      <c r="F125" s="676" t="s">
        <v>529</v>
      </c>
      <c r="G125" s="676" t="s">
        <v>530</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727</v>
      </c>
      <c r="C1" s="474" t="s">
        <v>666</v>
      </c>
      <c r="D1" s="814"/>
      <c r="E1" s="476"/>
      <c r="F1" s="2286"/>
      <c r="G1" s="1410" t="s">
        <v>667</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7" customFormat="1" ht="28.5" customHeight="1">
      <c r="A2" s="410" t="s">
        <v>426</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467</v>
      </c>
      <c r="B3" s="480" t="e">
        <f>C43</f>
        <v>#DIV/0!</v>
      </c>
      <c r="C3" s="817" t="s">
        <v>668</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469</v>
      </c>
      <c r="B4" s="483"/>
      <c r="C4" s="3901" t="s">
        <v>470</v>
      </c>
      <c r="D4" s="3902"/>
      <c r="E4" s="3936" t="s">
        <v>471</v>
      </c>
      <c r="F4" s="3937"/>
      <c r="G4" s="3901" t="s">
        <v>472</v>
      </c>
      <c r="H4" s="3902"/>
      <c r="I4" s="3901" t="s">
        <v>473</v>
      </c>
      <c r="J4" s="3902"/>
      <c r="K4" s="484" t="s">
        <v>474</v>
      </c>
      <c r="L4" s="1855"/>
      <c r="M4" s="1856"/>
      <c r="N4" s="1856"/>
      <c r="O4" s="1856"/>
      <c r="P4" s="3903" t="s">
        <v>475</v>
      </c>
      <c r="Q4" s="3904"/>
      <c r="R4" s="3909" t="s">
        <v>471</v>
      </c>
      <c r="S4" s="3910"/>
      <c r="T4" s="3909" t="s">
        <v>472</v>
      </c>
      <c r="U4" s="3910"/>
      <c r="V4" s="3896" t="s">
        <v>473</v>
      </c>
      <c r="W4" s="3896"/>
      <c r="X4" s="1380"/>
      <c r="Y4" s="3909" t="s">
        <v>475</v>
      </c>
      <c r="Z4" s="3910"/>
      <c r="AA4" s="3898" t="s">
        <v>471</v>
      </c>
      <c r="AB4" s="3899" t="s">
        <v>472</v>
      </c>
      <c r="AC4" s="3898" t="s">
        <v>473</v>
      </c>
    </row>
    <row r="5" spans="1:29" ht="15">
      <c r="A5" s="485"/>
      <c r="B5" s="486"/>
      <c r="C5" s="3917" t="s">
        <v>2188</v>
      </c>
      <c r="D5" s="3918"/>
      <c r="E5" s="3938" t="s">
        <v>2189</v>
      </c>
      <c r="F5" s="3939"/>
      <c r="G5" s="3917" t="s">
        <v>2190</v>
      </c>
      <c r="H5" s="3918"/>
      <c r="I5" s="3917" t="s">
        <v>2191</v>
      </c>
      <c r="J5" s="3918"/>
      <c r="K5" s="484"/>
      <c r="L5" s="1855"/>
      <c r="M5" s="1856"/>
      <c r="N5" s="1856"/>
      <c r="O5" s="1856"/>
      <c r="P5" s="3905"/>
      <c r="Q5" s="3906"/>
      <c r="R5" s="3911"/>
      <c r="S5" s="3912"/>
      <c r="T5" s="3911"/>
      <c r="U5" s="3912"/>
      <c r="V5" s="3896"/>
      <c r="W5" s="3896"/>
      <c r="X5" s="1380"/>
      <c r="Y5" s="3911"/>
      <c r="Z5" s="3912"/>
      <c r="AA5" s="3899"/>
      <c r="AB5" s="3899"/>
      <c r="AC5" s="3899"/>
    </row>
    <row r="6" spans="1:29" ht="15.75" thickBot="1">
      <c r="A6" s="487"/>
      <c r="B6" s="488"/>
      <c r="C6" s="3915" t="s">
        <v>2192</v>
      </c>
      <c r="D6" s="3916"/>
      <c r="E6" s="3934" t="s">
        <v>2192</v>
      </c>
      <c r="F6" s="3935"/>
      <c r="G6" s="3915" t="s">
        <v>2192</v>
      </c>
      <c r="H6" s="3916"/>
      <c r="I6" s="3915" t="s">
        <v>2192</v>
      </c>
      <c r="J6" s="3916"/>
      <c r="K6" s="484" t="s">
        <v>476</v>
      </c>
      <c r="L6" s="1855"/>
      <c r="M6" s="1856"/>
      <c r="N6" s="1856"/>
      <c r="O6" s="1856"/>
      <c r="P6" s="3907"/>
      <c r="Q6" s="3908"/>
      <c r="R6" s="3911"/>
      <c r="S6" s="3912"/>
      <c r="T6" s="3913"/>
      <c r="U6" s="3914"/>
      <c r="V6" s="3896"/>
      <c r="W6" s="3896"/>
      <c r="X6" s="1380"/>
      <c r="Y6" s="3913"/>
      <c r="Z6" s="3914"/>
      <c r="AA6" s="3900"/>
      <c r="AB6" s="3900"/>
      <c r="AC6" s="3900"/>
    </row>
    <row r="7" spans="1:29" s="1118" customFormat="1" ht="15.75" thickBot="1">
      <c r="A7" s="2391"/>
      <c r="B7" s="2398" t="s">
        <v>477</v>
      </c>
      <c r="C7" s="489">
        <f>'数据-取费表'!B2</f>
        <v>44942</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25" t="s">
        <v>478</v>
      </c>
      <c r="Q7" s="3927"/>
      <c r="R7" s="1381" t="s">
        <v>5</v>
      </c>
      <c r="S7" s="1382">
        <f t="shared" ref="S7:S15" si="0">F7</f>
        <v>0</v>
      </c>
      <c r="T7" s="1381" t="s">
        <v>5</v>
      </c>
      <c r="U7" s="1382">
        <f t="shared" ref="U7:U15" si="1">H7</f>
        <v>0</v>
      </c>
      <c r="V7" s="1381" t="s">
        <v>5</v>
      </c>
      <c r="W7" s="1382">
        <f t="shared" ref="W7:W15" si="2">J7</f>
        <v>0</v>
      </c>
      <c r="X7" s="1383"/>
      <c r="Y7" s="3925" t="s">
        <v>478</v>
      </c>
      <c r="Z7" s="3926"/>
      <c r="AA7" s="1384" t="e">
        <f>D7/F7</f>
        <v>#DIV/0!</v>
      </c>
      <c r="AB7" s="1384" t="e">
        <f>D7/H7</f>
        <v>#DIV/0!</v>
      </c>
      <c r="AC7" s="1384" t="e">
        <f>D7/J7</f>
        <v>#DIV/0!</v>
      </c>
    </row>
    <row r="8" spans="1:29" s="1118" customFormat="1" ht="15.75" thickBot="1">
      <c r="A8" s="2392"/>
      <c r="B8" s="2399" t="s">
        <v>479</v>
      </c>
      <c r="C8" s="495" t="s">
        <v>523</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25" t="s">
        <v>481</v>
      </c>
      <c r="Q8" s="3926"/>
      <c r="R8" s="1381" t="s">
        <v>5</v>
      </c>
      <c r="S8" s="1382">
        <f t="shared" si="0"/>
        <v>0</v>
      </c>
      <c r="T8" s="1381" t="s">
        <v>5</v>
      </c>
      <c r="U8" s="1382">
        <f t="shared" si="1"/>
        <v>0</v>
      </c>
      <c r="V8" s="1381" t="s">
        <v>5</v>
      </c>
      <c r="W8" s="1382">
        <f t="shared" si="2"/>
        <v>0</v>
      </c>
      <c r="X8" s="1383"/>
      <c r="Y8" s="3925" t="s">
        <v>481</v>
      </c>
      <c r="Z8" s="3926"/>
      <c r="AA8" s="1384" t="e">
        <f t="shared" ref="AA8:AA40" si="3">D8/F8</f>
        <v>#DIV/0!</v>
      </c>
      <c r="AB8" s="1384" t="e">
        <f t="shared" ref="AB8:AB40" si="4">D8/H8</f>
        <v>#DIV/0!</v>
      </c>
      <c r="AC8" s="1384" t="e">
        <f t="shared" ref="AC8:AC40" si="5">D8/J8</f>
        <v>#DIV/0!</v>
      </c>
    </row>
    <row r="9" spans="1:29" s="1118" customFormat="1" ht="15">
      <c r="A9" s="2393"/>
      <c r="B9" s="2400" t="s">
        <v>2035</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95" t="s">
        <v>483</v>
      </c>
      <c r="Q9" s="1050" t="str">
        <f t="shared" ref="Q9:Q15" si="6">B9</f>
        <v>用途</v>
      </c>
      <c r="R9" s="1381" t="s">
        <v>5</v>
      </c>
      <c r="S9" s="1382">
        <f t="shared" si="0"/>
        <v>100</v>
      </c>
      <c r="T9" s="1381" t="s">
        <v>5</v>
      </c>
      <c r="U9" s="1382">
        <f t="shared" si="1"/>
        <v>100</v>
      </c>
      <c r="V9" s="1381" t="s">
        <v>5</v>
      </c>
      <c r="W9" s="1382">
        <f t="shared" si="2"/>
        <v>100</v>
      </c>
      <c r="X9" s="1383"/>
      <c r="Y9" s="3824" t="s">
        <v>484</v>
      </c>
      <c r="Z9" s="1049" t="str">
        <f t="shared" ref="Z9:Z15" si="7">Q9</f>
        <v>用途</v>
      </c>
      <c r="AA9" s="1384">
        <f t="shared" si="3"/>
        <v>1</v>
      </c>
      <c r="AB9" s="1384">
        <f t="shared" si="4"/>
        <v>1</v>
      </c>
      <c r="AC9" s="1384">
        <f t="shared" si="5"/>
        <v>1</v>
      </c>
    </row>
    <row r="10" spans="1:29" s="1199" customFormat="1" ht="27">
      <c r="A10" s="2394"/>
      <c r="B10" s="2399" t="s">
        <v>2036</v>
      </c>
      <c r="C10" s="3659"/>
      <c r="D10" s="246">
        <v>100</v>
      </c>
      <c r="E10" s="3659"/>
      <c r="F10" s="246">
        <f>SUMIF(59:59,E10,60:60)-SUMIF(59:59,C10,60:60)+100</f>
        <v>100</v>
      </c>
      <c r="G10" s="3660"/>
      <c r="H10" s="246">
        <f>SUMIF(59:59,G10,60:60)-SUMIF(59:59,C10,60:60)+100</f>
        <v>100</v>
      </c>
      <c r="I10" s="3659"/>
      <c r="J10" s="246">
        <f>SUMIF(59:59,I10,60:60)-SUMIF(59:59,C10,60:60)+100</f>
        <v>100</v>
      </c>
      <c r="K10" s="494"/>
      <c r="L10" s="1860"/>
      <c r="M10" s="1899"/>
      <c r="N10" s="1899"/>
      <c r="O10" s="1861"/>
      <c r="P10" s="3895"/>
      <c r="Q10" s="1050" t="str">
        <f t="shared" si="6"/>
        <v>土地使用年限（年）</v>
      </c>
      <c r="R10" s="1381" t="s">
        <v>5</v>
      </c>
      <c r="S10" s="1382">
        <f t="shared" si="0"/>
        <v>100</v>
      </c>
      <c r="T10" s="1381" t="s">
        <v>5</v>
      </c>
      <c r="U10" s="1382">
        <f t="shared" si="1"/>
        <v>100</v>
      </c>
      <c r="V10" s="1381" t="s">
        <v>5</v>
      </c>
      <c r="W10" s="1382">
        <f t="shared" si="2"/>
        <v>100</v>
      </c>
      <c r="X10" s="1383"/>
      <c r="Y10" s="3824"/>
      <c r="Z10" s="1049" t="str">
        <f t="shared" si="7"/>
        <v>土地使用年限（年）</v>
      </c>
      <c r="AA10" s="1384">
        <f t="shared" si="3"/>
        <v>1</v>
      </c>
      <c r="AB10" s="1384">
        <f t="shared" si="4"/>
        <v>1</v>
      </c>
      <c r="AC10" s="1384">
        <f t="shared" si="5"/>
        <v>1</v>
      </c>
    </row>
    <row r="11" spans="1:29" ht="15">
      <c r="A11" s="2395"/>
      <c r="B11" s="2399" t="s">
        <v>2037</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95"/>
      <c r="Q11" s="1050" t="str">
        <f t="shared" si="6"/>
        <v>容积率</v>
      </c>
      <c r="R11" s="1381" t="s">
        <v>5</v>
      </c>
      <c r="S11" s="1382" t="e">
        <f t="shared" si="0"/>
        <v>#N/A</v>
      </c>
      <c r="T11" s="1381" t="s">
        <v>5</v>
      </c>
      <c r="U11" s="1382" t="e">
        <f t="shared" si="1"/>
        <v>#N/A</v>
      </c>
      <c r="V11" s="1381" t="s">
        <v>5</v>
      </c>
      <c r="W11" s="1382" t="e">
        <f t="shared" si="2"/>
        <v>#N/A</v>
      </c>
      <c r="X11" s="1383"/>
      <c r="Y11" s="382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95"/>
      <c r="Q12" s="1050">
        <f t="shared" si="6"/>
        <v>111</v>
      </c>
      <c r="R12" s="1381" t="s">
        <v>5</v>
      </c>
      <c r="S12" s="1382">
        <f t="shared" si="0"/>
        <v>100</v>
      </c>
      <c r="T12" s="1381" t="s">
        <v>5</v>
      </c>
      <c r="U12" s="1382">
        <f t="shared" si="1"/>
        <v>100</v>
      </c>
      <c r="V12" s="1381" t="s">
        <v>5</v>
      </c>
      <c r="W12" s="1382">
        <f t="shared" si="2"/>
        <v>100</v>
      </c>
      <c r="X12" s="1383"/>
      <c r="Y12" s="3824"/>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95"/>
      <c r="Q13" s="1050">
        <f t="shared" si="6"/>
        <v>111</v>
      </c>
      <c r="R13" s="1381" t="s">
        <v>5</v>
      </c>
      <c r="S13" s="1382">
        <f t="shared" si="0"/>
        <v>100</v>
      </c>
      <c r="T13" s="1381" t="s">
        <v>5</v>
      </c>
      <c r="U13" s="1382">
        <f t="shared" si="1"/>
        <v>100</v>
      </c>
      <c r="V13" s="1381" t="s">
        <v>5</v>
      </c>
      <c r="W13" s="1382">
        <f t="shared" si="2"/>
        <v>100</v>
      </c>
      <c r="X13" s="1383"/>
      <c r="Y13" s="3824"/>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95"/>
      <c r="Q14" s="1050">
        <f t="shared" si="6"/>
        <v>111</v>
      </c>
      <c r="R14" s="1381" t="s">
        <v>5</v>
      </c>
      <c r="S14" s="1382">
        <f t="shared" si="0"/>
        <v>100</v>
      </c>
      <c r="T14" s="1381" t="s">
        <v>5</v>
      </c>
      <c r="U14" s="1382">
        <f t="shared" si="1"/>
        <v>100</v>
      </c>
      <c r="V14" s="1381" t="s">
        <v>5</v>
      </c>
      <c r="W14" s="1382">
        <f t="shared" si="2"/>
        <v>100</v>
      </c>
      <c r="X14" s="1383"/>
      <c r="Y14" s="3824"/>
      <c r="Z14" s="1049">
        <f t="shared" si="7"/>
        <v>111</v>
      </c>
      <c r="AA14" s="1384">
        <f t="shared" si="3"/>
        <v>1</v>
      </c>
      <c r="AB14" s="1384">
        <f t="shared" si="4"/>
        <v>1</v>
      </c>
      <c r="AC14" s="1384">
        <f t="shared" si="5"/>
        <v>1</v>
      </c>
    </row>
    <row r="15" spans="1:29" ht="57">
      <c r="A15" s="2389" t="s">
        <v>2033</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28" t="s">
        <v>488</v>
      </c>
      <c r="Q15" s="1385" t="str">
        <f t="shared" si="6"/>
        <v>产业集聚程度</v>
      </c>
      <c r="R15" s="1386" t="s">
        <v>5</v>
      </c>
      <c r="S15" s="1387">
        <f t="shared" si="0"/>
        <v>100</v>
      </c>
      <c r="T15" s="1386" t="s">
        <v>5</v>
      </c>
      <c r="U15" s="1387">
        <f t="shared" si="1"/>
        <v>100</v>
      </c>
      <c r="V15" s="1386" t="s">
        <v>5</v>
      </c>
      <c r="W15" s="1387">
        <f t="shared" si="2"/>
        <v>100</v>
      </c>
      <c r="X15" s="1380"/>
      <c r="Y15" s="3928" t="s">
        <v>488</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29"/>
      <c r="Q16" s="1385"/>
      <c r="R16" s="1386"/>
      <c r="S16" s="1387"/>
      <c r="T16" s="1386"/>
      <c r="U16" s="1387"/>
      <c r="V16" s="1386"/>
      <c r="W16" s="1387"/>
      <c r="X16" s="1380"/>
      <c r="Y16" s="3929"/>
      <c r="Z16" s="1388"/>
      <c r="AA16" s="1389">
        <v>1</v>
      </c>
      <c r="AB16" s="1389">
        <v>1</v>
      </c>
      <c r="AC16" s="1389">
        <v>1</v>
      </c>
    </row>
    <row r="17" spans="1:29" ht="85.5">
      <c r="A17" s="502"/>
      <c r="B17" s="834" t="s">
        <v>261</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29"/>
      <c r="Q17" s="1385" t="str">
        <f>B17</f>
        <v>交通便捷度</v>
      </c>
      <c r="R17" s="1386" t="s">
        <v>5</v>
      </c>
      <c r="S17" s="1387">
        <f>F17</f>
        <v>100</v>
      </c>
      <c r="T17" s="1386" t="s">
        <v>5</v>
      </c>
      <c r="U17" s="1387">
        <f>H17</f>
        <v>100</v>
      </c>
      <c r="V17" s="1386" t="s">
        <v>5</v>
      </c>
      <c r="W17" s="1387">
        <f>J17</f>
        <v>100</v>
      </c>
      <c r="X17" s="1380"/>
      <c r="Y17" s="392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29"/>
      <c r="Q18" s="1385"/>
      <c r="R18" s="1386"/>
      <c r="S18" s="1387"/>
      <c r="T18" s="1386"/>
      <c r="U18" s="1387"/>
      <c r="V18" s="1386"/>
      <c r="W18" s="1387"/>
      <c r="X18" s="1380"/>
      <c r="Y18" s="3929"/>
      <c r="Z18" s="1388"/>
      <c r="AA18" s="1389">
        <v>1</v>
      </c>
      <c r="AB18" s="1389">
        <v>1</v>
      </c>
      <c r="AC18" s="1389">
        <v>1</v>
      </c>
    </row>
    <row r="19" spans="1:29" ht="42.75">
      <c r="A19" s="502"/>
      <c r="B19" s="2210" t="s">
        <v>1826</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29"/>
      <c r="Q19" s="1385" t="str">
        <f>B19</f>
        <v>公共配套设施</v>
      </c>
      <c r="R19" s="1386" t="s">
        <v>5</v>
      </c>
      <c r="S19" s="1387">
        <f>F19</f>
        <v>100</v>
      </c>
      <c r="T19" s="1386" t="s">
        <v>5</v>
      </c>
      <c r="U19" s="1387">
        <f>H19</f>
        <v>100</v>
      </c>
      <c r="V19" s="1386" t="s">
        <v>5</v>
      </c>
      <c r="W19" s="1387">
        <f>J19</f>
        <v>100</v>
      </c>
      <c r="X19" s="1380"/>
      <c r="Y19" s="3929"/>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929"/>
      <c r="Q20" s="1385"/>
      <c r="R20" s="1386"/>
      <c r="S20" s="1387"/>
      <c r="T20" s="1386"/>
      <c r="U20" s="1387"/>
      <c r="V20" s="1386"/>
      <c r="W20" s="1387"/>
      <c r="X20" s="1380"/>
      <c r="Y20" s="3929"/>
      <c r="Z20" s="1388"/>
      <c r="AA20" s="1389">
        <v>1</v>
      </c>
      <c r="AB20" s="1389">
        <v>1</v>
      </c>
      <c r="AC20" s="1389">
        <v>1</v>
      </c>
    </row>
    <row r="21" spans="1:29" ht="28.5">
      <c r="A21" s="502"/>
      <c r="B21" s="2198" t="s">
        <v>1838</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29"/>
      <c r="Q21" s="2192" t="str">
        <f>B21</f>
        <v>基础设施水平</v>
      </c>
      <c r="R21" s="1386" t="s">
        <v>5</v>
      </c>
      <c r="S21" s="1387">
        <f>F21</f>
        <v>100</v>
      </c>
      <c r="T21" s="1386" t="s">
        <v>5</v>
      </c>
      <c r="U21" s="1387">
        <f>H21</f>
        <v>100</v>
      </c>
      <c r="V21" s="1386" t="s">
        <v>5</v>
      </c>
      <c r="W21" s="1387">
        <f>J21</f>
        <v>100</v>
      </c>
      <c r="X21" s="2194"/>
      <c r="Y21" s="3929"/>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929"/>
      <c r="Q22" s="2192"/>
      <c r="R22" s="1386"/>
      <c r="S22" s="1387"/>
      <c r="T22" s="1386"/>
      <c r="U22" s="1387"/>
      <c r="V22" s="1386"/>
      <c r="W22" s="1387"/>
      <c r="X22" s="2194"/>
      <c r="Y22" s="3929"/>
      <c r="Z22" s="2193"/>
      <c r="AA22" s="1389">
        <v>1</v>
      </c>
      <c r="AB22" s="1389">
        <v>1</v>
      </c>
      <c r="AC22" s="1389">
        <v>1</v>
      </c>
    </row>
    <row r="23" spans="1:29" ht="71.25">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29"/>
      <c r="Q23" s="1385" t="str">
        <f>B23</f>
        <v>环境质量</v>
      </c>
      <c r="R23" s="1386" t="s">
        <v>5</v>
      </c>
      <c r="S23" s="1387">
        <f>F23</f>
        <v>100</v>
      </c>
      <c r="T23" s="1386" t="s">
        <v>5</v>
      </c>
      <c r="U23" s="1387">
        <f>H23</f>
        <v>100</v>
      </c>
      <c r="V23" s="1386" t="s">
        <v>5</v>
      </c>
      <c r="W23" s="1387">
        <f>J23</f>
        <v>100</v>
      </c>
      <c r="X23" s="1380"/>
      <c r="Y23" s="3929"/>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929"/>
      <c r="Q24" s="1385"/>
      <c r="R24" s="1386"/>
      <c r="S24" s="1387"/>
      <c r="T24" s="1386"/>
      <c r="U24" s="1387"/>
      <c r="V24" s="1386"/>
      <c r="W24" s="1387"/>
      <c r="X24" s="1380"/>
      <c r="Y24" s="3929"/>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29"/>
      <c r="Q25" s="1385">
        <f>B25</f>
        <v>111</v>
      </c>
      <c r="R25" s="1386" t="s">
        <v>5</v>
      </c>
      <c r="S25" s="1387">
        <f>F25</f>
        <v>100</v>
      </c>
      <c r="T25" s="1386" t="s">
        <v>5</v>
      </c>
      <c r="U25" s="1387">
        <f>H25</f>
        <v>100</v>
      </c>
      <c r="V25" s="1386" t="s">
        <v>5</v>
      </c>
      <c r="W25" s="1387">
        <f>J25</f>
        <v>100</v>
      </c>
      <c r="X25" s="1380"/>
      <c r="Y25" s="3929"/>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29"/>
      <c r="Q26" s="1385">
        <f t="shared" ref="Q26:Q40" si="8">B26</f>
        <v>111</v>
      </c>
      <c r="R26" s="1386" t="s">
        <v>5</v>
      </c>
      <c r="S26" s="1387">
        <f>F26</f>
        <v>100</v>
      </c>
      <c r="T26" s="1386" t="s">
        <v>5</v>
      </c>
      <c r="U26" s="1387">
        <f>H26</f>
        <v>100</v>
      </c>
      <c r="V26" s="1386" t="s">
        <v>5</v>
      </c>
      <c r="W26" s="1387">
        <f>J26</f>
        <v>100</v>
      </c>
      <c r="X26" s="1380"/>
      <c r="Y26" s="3929"/>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29"/>
      <c r="Q27" s="1050">
        <f t="shared" si="8"/>
        <v>111</v>
      </c>
      <c r="R27" s="1381" t="s">
        <v>5</v>
      </c>
      <c r="S27" s="1382">
        <f>F27</f>
        <v>100</v>
      </c>
      <c r="T27" s="1381" t="s">
        <v>5</v>
      </c>
      <c r="U27" s="1382">
        <f>H27</f>
        <v>100</v>
      </c>
      <c r="V27" s="1381" t="s">
        <v>5</v>
      </c>
      <c r="W27" s="1382">
        <f>J27</f>
        <v>100</v>
      </c>
      <c r="X27" s="1383"/>
      <c r="Y27" s="3929"/>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29"/>
      <c r="Q28" s="1385">
        <f t="shared" si="8"/>
        <v>111</v>
      </c>
      <c r="R28" s="1386" t="s">
        <v>5</v>
      </c>
      <c r="S28" s="1387">
        <f t="shared" ref="S28:S40" si="9">F28</f>
        <v>100</v>
      </c>
      <c r="T28" s="1386" t="s">
        <v>5</v>
      </c>
      <c r="U28" s="1387">
        <f t="shared" ref="U28:U40" si="10">H28</f>
        <v>100</v>
      </c>
      <c r="V28" s="1386" t="s">
        <v>5</v>
      </c>
      <c r="W28" s="1387">
        <f t="shared" ref="W28:W40" si="11">J28</f>
        <v>100</v>
      </c>
      <c r="X28" s="1380"/>
      <c r="Y28" s="3929"/>
      <c r="Z28" s="1388">
        <f t="shared" ref="Z28:Z40" si="12">Q28</f>
        <v>111</v>
      </c>
      <c r="AA28" s="1389">
        <f t="shared" si="3"/>
        <v>1</v>
      </c>
      <c r="AB28" s="1389">
        <f t="shared" si="4"/>
        <v>1</v>
      </c>
      <c r="AC28" s="1389">
        <f t="shared" si="5"/>
        <v>1</v>
      </c>
    </row>
    <row r="29" spans="1:29" ht="15">
      <c r="A29" s="2386" t="s">
        <v>2034</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30" t="s">
        <v>498</v>
      </c>
      <c r="Q29" s="1385" t="str">
        <f t="shared" si="8"/>
        <v>建筑类型</v>
      </c>
      <c r="R29" s="1386" t="s">
        <v>5</v>
      </c>
      <c r="S29" s="1387">
        <f t="shared" si="9"/>
        <v>100</v>
      </c>
      <c r="T29" s="1386" t="s">
        <v>5</v>
      </c>
      <c r="U29" s="1387">
        <f t="shared" si="10"/>
        <v>100</v>
      </c>
      <c r="V29" s="1386" t="s">
        <v>5</v>
      </c>
      <c r="W29" s="1387">
        <f t="shared" si="11"/>
        <v>100</v>
      </c>
      <c r="X29" s="1380"/>
      <c r="Y29" s="3931" t="s">
        <v>498</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31"/>
      <c r="Q30" s="1414" t="str">
        <f t="shared" si="8"/>
        <v>项目建筑规模</v>
      </c>
      <c r="R30" s="1390" t="s">
        <v>5</v>
      </c>
      <c r="S30" s="1391" t="e">
        <f t="shared" si="9"/>
        <v>#N/A</v>
      </c>
      <c r="T30" s="1390" t="s">
        <v>5</v>
      </c>
      <c r="U30" s="1391" t="e">
        <f t="shared" si="10"/>
        <v>#N/A</v>
      </c>
      <c r="V30" s="1390" t="s">
        <v>5</v>
      </c>
      <c r="W30" s="1391" t="e">
        <f t="shared" si="11"/>
        <v>#N/A</v>
      </c>
      <c r="X30" s="1392"/>
      <c r="Y30" s="3931"/>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31"/>
      <c r="Q31" s="1385" t="str">
        <f t="shared" si="8"/>
        <v>建筑结构</v>
      </c>
      <c r="R31" s="1386" t="s">
        <v>5</v>
      </c>
      <c r="S31" s="1387">
        <f t="shared" si="9"/>
        <v>100</v>
      </c>
      <c r="T31" s="1386" t="s">
        <v>5</v>
      </c>
      <c r="U31" s="1387">
        <f t="shared" si="10"/>
        <v>100</v>
      </c>
      <c r="V31" s="1386" t="s">
        <v>5</v>
      </c>
      <c r="W31" s="1387">
        <f t="shared" si="11"/>
        <v>100</v>
      </c>
      <c r="X31" s="1380"/>
      <c r="Y31" s="3931"/>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31"/>
      <c r="Q32" s="1385" t="str">
        <f t="shared" si="8"/>
        <v>公共部分装修</v>
      </c>
      <c r="R32" s="1386" t="s">
        <v>5</v>
      </c>
      <c r="S32" s="1387">
        <f t="shared" si="9"/>
        <v>100</v>
      </c>
      <c r="T32" s="1386" t="s">
        <v>5</v>
      </c>
      <c r="U32" s="1387">
        <f t="shared" si="10"/>
        <v>100</v>
      </c>
      <c r="V32" s="1386" t="s">
        <v>5</v>
      </c>
      <c r="W32" s="1387">
        <f t="shared" si="11"/>
        <v>100</v>
      </c>
      <c r="X32" s="1380"/>
      <c r="Y32" s="3931"/>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31"/>
      <c r="Q33" s="1385" t="str">
        <f t="shared" si="8"/>
        <v>成新度</v>
      </c>
      <c r="R33" s="1386" t="s">
        <v>5</v>
      </c>
      <c r="S33" s="1387" t="e">
        <f t="shared" si="9"/>
        <v>#N/A</v>
      </c>
      <c r="T33" s="1386" t="s">
        <v>5</v>
      </c>
      <c r="U33" s="1387" t="e">
        <f t="shared" si="10"/>
        <v>#N/A</v>
      </c>
      <c r="V33" s="1386" t="s">
        <v>5</v>
      </c>
      <c r="W33" s="1387" t="e">
        <f t="shared" si="11"/>
        <v>#N/A</v>
      </c>
      <c r="X33" s="1380"/>
      <c r="Y33" s="3931"/>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31"/>
      <c r="Q34" s="1050" t="str">
        <f t="shared" si="8"/>
        <v>物业管理</v>
      </c>
      <c r="R34" s="1381" t="s">
        <v>5</v>
      </c>
      <c r="S34" s="1382">
        <f t="shared" si="9"/>
        <v>100</v>
      </c>
      <c r="T34" s="1381" t="s">
        <v>5</v>
      </c>
      <c r="U34" s="1382">
        <f t="shared" si="10"/>
        <v>100</v>
      </c>
      <c r="V34" s="1381" t="s">
        <v>5</v>
      </c>
      <c r="W34" s="1382">
        <f t="shared" si="11"/>
        <v>100</v>
      </c>
      <c r="X34" s="1383"/>
      <c r="Y34" s="3931"/>
      <c r="Z34" s="1049" t="str">
        <f t="shared" si="12"/>
        <v>物业管理</v>
      </c>
      <c r="AA34" s="1384">
        <f t="shared" si="3"/>
        <v>1</v>
      </c>
      <c r="AB34" s="1384">
        <f t="shared" si="4"/>
        <v>1</v>
      </c>
      <c r="AC34" s="1384">
        <f t="shared" si="5"/>
        <v>1</v>
      </c>
    </row>
    <row r="35" spans="1:29" ht="15">
      <c r="A35" s="564"/>
      <c r="B35" s="1650" t="s">
        <v>1845</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31" t="s">
        <v>498</v>
      </c>
      <c r="Q35" s="1385" t="str">
        <f t="shared" si="8"/>
        <v>市政基础设施</v>
      </c>
      <c r="R35" s="1386" t="s">
        <v>5</v>
      </c>
      <c r="S35" s="1387">
        <f t="shared" si="9"/>
        <v>100</v>
      </c>
      <c r="T35" s="1386" t="s">
        <v>5</v>
      </c>
      <c r="U35" s="1387">
        <f t="shared" si="10"/>
        <v>100</v>
      </c>
      <c r="V35" s="1386" t="s">
        <v>5</v>
      </c>
      <c r="W35" s="1387">
        <f t="shared" si="11"/>
        <v>100</v>
      </c>
      <c r="X35" s="1380"/>
      <c r="Y35" s="3931" t="s">
        <v>498</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31"/>
      <c r="Q36" s="1385" t="str">
        <f t="shared" si="8"/>
        <v>内部装修</v>
      </c>
      <c r="R36" s="1386" t="s">
        <v>5</v>
      </c>
      <c r="S36" s="1387">
        <f t="shared" si="9"/>
        <v>100</v>
      </c>
      <c r="T36" s="1386" t="s">
        <v>5</v>
      </c>
      <c r="U36" s="1387">
        <f t="shared" si="10"/>
        <v>100</v>
      </c>
      <c r="V36" s="1386" t="s">
        <v>5</v>
      </c>
      <c r="W36" s="1387">
        <f t="shared" si="11"/>
        <v>100</v>
      </c>
      <c r="X36" s="1380"/>
      <c r="Y36" s="3931"/>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31"/>
      <c r="Q37" s="1385" t="str">
        <f t="shared" si="8"/>
        <v>内部装修状况</v>
      </c>
      <c r="R37" s="1386" t="s">
        <v>5</v>
      </c>
      <c r="S37" s="1387">
        <f t="shared" si="9"/>
        <v>100</v>
      </c>
      <c r="T37" s="1386" t="s">
        <v>5</v>
      </c>
      <c r="U37" s="1387">
        <f t="shared" si="10"/>
        <v>100</v>
      </c>
      <c r="V37" s="1386" t="s">
        <v>5</v>
      </c>
      <c r="W37" s="1387">
        <f t="shared" si="11"/>
        <v>100</v>
      </c>
      <c r="X37" s="1380"/>
      <c r="Y37" s="3931"/>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31"/>
      <c r="Q38" s="1414">
        <f t="shared" si="8"/>
        <v>111</v>
      </c>
      <c r="R38" s="1390" t="s">
        <v>5</v>
      </c>
      <c r="S38" s="1391">
        <f t="shared" si="9"/>
        <v>100</v>
      </c>
      <c r="T38" s="1390" t="s">
        <v>5</v>
      </c>
      <c r="U38" s="1391">
        <f t="shared" si="10"/>
        <v>100</v>
      </c>
      <c r="V38" s="1390" t="s">
        <v>5</v>
      </c>
      <c r="W38" s="1391">
        <f t="shared" si="11"/>
        <v>100</v>
      </c>
      <c r="X38" s="1392"/>
      <c r="Y38" s="3931"/>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31"/>
      <c r="Q39" s="1385">
        <f t="shared" si="8"/>
        <v>111</v>
      </c>
      <c r="R39" s="1386" t="s">
        <v>5</v>
      </c>
      <c r="S39" s="1387">
        <f t="shared" si="9"/>
        <v>100</v>
      </c>
      <c r="T39" s="1386" t="s">
        <v>5</v>
      </c>
      <c r="U39" s="1387">
        <f t="shared" si="10"/>
        <v>100</v>
      </c>
      <c r="V39" s="1386" t="s">
        <v>5</v>
      </c>
      <c r="W39" s="1387">
        <f t="shared" si="11"/>
        <v>100</v>
      </c>
      <c r="X39" s="1380"/>
      <c r="Y39" s="3931"/>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07"/>
      <c r="Q40" s="1385">
        <f t="shared" si="8"/>
        <v>111</v>
      </c>
      <c r="R40" s="1386" t="s">
        <v>5</v>
      </c>
      <c r="S40" s="1387">
        <f t="shared" si="9"/>
        <v>100</v>
      </c>
      <c r="T40" s="1386" t="s">
        <v>5</v>
      </c>
      <c r="U40" s="1387">
        <f t="shared" si="10"/>
        <v>100</v>
      </c>
      <c r="V40" s="1386" t="s">
        <v>5</v>
      </c>
      <c r="W40" s="1387">
        <f t="shared" si="11"/>
        <v>100</v>
      </c>
      <c r="X40" s="1380"/>
      <c r="Y40" s="4007"/>
      <c r="Z40" s="1388">
        <f t="shared" si="12"/>
        <v>111</v>
      </c>
      <c r="AA40" s="1389">
        <f t="shared" si="3"/>
        <v>1</v>
      </c>
      <c r="AB40" s="1389">
        <f t="shared" si="4"/>
        <v>1</v>
      </c>
      <c r="AC40" s="1389">
        <f t="shared" si="5"/>
        <v>1</v>
      </c>
    </row>
    <row r="41" spans="1:29" ht="15">
      <c r="A41" s="577" t="s">
        <v>682</v>
      </c>
      <c r="B41" s="850"/>
      <c r="C41" s="2233" t="s">
        <v>0</v>
      </c>
      <c r="D41" s="2234"/>
      <c r="E41" s="2235"/>
      <c r="F41" s="2236"/>
      <c r="G41" s="2237"/>
      <c r="H41" s="2238"/>
      <c r="I41" s="2235"/>
      <c r="J41" s="2238"/>
      <c r="K41" s="1419"/>
      <c r="L41" s="1866"/>
      <c r="M41" s="1867"/>
      <c r="N41" s="1856"/>
      <c r="O41" s="1867"/>
      <c r="P41" s="3895" t="str">
        <f>A41</f>
        <v>成交单价（元/平方米）</v>
      </c>
      <c r="Q41" s="3895"/>
      <c r="R41" s="4006">
        <f>E41</f>
        <v>0</v>
      </c>
      <c r="S41" s="4006"/>
      <c r="T41" s="4006">
        <f>G41</f>
        <v>0</v>
      </c>
      <c r="U41" s="4006"/>
      <c r="V41" s="4006">
        <f>I41</f>
        <v>0</v>
      </c>
      <c r="W41" s="4006"/>
      <c r="X41" s="1375"/>
      <c r="Y41" s="1394"/>
      <c r="Z41" s="1375"/>
      <c r="AA41" s="1375"/>
      <c r="AB41" s="1375"/>
      <c r="AC41" s="1375"/>
    </row>
    <row r="42" spans="1:29" ht="15.75" thickBot="1">
      <c r="A42" s="585" t="s">
        <v>2039</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895" t="str">
        <f>A42</f>
        <v>比较价格（元/平方米）</v>
      </c>
      <c r="Q42" s="3895"/>
      <c r="R42" s="4006" t="e">
        <f>IF(F1="售价",ROUND(PRODUCT(R41,AA7:AA40),0),ROUND(PRODUCT(R41,AA7:AA40),1))</f>
        <v>#DIV/0!</v>
      </c>
      <c r="S42" s="4006"/>
      <c r="T42" s="4006" t="e">
        <f>IF(F1="售价",ROUND(PRODUCT(T41,AB7:AB40),0),ROUND(PRODUCT(T41,AB7:AB40),1))</f>
        <v>#DIV/0!</v>
      </c>
      <c r="U42" s="4006"/>
      <c r="V42" s="4006" t="e">
        <f>IF(F1="售价",ROUND(PRODUCT(V41,AC7:AC40),0),ROUND(PRODUCT(V41,AC7:AC40),1))</f>
        <v>#DIV/0!</v>
      </c>
      <c r="W42" s="4006"/>
      <c r="X42" s="1375"/>
      <c r="Y42" s="1375"/>
      <c r="Z42" s="1375"/>
      <c r="AA42" s="1375"/>
      <c r="AB42" s="1375"/>
      <c r="AC42" s="1375"/>
    </row>
    <row r="43" spans="1:29" ht="15.75" thickBot="1">
      <c r="A43" s="589" t="s">
        <v>2194</v>
      </c>
      <c r="B43" s="590"/>
      <c r="C43" s="2241" t="e">
        <f>R43</f>
        <v>#DIV/0!</v>
      </c>
      <c r="D43" s="2241"/>
      <c r="E43" s="2241"/>
      <c r="F43" s="2241"/>
      <c r="G43" s="2241"/>
      <c r="H43" s="2241"/>
      <c r="I43" s="2241"/>
      <c r="J43" s="2241"/>
      <c r="K43" s="1420"/>
      <c r="L43" s="1866"/>
      <c r="M43" s="1867"/>
      <c r="N43" s="1867"/>
      <c r="O43" s="1867"/>
      <c r="P43" s="3932" t="str">
        <f>A43</f>
        <v>估价对象XX用房的比较价格（楼面单价，元/平方米）</v>
      </c>
      <c r="Q43" s="3933"/>
      <c r="R43" s="4005" t="e">
        <f>IF(F1="售价",ROUND(IF(D42="简单平均",AVERAGE(R42:V42),R42*F42+T42*H42+V42*J42),0),ROUND(IF(D42="简单平均",AVERAGE(R42:V42),R42*F42+T42*H42+V42*J42),1))</f>
        <v>#DIV/0!</v>
      </c>
      <c r="S43" s="4005"/>
      <c r="T43" s="4005"/>
      <c r="U43" s="4005"/>
      <c r="V43" s="4005"/>
      <c r="W43" s="4005"/>
      <c r="X43" s="1375"/>
      <c r="Y43" s="1375"/>
      <c r="Z43" s="1375"/>
      <c r="AA43" s="1375"/>
      <c r="AB43" s="1375"/>
      <c r="AC43" s="1375"/>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505</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506</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7"/>
      <c r="B48" s="2957"/>
      <c r="C48" s="592" t="s">
        <v>507</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521</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477</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522</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479</v>
      </c>
      <c r="B55" s="616"/>
      <c r="C55" s="628" t="s">
        <v>523</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524</v>
      </c>
      <c r="B57" s="633" t="s">
        <v>482</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485</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486</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487</v>
      </c>
      <c r="B70" s="633" t="s">
        <v>532</v>
      </c>
      <c r="C70" s="671" t="s">
        <v>526</v>
      </c>
      <c r="D70" s="671" t="s">
        <v>527</v>
      </c>
      <c r="E70" s="671" t="s">
        <v>528</v>
      </c>
      <c r="F70" s="671" t="s">
        <v>529</v>
      </c>
      <c r="G70" s="671" t="s">
        <v>530</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533</v>
      </c>
      <c r="C72" s="676" t="s">
        <v>526</v>
      </c>
      <c r="D72" s="676" t="s">
        <v>527</v>
      </c>
      <c r="E72" s="676" t="s">
        <v>528</v>
      </c>
      <c r="F72" s="676" t="s">
        <v>529</v>
      </c>
      <c r="G72" s="676" t="s">
        <v>530</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1837</v>
      </c>
      <c r="C74" s="676" t="s">
        <v>526</v>
      </c>
      <c r="D74" s="676" t="s">
        <v>527</v>
      </c>
      <c r="E74" s="676" t="s">
        <v>528</v>
      </c>
      <c r="F74" s="676" t="s">
        <v>529</v>
      </c>
      <c r="G74" s="676" t="s">
        <v>530</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1838</v>
      </c>
      <c r="C76" s="2205" t="s">
        <v>1839</v>
      </c>
      <c r="D76" s="2205" t="s">
        <v>1840</v>
      </c>
      <c r="E76" s="2205" t="s">
        <v>1841</v>
      </c>
      <c r="F76" s="2205" t="s">
        <v>1842</v>
      </c>
      <c r="G76" s="2205" t="s">
        <v>1843</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723</v>
      </c>
      <c r="C78" s="676" t="s">
        <v>526</v>
      </c>
      <c r="D78" s="676" t="s">
        <v>527</v>
      </c>
      <c r="E78" s="676" t="s">
        <v>528</v>
      </c>
      <c r="F78" s="676" t="s">
        <v>529</v>
      </c>
      <c r="G78" s="676" t="s">
        <v>530</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499</v>
      </c>
      <c r="B88" s="633" t="s">
        <v>686</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688</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690</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692</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1836</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694</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730</v>
      </c>
      <c r="C106" s="676" t="s">
        <v>526</v>
      </c>
      <c r="D106" s="676" t="s">
        <v>527</v>
      </c>
      <c r="E106" s="676" t="s">
        <v>528</v>
      </c>
      <c r="F106" s="676" t="s">
        <v>529</v>
      </c>
      <c r="G106" s="676" t="s">
        <v>530</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6"/>
      <c r="G1" s="1410" t="s">
        <v>732</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733</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734</v>
      </c>
      <c r="B3" s="480" t="e">
        <f>IF(B37="元/平方米",C39,ROUND(B2*10000/D3,0))</f>
        <v>#DIV/0!</v>
      </c>
      <c r="C3" s="817" t="s">
        <v>735</v>
      </c>
      <c r="D3" s="816">
        <f>SUMIF('数据-汇总表'!$C19:$C33,D1,'数据-汇总表'!$E19:$E33)</f>
        <v>0</v>
      </c>
      <c r="E3" s="1633" t="s">
        <v>1591</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736</v>
      </c>
      <c r="B4" s="483"/>
      <c r="C4" s="3901" t="s">
        <v>737</v>
      </c>
      <c r="D4" s="3902"/>
      <c r="E4" s="3901" t="s">
        <v>738</v>
      </c>
      <c r="F4" s="3902"/>
      <c r="G4" s="3901" t="s">
        <v>739</v>
      </c>
      <c r="H4" s="3902"/>
      <c r="I4" s="3901" t="s">
        <v>740</v>
      </c>
      <c r="J4" s="3902"/>
      <c r="K4" s="484" t="s">
        <v>741</v>
      </c>
      <c r="L4" s="1855"/>
      <c r="M4" s="1856"/>
      <c r="N4" s="1856"/>
      <c r="O4" s="1856"/>
      <c r="P4" s="3903" t="s">
        <v>742</v>
      </c>
      <c r="Q4" s="3904"/>
      <c r="R4" s="3909" t="s">
        <v>738</v>
      </c>
      <c r="S4" s="3910"/>
      <c r="T4" s="3909" t="s">
        <v>739</v>
      </c>
      <c r="U4" s="3910"/>
      <c r="V4" s="3896" t="s">
        <v>740</v>
      </c>
      <c r="W4" s="3896"/>
      <c r="X4" s="1380"/>
      <c r="Y4" s="3909" t="s">
        <v>742</v>
      </c>
      <c r="Z4" s="3910"/>
      <c r="AA4" s="3898" t="s">
        <v>738</v>
      </c>
      <c r="AB4" s="3899" t="s">
        <v>739</v>
      </c>
      <c r="AC4" s="3898" t="s">
        <v>740</v>
      </c>
    </row>
    <row r="5" spans="1:29" ht="15">
      <c r="A5" s="485"/>
      <c r="B5" s="486"/>
      <c r="C5" s="3917" t="s">
        <v>2188</v>
      </c>
      <c r="D5" s="3918"/>
      <c r="E5" s="3917" t="s">
        <v>2189</v>
      </c>
      <c r="F5" s="3918"/>
      <c r="G5" s="3917" t="s">
        <v>2190</v>
      </c>
      <c r="H5" s="3918"/>
      <c r="I5" s="3917" t="s">
        <v>2191</v>
      </c>
      <c r="J5" s="3918"/>
      <c r="K5" s="484"/>
      <c r="L5" s="1855"/>
      <c r="M5" s="1856"/>
      <c r="N5" s="1856"/>
      <c r="O5" s="1856"/>
      <c r="P5" s="3905"/>
      <c r="Q5" s="3906"/>
      <c r="R5" s="3911"/>
      <c r="S5" s="3912"/>
      <c r="T5" s="3911"/>
      <c r="U5" s="3912"/>
      <c r="V5" s="3896"/>
      <c r="W5" s="3896"/>
      <c r="X5" s="1380"/>
      <c r="Y5" s="3911"/>
      <c r="Z5" s="3912"/>
      <c r="AA5" s="3899"/>
      <c r="AB5" s="3899"/>
      <c r="AC5" s="3899"/>
    </row>
    <row r="6" spans="1:29" ht="15.75" thickBot="1">
      <c r="A6" s="487"/>
      <c r="B6" s="488"/>
      <c r="C6" s="3915" t="s">
        <v>2192</v>
      </c>
      <c r="D6" s="3916"/>
      <c r="E6" s="3919" t="s">
        <v>2192</v>
      </c>
      <c r="F6" s="3920"/>
      <c r="G6" s="3915" t="s">
        <v>2192</v>
      </c>
      <c r="H6" s="3916"/>
      <c r="I6" s="3915" t="s">
        <v>2192</v>
      </c>
      <c r="J6" s="3916"/>
      <c r="K6" s="484" t="s">
        <v>476</v>
      </c>
      <c r="L6" s="1855"/>
      <c r="M6" s="1856"/>
      <c r="N6" s="1856"/>
      <c r="O6" s="1856"/>
      <c r="P6" s="3907"/>
      <c r="Q6" s="3908"/>
      <c r="R6" s="3911"/>
      <c r="S6" s="3912"/>
      <c r="T6" s="3913"/>
      <c r="U6" s="3914"/>
      <c r="V6" s="3896"/>
      <c r="W6" s="3896"/>
      <c r="X6" s="1380"/>
      <c r="Y6" s="3913"/>
      <c r="Z6" s="3914"/>
      <c r="AA6" s="3900"/>
      <c r="AB6" s="3900"/>
      <c r="AC6" s="3900"/>
    </row>
    <row r="7" spans="1:29" s="1118" customFormat="1" ht="15.75" thickBot="1">
      <c r="A7" s="2391"/>
      <c r="B7" s="2398" t="s">
        <v>477</v>
      </c>
      <c r="C7" s="489">
        <f>'数据-取费表'!B2</f>
        <v>44942</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25" t="s">
        <v>478</v>
      </c>
      <c r="Q7" s="3927"/>
      <c r="R7" s="1381" t="s">
        <v>5</v>
      </c>
      <c r="S7" s="1382">
        <f t="shared" ref="S7:S14" si="0">F7</f>
        <v>0</v>
      </c>
      <c r="T7" s="1381" t="s">
        <v>5</v>
      </c>
      <c r="U7" s="1382">
        <f t="shared" ref="U7:U14" si="1">H7</f>
        <v>0</v>
      </c>
      <c r="V7" s="1381" t="s">
        <v>5</v>
      </c>
      <c r="W7" s="1382">
        <f t="shared" ref="W7:W14" si="2">J7</f>
        <v>0</v>
      </c>
      <c r="X7" s="1383"/>
      <c r="Y7" s="3925" t="s">
        <v>478</v>
      </c>
      <c r="Z7" s="3926"/>
      <c r="AA7" s="1384" t="e">
        <f>D7/F7</f>
        <v>#DIV/0!</v>
      </c>
      <c r="AB7" s="1384" t="e">
        <f>D7/H7</f>
        <v>#DIV/0!</v>
      </c>
      <c r="AC7" s="1384" t="e">
        <f>D7/J7</f>
        <v>#DIV/0!</v>
      </c>
    </row>
    <row r="8" spans="1:29" s="1118" customFormat="1" ht="15.75" thickBot="1">
      <c r="A8" s="2392"/>
      <c r="B8" s="2399" t="s">
        <v>479</v>
      </c>
      <c r="C8" s="495" t="s">
        <v>523</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25" t="s">
        <v>481</v>
      </c>
      <c r="Q8" s="3926"/>
      <c r="R8" s="1381" t="s">
        <v>5</v>
      </c>
      <c r="S8" s="1382">
        <f t="shared" si="0"/>
        <v>0</v>
      </c>
      <c r="T8" s="1381" t="s">
        <v>5</v>
      </c>
      <c r="U8" s="1382">
        <f t="shared" si="1"/>
        <v>0</v>
      </c>
      <c r="V8" s="1381" t="s">
        <v>5</v>
      </c>
      <c r="W8" s="1382">
        <f t="shared" si="2"/>
        <v>0</v>
      </c>
      <c r="X8" s="1383"/>
      <c r="Y8" s="3925" t="s">
        <v>481</v>
      </c>
      <c r="Z8" s="3926"/>
      <c r="AA8" s="1384" t="e">
        <f t="shared" ref="AA8:AA36" si="3">D8/F8</f>
        <v>#DIV/0!</v>
      </c>
      <c r="AB8" s="1384" t="e">
        <f t="shared" ref="AB8:AB36" si="4">D8/H8</f>
        <v>#DIV/0!</v>
      </c>
      <c r="AC8" s="1384" t="e">
        <f t="shared" ref="AC8:AC36" si="5">D8/J8</f>
        <v>#DIV/0!</v>
      </c>
    </row>
    <row r="9" spans="1:29" s="1118" customFormat="1" ht="15">
      <c r="A9" s="2393"/>
      <c r="B9" s="2400" t="s">
        <v>2035</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95" t="s">
        <v>483</v>
      </c>
      <c r="Q9" s="1050" t="str">
        <f t="shared" ref="Q9:Q14" si="6">B9</f>
        <v>用途</v>
      </c>
      <c r="R9" s="1381" t="s">
        <v>5</v>
      </c>
      <c r="S9" s="1382">
        <f t="shared" si="0"/>
        <v>100</v>
      </c>
      <c r="T9" s="1381" t="s">
        <v>5</v>
      </c>
      <c r="U9" s="1382">
        <f t="shared" si="1"/>
        <v>100</v>
      </c>
      <c r="V9" s="1381" t="s">
        <v>5</v>
      </c>
      <c r="W9" s="1382">
        <f t="shared" si="2"/>
        <v>100</v>
      </c>
      <c r="X9" s="1383"/>
      <c r="Y9" s="3824" t="s">
        <v>484</v>
      </c>
      <c r="Z9" s="1049" t="str">
        <f t="shared" ref="Z9:Z14" si="7">Q9</f>
        <v>用途</v>
      </c>
      <c r="AA9" s="1384">
        <f t="shared" si="3"/>
        <v>1</v>
      </c>
      <c r="AB9" s="1384">
        <f t="shared" si="4"/>
        <v>1</v>
      </c>
      <c r="AC9" s="1384">
        <f t="shared" si="5"/>
        <v>1</v>
      </c>
    </row>
    <row r="10" spans="1:29" s="1199" customFormat="1" ht="27">
      <c r="A10" s="2394"/>
      <c r="B10" s="2399" t="s">
        <v>2036</v>
      </c>
      <c r="C10" s="3659"/>
      <c r="D10" s="246">
        <v>100</v>
      </c>
      <c r="E10" s="3659"/>
      <c r="F10" s="246">
        <f>SUMIF(55:55,E10,56:56)-SUMIF(55:55,C10,56:56)+100</f>
        <v>100</v>
      </c>
      <c r="G10" s="3660"/>
      <c r="H10" s="246">
        <f>SUMIF(55:55,G10,56:56)-SUMIF(55:55,C10,56:56)+100</f>
        <v>100</v>
      </c>
      <c r="I10" s="3659"/>
      <c r="J10" s="246">
        <f>SUMIF(55:55,I10,56:56)-SUMIF(55:55,C10,56:56)+100</f>
        <v>100</v>
      </c>
      <c r="K10" s="494"/>
      <c r="L10" s="1860"/>
      <c r="M10" s="1899"/>
      <c r="N10" s="1899"/>
      <c r="O10" s="1861"/>
      <c r="P10" s="3895"/>
      <c r="Q10" s="1050" t="str">
        <f t="shared" si="6"/>
        <v>土地使用年限（年）</v>
      </c>
      <c r="R10" s="1381" t="s">
        <v>5</v>
      </c>
      <c r="S10" s="1382">
        <f t="shared" si="0"/>
        <v>100</v>
      </c>
      <c r="T10" s="1381" t="s">
        <v>5</v>
      </c>
      <c r="U10" s="1382">
        <f t="shared" si="1"/>
        <v>100</v>
      </c>
      <c r="V10" s="1381" t="s">
        <v>5</v>
      </c>
      <c r="W10" s="1382">
        <f t="shared" si="2"/>
        <v>100</v>
      </c>
      <c r="X10" s="1383"/>
      <c r="Y10" s="3824"/>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95"/>
      <c r="Q11" s="1050">
        <f t="shared" si="6"/>
        <v>111</v>
      </c>
      <c r="R11" s="1381" t="s">
        <v>5</v>
      </c>
      <c r="S11" s="1382">
        <f t="shared" si="0"/>
        <v>100</v>
      </c>
      <c r="T11" s="1381" t="s">
        <v>5</v>
      </c>
      <c r="U11" s="1382">
        <f t="shared" si="1"/>
        <v>100</v>
      </c>
      <c r="V11" s="1381" t="s">
        <v>5</v>
      </c>
      <c r="W11" s="1382">
        <f t="shared" si="2"/>
        <v>100</v>
      </c>
      <c r="X11" s="1383"/>
      <c r="Y11" s="3824"/>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95"/>
      <c r="Q12" s="1050">
        <f t="shared" si="6"/>
        <v>111</v>
      </c>
      <c r="R12" s="1381" t="s">
        <v>5</v>
      </c>
      <c r="S12" s="1382">
        <f t="shared" si="0"/>
        <v>100</v>
      </c>
      <c r="T12" s="1381" t="s">
        <v>5</v>
      </c>
      <c r="U12" s="1382">
        <f t="shared" si="1"/>
        <v>100</v>
      </c>
      <c r="V12" s="1381" t="s">
        <v>5</v>
      </c>
      <c r="W12" s="1382">
        <f t="shared" si="2"/>
        <v>100</v>
      </c>
      <c r="X12" s="1383"/>
      <c r="Y12" s="3824"/>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95"/>
      <c r="Q13" s="1050">
        <f t="shared" si="6"/>
        <v>111</v>
      </c>
      <c r="R13" s="1381" t="s">
        <v>5</v>
      </c>
      <c r="S13" s="1382">
        <f t="shared" si="0"/>
        <v>100</v>
      </c>
      <c r="T13" s="1381" t="s">
        <v>5</v>
      </c>
      <c r="U13" s="1382">
        <f t="shared" si="1"/>
        <v>100</v>
      </c>
      <c r="V13" s="1381" t="s">
        <v>5</v>
      </c>
      <c r="W13" s="1382">
        <f t="shared" si="2"/>
        <v>100</v>
      </c>
      <c r="X13" s="1383"/>
      <c r="Y13" s="3824"/>
      <c r="Z13" s="1049">
        <f t="shared" si="7"/>
        <v>111</v>
      </c>
      <c r="AA13" s="1384">
        <f t="shared" si="3"/>
        <v>1</v>
      </c>
      <c r="AB13" s="1384">
        <f t="shared" si="4"/>
        <v>1</v>
      </c>
      <c r="AC13" s="1384">
        <f t="shared" si="5"/>
        <v>1</v>
      </c>
    </row>
    <row r="14" spans="1:29" ht="85.5">
      <c r="A14" s="2389" t="s">
        <v>2033</v>
      </c>
      <c r="B14" s="517" t="s">
        <v>491</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28" t="s">
        <v>488</v>
      </c>
      <c r="Q14" s="1385" t="str">
        <f t="shared" si="6"/>
        <v>交通便捷度</v>
      </c>
      <c r="R14" s="1386" t="s">
        <v>5</v>
      </c>
      <c r="S14" s="1387">
        <f t="shared" si="0"/>
        <v>100</v>
      </c>
      <c r="T14" s="1386" t="s">
        <v>5</v>
      </c>
      <c r="U14" s="1387">
        <f t="shared" si="1"/>
        <v>100</v>
      </c>
      <c r="V14" s="1386" t="s">
        <v>5</v>
      </c>
      <c r="W14" s="1387">
        <f t="shared" si="2"/>
        <v>100</v>
      </c>
      <c r="X14" s="1380"/>
      <c r="Y14" s="3928" t="s">
        <v>488</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929"/>
      <c r="Q15" s="1385"/>
      <c r="R15" s="1386"/>
      <c r="S15" s="1387"/>
      <c r="T15" s="1386"/>
      <c r="U15" s="1387"/>
      <c r="V15" s="1386"/>
      <c r="W15" s="1387"/>
      <c r="X15" s="1380"/>
      <c r="Y15" s="3929"/>
      <c r="Z15" s="1388"/>
      <c r="AA15" s="1389">
        <v>1</v>
      </c>
      <c r="AB15" s="1389">
        <v>1</v>
      </c>
      <c r="AC15" s="1389">
        <v>1</v>
      </c>
    </row>
    <row r="16" spans="1:29" ht="42.75">
      <c r="A16" s="485"/>
      <c r="B16" s="2210" t="s">
        <v>1826</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29"/>
      <c r="Q16" s="1385" t="str">
        <f>B16</f>
        <v>公共配套设施</v>
      </c>
      <c r="R16" s="1386" t="s">
        <v>5</v>
      </c>
      <c r="S16" s="1387">
        <f>F16</f>
        <v>100</v>
      </c>
      <c r="T16" s="1386" t="s">
        <v>5</v>
      </c>
      <c r="U16" s="1387">
        <f>H16</f>
        <v>100</v>
      </c>
      <c r="V16" s="1386" t="s">
        <v>5</v>
      </c>
      <c r="W16" s="1387">
        <f>J16</f>
        <v>100</v>
      </c>
      <c r="X16" s="1380"/>
      <c r="Y16" s="3929"/>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929"/>
      <c r="Q17" s="1385"/>
      <c r="R17" s="1386"/>
      <c r="S17" s="1387"/>
      <c r="T17" s="1386"/>
      <c r="U17" s="1387"/>
      <c r="V17" s="1386"/>
      <c r="W17" s="1387"/>
      <c r="X17" s="1380"/>
      <c r="Y17" s="3929"/>
      <c r="Z17" s="1388"/>
      <c r="AA17" s="1389">
        <v>1</v>
      </c>
      <c r="AB17" s="1389">
        <v>1</v>
      </c>
      <c r="AC17" s="1389">
        <v>1</v>
      </c>
    </row>
    <row r="18" spans="1:29" ht="28.5">
      <c r="A18" s="485"/>
      <c r="B18" s="2198" t="s">
        <v>1838</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29"/>
      <c r="Q18" s="2192" t="str">
        <f>B18</f>
        <v>基础设施水平</v>
      </c>
      <c r="R18" s="1386" t="s">
        <v>5</v>
      </c>
      <c r="S18" s="1387">
        <f>F18</f>
        <v>100</v>
      </c>
      <c r="T18" s="1386" t="s">
        <v>5</v>
      </c>
      <c r="U18" s="1387">
        <f>H18</f>
        <v>100</v>
      </c>
      <c r="V18" s="1386" t="s">
        <v>5</v>
      </c>
      <c r="W18" s="1387">
        <f>J18</f>
        <v>100</v>
      </c>
      <c r="X18" s="2194"/>
      <c r="Y18" s="3929"/>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929"/>
      <c r="Q19" s="2192"/>
      <c r="R19" s="1386"/>
      <c r="S19" s="1387"/>
      <c r="T19" s="1386"/>
      <c r="U19" s="1387"/>
      <c r="V19" s="1386"/>
      <c r="W19" s="1387"/>
      <c r="X19" s="2194"/>
      <c r="Y19" s="3929"/>
      <c r="Z19" s="2193"/>
      <c r="AA19" s="1389">
        <v>1</v>
      </c>
      <c r="AB19" s="1389">
        <v>1</v>
      </c>
      <c r="AC19" s="1389">
        <v>1</v>
      </c>
    </row>
    <row r="20" spans="1:29" ht="57">
      <c r="A20" s="485"/>
      <c r="B20" s="530" t="s">
        <v>743</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29"/>
      <c r="Q20" s="1385" t="str">
        <f>B20</f>
        <v>自然及人文环境</v>
      </c>
      <c r="R20" s="1386" t="s">
        <v>5</v>
      </c>
      <c r="S20" s="1387">
        <f>F20</f>
        <v>100</v>
      </c>
      <c r="T20" s="1386" t="s">
        <v>5</v>
      </c>
      <c r="U20" s="1387">
        <f>H20</f>
        <v>100</v>
      </c>
      <c r="V20" s="1386" t="s">
        <v>5</v>
      </c>
      <c r="W20" s="1387">
        <f>J20</f>
        <v>100</v>
      </c>
      <c r="X20" s="1380"/>
      <c r="Y20" s="3929"/>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929"/>
      <c r="Q21" s="1385"/>
      <c r="R21" s="1386"/>
      <c r="S21" s="1387"/>
      <c r="T21" s="1386"/>
      <c r="U21" s="1387"/>
      <c r="V21" s="1386"/>
      <c r="W21" s="1387"/>
      <c r="X21" s="1380"/>
      <c r="Y21" s="3929"/>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29"/>
      <c r="Q22" s="1385" t="str">
        <f>B22</f>
        <v>楼层</v>
      </c>
      <c r="R22" s="1386" t="s">
        <v>5</v>
      </c>
      <c r="S22" s="1387">
        <f>F22</f>
        <v>100</v>
      </c>
      <c r="T22" s="1386" t="s">
        <v>5</v>
      </c>
      <c r="U22" s="1387">
        <f>H22</f>
        <v>100</v>
      </c>
      <c r="V22" s="1386" t="s">
        <v>5</v>
      </c>
      <c r="W22" s="1387">
        <f>J22</f>
        <v>100</v>
      </c>
      <c r="X22" s="1380"/>
      <c r="Y22" s="3929"/>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29"/>
      <c r="Q23" s="1385">
        <f>B23</f>
        <v>111</v>
      </c>
      <c r="R23" s="1386" t="s">
        <v>5</v>
      </c>
      <c r="S23" s="1387">
        <f>F23</f>
        <v>100</v>
      </c>
      <c r="T23" s="1386" t="s">
        <v>5</v>
      </c>
      <c r="U23" s="1387">
        <f>H23</f>
        <v>100</v>
      </c>
      <c r="V23" s="1386" t="s">
        <v>5</v>
      </c>
      <c r="W23" s="1387">
        <f>J23</f>
        <v>100</v>
      </c>
      <c r="X23" s="1380"/>
      <c r="Y23" s="3929"/>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29"/>
      <c r="Q24" s="1385">
        <f t="shared" ref="Q24:Q36" si="8">B24</f>
        <v>111</v>
      </c>
      <c r="R24" s="1386" t="s">
        <v>5</v>
      </c>
      <c r="S24" s="1387">
        <f>F24</f>
        <v>100</v>
      </c>
      <c r="T24" s="1386" t="s">
        <v>5</v>
      </c>
      <c r="U24" s="1387">
        <f>H24</f>
        <v>100</v>
      </c>
      <c r="V24" s="1386" t="s">
        <v>5</v>
      </c>
      <c r="W24" s="1387">
        <f>J24</f>
        <v>100</v>
      </c>
      <c r="X24" s="1380"/>
      <c r="Y24" s="3929"/>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29"/>
      <c r="Q25" s="1050">
        <f t="shared" si="8"/>
        <v>111</v>
      </c>
      <c r="R25" s="1381" t="s">
        <v>5</v>
      </c>
      <c r="S25" s="1382">
        <f>F25</f>
        <v>100</v>
      </c>
      <c r="T25" s="1381" t="s">
        <v>5</v>
      </c>
      <c r="U25" s="1382">
        <f>H25</f>
        <v>100</v>
      </c>
      <c r="V25" s="1381" t="s">
        <v>5</v>
      </c>
      <c r="W25" s="1382">
        <f>J25</f>
        <v>100</v>
      </c>
      <c r="X25" s="1383"/>
      <c r="Y25" s="3929"/>
      <c r="Z25" s="1049">
        <f>Q25</f>
        <v>111</v>
      </c>
      <c r="AA25" s="1389">
        <f>D25/F25</f>
        <v>1</v>
      </c>
      <c r="AB25" s="1389">
        <f>D25/H25</f>
        <v>1</v>
      </c>
      <c r="AC25" s="1389">
        <f>D25/J25</f>
        <v>1</v>
      </c>
    </row>
    <row r="26" spans="1:29" ht="15">
      <c r="A26" s="2386" t="s">
        <v>2034</v>
      </c>
      <c r="B26" s="163" t="s">
        <v>745</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30" t="s">
        <v>498</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31" t="s">
        <v>498</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31"/>
      <c r="Q27" s="1414" t="str">
        <f t="shared" si="8"/>
        <v>项目停车位配比</v>
      </c>
      <c r="R27" s="1390" t="s">
        <v>5</v>
      </c>
      <c r="S27" s="1391">
        <f t="shared" si="9"/>
        <v>100</v>
      </c>
      <c r="T27" s="1390" t="s">
        <v>5</v>
      </c>
      <c r="U27" s="1391">
        <f t="shared" si="10"/>
        <v>100</v>
      </c>
      <c r="V27" s="1390" t="s">
        <v>5</v>
      </c>
      <c r="W27" s="1391">
        <f t="shared" si="11"/>
        <v>100</v>
      </c>
      <c r="X27" s="1392"/>
      <c r="Y27" s="3931"/>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31"/>
      <c r="Q28" s="1385" t="str">
        <f t="shared" si="8"/>
        <v>公共部分装修</v>
      </c>
      <c r="R28" s="1386" t="s">
        <v>5</v>
      </c>
      <c r="S28" s="1387">
        <f t="shared" si="9"/>
        <v>100</v>
      </c>
      <c r="T28" s="1386" t="s">
        <v>5</v>
      </c>
      <c r="U28" s="1387">
        <f t="shared" si="10"/>
        <v>100</v>
      </c>
      <c r="V28" s="1386" t="s">
        <v>5</v>
      </c>
      <c r="W28" s="1387">
        <f t="shared" si="11"/>
        <v>100</v>
      </c>
      <c r="X28" s="1380"/>
      <c r="Y28" s="3931"/>
      <c r="Z28" s="1388" t="str">
        <f t="shared" si="12"/>
        <v>公共部分装修</v>
      </c>
      <c r="AA28" s="1389">
        <f t="shared" si="3"/>
        <v>1</v>
      </c>
      <c r="AB28" s="1389">
        <f t="shared" si="4"/>
        <v>1</v>
      </c>
      <c r="AC28" s="1389">
        <f t="shared" si="5"/>
        <v>1</v>
      </c>
    </row>
    <row r="29" spans="1:29" ht="15">
      <c r="A29" s="894"/>
      <c r="B29" s="552" t="s">
        <v>748</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31"/>
      <c r="Q29" s="1385" t="str">
        <f t="shared" si="8"/>
        <v>成新率</v>
      </c>
      <c r="R29" s="1386" t="s">
        <v>5</v>
      </c>
      <c r="S29" s="1387" t="e">
        <f t="shared" si="9"/>
        <v>#N/A</v>
      </c>
      <c r="T29" s="1386" t="s">
        <v>5</v>
      </c>
      <c r="U29" s="1387" t="e">
        <f t="shared" si="10"/>
        <v>#N/A</v>
      </c>
      <c r="V29" s="1386" t="s">
        <v>5</v>
      </c>
      <c r="W29" s="1387" t="e">
        <f t="shared" si="11"/>
        <v>#N/A</v>
      </c>
      <c r="X29" s="1380"/>
      <c r="Y29" s="3931"/>
      <c r="Z29" s="1388" t="str">
        <f t="shared" si="12"/>
        <v>成新率</v>
      </c>
      <c r="AA29" s="1389" t="e">
        <f t="shared" si="3"/>
        <v>#N/A</v>
      </c>
      <c r="AB29" s="1389" t="e">
        <f t="shared" si="4"/>
        <v>#N/A</v>
      </c>
      <c r="AC29" s="1389" t="e">
        <f t="shared" si="5"/>
        <v>#N/A</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31"/>
      <c r="Q30" s="1385" t="str">
        <f t="shared" si="8"/>
        <v>物业等级</v>
      </c>
      <c r="R30" s="1386" t="s">
        <v>5</v>
      </c>
      <c r="S30" s="1387">
        <f t="shared" si="9"/>
        <v>100</v>
      </c>
      <c r="T30" s="1386" t="s">
        <v>5</v>
      </c>
      <c r="U30" s="1387">
        <f t="shared" si="10"/>
        <v>100</v>
      </c>
      <c r="V30" s="1386" t="s">
        <v>5</v>
      </c>
      <c r="W30" s="1387">
        <f t="shared" si="11"/>
        <v>100</v>
      </c>
      <c r="X30" s="1380"/>
      <c r="Y30" s="3931"/>
      <c r="Z30" s="1388" t="str">
        <f t="shared" si="12"/>
        <v>物业等级</v>
      </c>
      <c r="AA30" s="1389">
        <f t="shared" si="3"/>
        <v>1</v>
      </c>
      <c r="AB30" s="1389">
        <f t="shared" si="4"/>
        <v>1</v>
      </c>
      <c r="AC30" s="1389">
        <f t="shared" si="5"/>
        <v>1</v>
      </c>
    </row>
    <row r="31" spans="1:29" s="1118" customFormat="1" ht="15">
      <c r="A31" s="896"/>
      <c r="B31" s="552" t="s">
        <v>750</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31"/>
      <c r="Q31" s="1050" t="str">
        <f t="shared" si="8"/>
        <v>停车位面积</v>
      </c>
      <c r="R31" s="1381" t="s">
        <v>5</v>
      </c>
      <c r="S31" s="1382" t="e">
        <f t="shared" si="9"/>
        <v>#N/A</v>
      </c>
      <c r="T31" s="1381" t="s">
        <v>5</v>
      </c>
      <c r="U31" s="1382" t="e">
        <f t="shared" si="10"/>
        <v>#N/A</v>
      </c>
      <c r="V31" s="1381" t="s">
        <v>5</v>
      </c>
      <c r="W31" s="1382" t="e">
        <f t="shared" si="11"/>
        <v>#N/A</v>
      </c>
      <c r="X31" s="1383"/>
      <c r="Y31" s="3931"/>
      <c r="Z31" s="1049" t="str">
        <f t="shared" si="12"/>
        <v>停车位面积</v>
      </c>
      <c r="AA31" s="1384" t="e">
        <f t="shared" si="3"/>
        <v>#N/A</v>
      </c>
      <c r="AB31" s="1384" t="e">
        <f t="shared" si="4"/>
        <v>#N/A</v>
      </c>
      <c r="AC31" s="1384" t="e">
        <f t="shared" si="5"/>
        <v>#N/A</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31" t="s">
        <v>498</v>
      </c>
      <c r="Q32" s="1385" t="str">
        <f t="shared" si="8"/>
        <v>车位类型</v>
      </c>
      <c r="R32" s="1386" t="s">
        <v>5</v>
      </c>
      <c r="S32" s="1387">
        <f t="shared" si="9"/>
        <v>100</v>
      </c>
      <c r="T32" s="1386" t="s">
        <v>5</v>
      </c>
      <c r="U32" s="1387">
        <f t="shared" si="10"/>
        <v>100</v>
      </c>
      <c r="V32" s="1386" t="s">
        <v>5</v>
      </c>
      <c r="W32" s="1387">
        <f t="shared" si="11"/>
        <v>100</v>
      </c>
      <c r="X32" s="1380"/>
      <c r="Y32" s="3931" t="s">
        <v>498</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31"/>
      <c r="Q33" s="1385" t="str">
        <f t="shared" si="8"/>
        <v>是否直接入户</v>
      </c>
      <c r="R33" s="1386" t="s">
        <v>5</v>
      </c>
      <c r="S33" s="1387">
        <f t="shared" si="9"/>
        <v>100</v>
      </c>
      <c r="T33" s="1386" t="s">
        <v>5</v>
      </c>
      <c r="U33" s="1387">
        <f t="shared" si="10"/>
        <v>100</v>
      </c>
      <c r="V33" s="1386" t="s">
        <v>5</v>
      </c>
      <c r="W33" s="1387">
        <f t="shared" si="11"/>
        <v>100</v>
      </c>
      <c r="X33" s="1380"/>
      <c r="Y33" s="3931"/>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31"/>
      <c r="Q34" s="1385">
        <f t="shared" si="8"/>
        <v>111</v>
      </c>
      <c r="R34" s="1386" t="s">
        <v>5</v>
      </c>
      <c r="S34" s="1387">
        <f t="shared" si="9"/>
        <v>100</v>
      </c>
      <c r="T34" s="1386" t="s">
        <v>5</v>
      </c>
      <c r="U34" s="1387">
        <f t="shared" si="10"/>
        <v>100</v>
      </c>
      <c r="V34" s="1386" t="s">
        <v>5</v>
      </c>
      <c r="W34" s="1387">
        <f t="shared" si="11"/>
        <v>100</v>
      </c>
      <c r="X34" s="1380"/>
      <c r="Y34" s="3931"/>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31"/>
      <c r="Q35" s="1414">
        <f t="shared" si="8"/>
        <v>111</v>
      </c>
      <c r="R35" s="1390" t="s">
        <v>5</v>
      </c>
      <c r="S35" s="1391">
        <f t="shared" si="9"/>
        <v>100</v>
      </c>
      <c r="T35" s="1390" t="s">
        <v>5</v>
      </c>
      <c r="U35" s="1391">
        <f t="shared" si="10"/>
        <v>100</v>
      </c>
      <c r="V35" s="1390" t="s">
        <v>5</v>
      </c>
      <c r="W35" s="1391">
        <f t="shared" si="11"/>
        <v>100</v>
      </c>
      <c r="X35" s="1392"/>
      <c r="Y35" s="3931"/>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31"/>
      <c r="Q36" s="1385">
        <f t="shared" si="8"/>
        <v>111</v>
      </c>
      <c r="R36" s="1386" t="s">
        <v>5</v>
      </c>
      <c r="S36" s="1387">
        <f t="shared" si="9"/>
        <v>100</v>
      </c>
      <c r="T36" s="1386" t="s">
        <v>5</v>
      </c>
      <c r="U36" s="1387">
        <f t="shared" si="10"/>
        <v>100</v>
      </c>
      <c r="V36" s="1386" t="s">
        <v>5</v>
      </c>
      <c r="W36" s="1387">
        <f t="shared" si="11"/>
        <v>100</v>
      </c>
      <c r="X36" s="1380"/>
      <c r="Y36" s="3931"/>
      <c r="Z36" s="1388">
        <f t="shared" si="12"/>
        <v>111</v>
      </c>
      <c r="AA36" s="1389">
        <f t="shared" si="3"/>
        <v>1</v>
      </c>
      <c r="AB36" s="1389">
        <f t="shared" si="4"/>
        <v>1</v>
      </c>
      <c r="AC36" s="1389">
        <f t="shared" si="5"/>
        <v>1</v>
      </c>
    </row>
    <row r="37" spans="1:29" ht="15">
      <c r="A37" s="1631" t="s">
        <v>1592</v>
      </c>
      <c r="B37" s="1632" t="s">
        <v>1593</v>
      </c>
      <c r="C37" s="2233" t="s">
        <v>0</v>
      </c>
      <c r="D37" s="2234"/>
      <c r="E37" s="2235"/>
      <c r="F37" s="2236"/>
      <c r="G37" s="2237"/>
      <c r="H37" s="2238"/>
      <c r="I37" s="2235"/>
      <c r="J37" s="2238"/>
      <c r="K37" s="1419"/>
      <c r="L37" s="1866"/>
      <c r="M37" s="1867"/>
      <c r="N37" s="1856"/>
      <c r="O37" s="1867"/>
      <c r="P37" s="3895" t="str">
        <f>A37</f>
        <v>成交单价</v>
      </c>
      <c r="Q37" s="3895"/>
      <c r="R37" s="4006">
        <f>E37</f>
        <v>0</v>
      </c>
      <c r="S37" s="4006"/>
      <c r="T37" s="4006">
        <f>G37</f>
        <v>0</v>
      </c>
      <c r="U37" s="4006"/>
      <c r="V37" s="4006">
        <f>I37</f>
        <v>0</v>
      </c>
      <c r="W37" s="4006"/>
      <c r="X37" s="1375"/>
      <c r="Y37" s="1394"/>
      <c r="Z37" s="1375"/>
      <c r="AA37" s="1375"/>
      <c r="AB37" s="1375"/>
      <c r="AC37" s="1375"/>
    </row>
    <row r="38" spans="1:29" ht="15.75" thickBot="1">
      <c r="A38" s="585" t="s">
        <v>2039</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895" t="str">
        <f>A38</f>
        <v>比较价格（元/平方米）</v>
      </c>
      <c r="Q38" s="3895"/>
      <c r="R38" s="4006" t="e">
        <f>IF(F1="售价",ROUND(PRODUCT(R37,AA7:AA36),0),ROUND(PRODUCT(R37,AA7:AA36),1))</f>
        <v>#DIV/0!</v>
      </c>
      <c r="S38" s="4006"/>
      <c r="T38" s="4006" t="e">
        <f>IF(F1="售价",ROUND(PRODUCT(T37,AB7:AB36),0),ROUND(PRODUCT(T37,AB7:AB36),1))</f>
        <v>#DIV/0!</v>
      </c>
      <c r="U38" s="4006"/>
      <c r="V38" s="4006" t="e">
        <f>IF(F1="售价",ROUND(PRODUCT(V37,AC7:AC36),0),ROUND(PRODUCT(V37,AC7:AC36),1))</f>
        <v>#DIV/0!</v>
      </c>
      <c r="W38" s="4006"/>
      <c r="X38" s="1375"/>
      <c r="Y38" s="1375"/>
      <c r="Z38" s="1375"/>
      <c r="AA38" s="1375"/>
      <c r="AB38" s="1375"/>
      <c r="AC38" s="1375"/>
    </row>
    <row r="39" spans="1:29" ht="15.75" thickBot="1">
      <c r="A39" s="589" t="s">
        <v>2194</v>
      </c>
      <c r="B39" s="590"/>
      <c r="C39" s="2241" t="e">
        <f>R39</f>
        <v>#DIV/0!</v>
      </c>
      <c r="D39" s="2241"/>
      <c r="E39" s="2241"/>
      <c r="F39" s="2241"/>
      <c r="G39" s="2241"/>
      <c r="H39" s="2241"/>
      <c r="I39" s="2241"/>
      <c r="J39" s="2241"/>
      <c r="K39" s="1420"/>
      <c r="L39" s="1866"/>
      <c r="M39" s="1867"/>
      <c r="N39" s="1867"/>
      <c r="O39" s="1867"/>
      <c r="P39" s="3932" t="str">
        <f>A39</f>
        <v>估价对象XX用房的比较价格（楼面单价，元/平方米）</v>
      </c>
      <c r="Q39" s="3933"/>
      <c r="R39" s="4005" t="e">
        <f>IF(F1="售价",ROUND(IF(D38="简单平均",AVERAGE(R38:W38),R38*F38+T38*H38+V38*J38),0),ROUND(IF(D38="简单平均",AVERAGE(R38:V38),R38*F38+T38*H38+V38*J38),1))</f>
        <v>#DIV/0!</v>
      </c>
      <c r="S39" s="4005"/>
      <c r="T39" s="4005"/>
      <c r="U39" s="4005"/>
      <c r="V39" s="4005"/>
      <c r="W39" s="4005"/>
      <c r="X39" s="1375"/>
      <c r="Y39" s="1375"/>
      <c r="Z39" s="1375"/>
      <c r="AA39" s="1375"/>
      <c r="AB39" s="1375"/>
      <c r="AC39" s="1375"/>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505</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506</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7"/>
      <c r="B44" s="2957"/>
      <c r="C44" s="592" t="s">
        <v>507</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521</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477</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522</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479</v>
      </c>
      <c r="B51" s="616"/>
      <c r="C51" s="628" t="s">
        <v>523</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524</v>
      </c>
      <c r="B53" s="633" t="s">
        <v>482</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485</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487</v>
      </c>
      <c r="B63" s="633" t="s">
        <v>533</v>
      </c>
      <c r="C63" s="671" t="s">
        <v>526</v>
      </c>
      <c r="D63" s="671" t="s">
        <v>527</v>
      </c>
      <c r="E63" s="671" t="s">
        <v>528</v>
      </c>
      <c r="F63" s="671" t="s">
        <v>529</v>
      </c>
      <c r="G63" s="671" t="s">
        <v>530</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1837</v>
      </c>
      <c r="C65" s="676" t="s">
        <v>526</v>
      </c>
      <c r="D65" s="676" t="s">
        <v>527</v>
      </c>
      <c r="E65" s="676" t="s">
        <v>528</v>
      </c>
      <c r="F65" s="676" t="s">
        <v>529</v>
      </c>
      <c r="G65" s="676" t="s">
        <v>530</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1838</v>
      </c>
      <c r="C67" s="2205" t="s">
        <v>1839</v>
      </c>
      <c r="D67" s="2205" t="s">
        <v>1840</v>
      </c>
      <c r="E67" s="2205" t="s">
        <v>1841</v>
      </c>
      <c r="F67" s="2205" t="s">
        <v>1842</v>
      </c>
      <c r="G67" s="2205" t="s">
        <v>1843</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683</v>
      </c>
      <c r="C69" s="676" t="s">
        <v>526</v>
      </c>
      <c r="D69" s="676" t="s">
        <v>527</v>
      </c>
      <c r="E69" s="676" t="s">
        <v>528</v>
      </c>
      <c r="F69" s="676" t="s">
        <v>529</v>
      </c>
      <c r="G69" s="676" t="s">
        <v>530</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684</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499</v>
      </c>
      <c r="B79" s="633" t="s">
        <v>753</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754</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690</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756</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757</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758</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759</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北京三博脑科医院有限公司：</v>
      </c>
    </row>
    <row r="4" spans="1:4" ht="37.5">
      <c r="A4" s="1578" t="str">
        <f>"受贵公司委托，我公司对"&amp;项目基本情况!K2&amp;项目基本情况!B9&amp;"进行了预评估。"</f>
        <v>受贵公司委托，我公司对北京市朝阳区东坝非配套项目用地（E组团A地块）出让国有建设用地使用权市场价格进行了预评估。</v>
      </c>
    </row>
    <row r="5" spans="1:4" ht="18.75">
      <c r="A5" s="1581" t="s">
        <v>1428</v>
      </c>
    </row>
    <row r="6" spans="1:4" ht="93.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三博脑科医院有限公司使用的、位于北京市朝阳区东坝非配套项目用地（E组团A地块）出让国有建设用地使用权。根据《国有土地使用证》[]，估价对象（分摊）出让国有建设用地使用权面积为22454.65平方米。根据《建设工程规划许可证》[]、《出让合同》[]，估价对象规划建筑面积为59167.44平方米。</v>
      </c>
    </row>
    <row r="7" spans="1:4" ht="93.75">
      <c r="A7" s="2352" t="s">
        <v>2027</v>
      </c>
    </row>
    <row r="8" spans="1:4" ht="18.75">
      <c r="A8" s="1581" t="s">
        <v>1429</v>
      </c>
    </row>
    <row r="9" spans="1:4" ht="56.2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1541</v>
      </c>
    </row>
    <row r="11" spans="1:4" ht="18.75">
      <c r="A11" s="1567" t="str">
        <f>TEXT(项目基本情况!D3,"yyyy年m月d日;;")&amp;IF(项目基本情况!B3=项目基本情况!D3,"（评估专业人员勘察现场之日）","")</f>
        <v>2023年1月16日（评估专业人员勘察现场之日）</v>
      </c>
    </row>
    <row r="12" spans="1:4" ht="18.75">
      <c r="A12" s="1584" t="s">
        <v>1540</v>
      </c>
    </row>
    <row r="13" spans="1:4" ht="18.75">
      <c r="A13" s="1578" t="s">
        <v>1586</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1587</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1588</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根据《国有土地使用证》[]，估价对象（分摊）出让国有建设用地使用权面积为22454.65平方米。根据《建设工程规划许可证》[]、《出让合同》[]，估价对象规划建筑面积为59167.44平方米。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1589</v>
      </c>
    </row>
    <row r="23" spans="1:1" ht="18.75">
      <c r="A23" s="2354" t="s">
        <v>2028</v>
      </c>
    </row>
    <row r="24" spans="1:1" ht="18.75">
      <c r="A24" s="1578" t="s">
        <v>1590</v>
      </c>
    </row>
    <row r="25" spans="1:1" ht="75">
      <c r="A25" s="1578" t="str">
        <f>定义!C53</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1542</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6"/>
      <c r="G1" s="1410" t="s">
        <v>732</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733</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734</v>
      </c>
      <c r="B3" s="480" t="e">
        <f>C37</f>
        <v>#DIV/0!</v>
      </c>
      <c r="C3" s="817" t="s">
        <v>735</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736</v>
      </c>
      <c r="B4" s="483"/>
      <c r="C4" s="3901" t="s">
        <v>737</v>
      </c>
      <c r="D4" s="3902"/>
      <c r="E4" s="3936" t="s">
        <v>738</v>
      </c>
      <c r="F4" s="3937"/>
      <c r="G4" s="3901" t="s">
        <v>739</v>
      </c>
      <c r="H4" s="3902"/>
      <c r="I4" s="3901" t="s">
        <v>740</v>
      </c>
      <c r="J4" s="3902"/>
      <c r="K4" s="484" t="s">
        <v>741</v>
      </c>
      <c r="L4" s="1855"/>
      <c r="M4" s="1856"/>
      <c r="N4" s="1856"/>
      <c r="O4" s="1856"/>
      <c r="P4" s="3903" t="s">
        <v>742</v>
      </c>
      <c r="Q4" s="3904"/>
      <c r="R4" s="3909" t="s">
        <v>738</v>
      </c>
      <c r="S4" s="3910"/>
      <c r="T4" s="3909" t="s">
        <v>739</v>
      </c>
      <c r="U4" s="3910"/>
      <c r="V4" s="3896" t="s">
        <v>740</v>
      </c>
      <c r="W4" s="3896"/>
      <c r="X4" s="1380"/>
      <c r="Y4" s="3909" t="s">
        <v>742</v>
      </c>
      <c r="Z4" s="3910"/>
      <c r="AA4" s="3898" t="s">
        <v>738</v>
      </c>
      <c r="AB4" s="3899" t="s">
        <v>739</v>
      </c>
      <c r="AC4" s="3898" t="s">
        <v>740</v>
      </c>
    </row>
    <row r="5" spans="1:29" ht="15">
      <c r="A5" s="485"/>
      <c r="B5" s="486"/>
      <c r="C5" s="3917" t="s">
        <v>2188</v>
      </c>
      <c r="D5" s="3918"/>
      <c r="E5" s="3938" t="s">
        <v>2189</v>
      </c>
      <c r="F5" s="3939"/>
      <c r="G5" s="3917" t="s">
        <v>2190</v>
      </c>
      <c r="H5" s="3918"/>
      <c r="I5" s="3917" t="s">
        <v>2191</v>
      </c>
      <c r="J5" s="3918"/>
      <c r="K5" s="484"/>
      <c r="L5" s="1855"/>
      <c r="M5" s="1856"/>
      <c r="N5" s="1856"/>
      <c r="O5" s="1856"/>
      <c r="P5" s="3905"/>
      <c r="Q5" s="3906"/>
      <c r="R5" s="3911"/>
      <c r="S5" s="3912"/>
      <c r="T5" s="3911"/>
      <c r="U5" s="3912"/>
      <c r="V5" s="3896"/>
      <c r="W5" s="3896"/>
      <c r="X5" s="1380"/>
      <c r="Y5" s="3911"/>
      <c r="Z5" s="3912"/>
      <c r="AA5" s="3899"/>
      <c r="AB5" s="3899"/>
      <c r="AC5" s="3899"/>
    </row>
    <row r="6" spans="1:29" ht="15.75" thickBot="1">
      <c r="A6" s="487"/>
      <c r="B6" s="488"/>
      <c r="C6" s="3915" t="s">
        <v>2192</v>
      </c>
      <c r="D6" s="3916"/>
      <c r="E6" s="3934" t="s">
        <v>2192</v>
      </c>
      <c r="F6" s="3935"/>
      <c r="G6" s="3915" t="s">
        <v>2192</v>
      </c>
      <c r="H6" s="3916"/>
      <c r="I6" s="3915" t="s">
        <v>2192</v>
      </c>
      <c r="J6" s="3916"/>
      <c r="K6" s="484" t="s">
        <v>476</v>
      </c>
      <c r="L6" s="1855"/>
      <c r="M6" s="1856"/>
      <c r="N6" s="1856"/>
      <c r="O6" s="1856"/>
      <c r="P6" s="3907"/>
      <c r="Q6" s="3908"/>
      <c r="R6" s="3911"/>
      <c r="S6" s="3912"/>
      <c r="T6" s="3913"/>
      <c r="U6" s="3914"/>
      <c r="V6" s="3896"/>
      <c r="W6" s="3896"/>
      <c r="X6" s="1380"/>
      <c r="Y6" s="3913"/>
      <c r="Z6" s="3914"/>
      <c r="AA6" s="3900"/>
      <c r="AB6" s="3900"/>
      <c r="AC6" s="3900"/>
    </row>
    <row r="7" spans="1:29" s="1118" customFormat="1" ht="15.75" thickBot="1">
      <c r="A7" s="2391"/>
      <c r="B7" s="2398" t="s">
        <v>477</v>
      </c>
      <c r="C7" s="489">
        <f>'数据-取费表'!B2</f>
        <v>44942</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25" t="s">
        <v>478</v>
      </c>
      <c r="Q7" s="3927"/>
      <c r="R7" s="1381" t="s">
        <v>5</v>
      </c>
      <c r="S7" s="1382">
        <f t="shared" ref="S7:S14" si="0">F7</f>
        <v>0</v>
      </c>
      <c r="T7" s="1381" t="s">
        <v>5</v>
      </c>
      <c r="U7" s="1382">
        <f t="shared" ref="U7:U14" si="1">H7</f>
        <v>0</v>
      </c>
      <c r="V7" s="1381" t="s">
        <v>5</v>
      </c>
      <c r="W7" s="1382">
        <f t="shared" ref="W7:W14" si="2">J7</f>
        <v>0</v>
      </c>
      <c r="X7" s="1383"/>
      <c r="Y7" s="3925" t="s">
        <v>478</v>
      </c>
      <c r="Z7" s="3926"/>
      <c r="AA7" s="1384" t="e">
        <f>D7/F7</f>
        <v>#DIV/0!</v>
      </c>
      <c r="AB7" s="1384" t="e">
        <f>D7/H7</f>
        <v>#DIV/0!</v>
      </c>
      <c r="AC7" s="1384" t="e">
        <f>D7/J7</f>
        <v>#DIV/0!</v>
      </c>
    </row>
    <row r="8" spans="1:29" s="1118" customFormat="1" ht="15.75" thickBot="1">
      <c r="A8" s="2392"/>
      <c r="B8" s="2399" t="s">
        <v>479</v>
      </c>
      <c r="C8" s="495" t="s">
        <v>523</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25" t="s">
        <v>481</v>
      </c>
      <c r="Q8" s="3926"/>
      <c r="R8" s="1381" t="s">
        <v>5</v>
      </c>
      <c r="S8" s="1382">
        <f t="shared" si="0"/>
        <v>0</v>
      </c>
      <c r="T8" s="1381" t="s">
        <v>5</v>
      </c>
      <c r="U8" s="1382">
        <f t="shared" si="1"/>
        <v>0</v>
      </c>
      <c r="V8" s="1381" t="s">
        <v>5</v>
      </c>
      <c r="W8" s="1382">
        <f t="shared" si="2"/>
        <v>0</v>
      </c>
      <c r="X8" s="1383"/>
      <c r="Y8" s="3925" t="s">
        <v>481</v>
      </c>
      <c r="Z8" s="3926"/>
      <c r="AA8" s="1384" t="e">
        <f t="shared" ref="AA8:AA34" si="3">D8/F8</f>
        <v>#DIV/0!</v>
      </c>
      <c r="AB8" s="1384" t="e">
        <f t="shared" ref="AB8:AB34" si="4">D8/H8</f>
        <v>#DIV/0!</v>
      </c>
      <c r="AC8" s="1384" t="e">
        <f t="shared" ref="AC8:AC34" si="5">D8/J8</f>
        <v>#DIV/0!</v>
      </c>
    </row>
    <row r="9" spans="1:29" s="1118" customFormat="1" ht="15">
      <c r="A9" s="2393"/>
      <c r="B9" s="2400" t="s">
        <v>2035</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95" t="s">
        <v>483</v>
      </c>
      <c r="Q9" s="1050" t="str">
        <f t="shared" ref="Q9:Q14" si="6">B9</f>
        <v>用途</v>
      </c>
      <c r="R9" s="1381" t="s">
        <v>5</v>
      </c>
      <c r="S9" s="1382">
        <f t="shared" si="0"/>
        <v>100</v>
      </c>
      <c r="T9" s="1381" t="s">
        <v>5</v>
      </c>
      <c r="U9" s="1382">
        <f t="shared" si="1"/>
        <v>100</v>
      </c>
      <c r="V9" s="1381" t="s">
        <v>5</v>
      </c>
      <c r="W9" s="1382">
        <f t="shared" si="2"/>
        <v>100</v>
      </c>
      <c r="X9" s="1383"/>
      <c r="Y9" s="3824" t="s">
        <v>484</v>
      </c>
      <c r="Z9" s="1049" t="str">
        <f t="shared" ref="Z9:Z14" si="7">Q9</f>
        <v>用途</v>
      </c>
      <c r="AA9" s="1384">
        <f t="shared" si="3"/>
        <v>1</v>
      </c>
      <c r="AB9" s="1384">
        <f t="shared" si="4"/>
        <v>1</v>
      </c>
      <c r="AC9" s="1384">
        <f t="shared" si="5"/>
        <v>1</v>
      </c>
    </row>
    <row r="10" spans="1:29" s="1199" customFormat="1" ht="27">
      <c r="A10" s="2394"/>
      <c r="B10" s="2399" t="s">
        <v>2036</v>
      </c>
      <c r="C10" s="3659"/>
      <c r="D10" s="246">
        <v>100</v>
      </c>
      <c r="E10" s="3659"/>
      <c r="F10" s="246">
        <f>SUMIF(53:53,E10,54:54)-SUMIF(53:53,C10,54:54)+100</f>
        <v>100</v>
      </c>
      <c r="G10" s="3660"/>
      <c r="H10" s="246">
        <f>SUMIF(53:53,G10,54:54)-SUMIF(53:53,C10,54:54)+100</f>
        <v>100</v>
      </c>
      <c r="I10" s="3659"/>
      <c r="J10" s="246">
        <f>SUMIF(53:53,I10,54:54)-SUMIF(53:53,C10,54:54)+100</f>
        <v>100</v>
      </c>
      <c r="K10" s="494"/>
      <c r="L10" s="1860"/>
      <c r="M10" s="1899"/>
      <c r="N10" s="1899"/>
      <c r="O10" s="1861"/>
      <c r="P10" s="3895"/>
      <c r="Q10" s="1050" t="str">
        <f t="shared" si="6"/>
        <v>土地使用年限（年）</v>
      </c>
      <c r="R10" s="1381" t="s">
        <v>5</v>
      </c>
      <c r="S10" s="1382">
        <f t="shared" si="0"/>
        <v>100</v>
      </c>
      <c r="T10" s="1381" t="s">
        <v>5</v>
      </c>
      <c r="U10" s="1382">
        <f t="shared" si="1"/>
        <v>100</v>
      </c>
      <c r="V10" s="1381" t="s">
        <v>5</v>
      </c>
      <c r="W10" s="1382">
        <f t="shared" si="2"/>
        <v>100</v>
      </c>
      <c r="X10" s="1383"/>
      <c r="Y10" s="3824"/>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95"/>
      <c r="Q11" s="1050">
        <f t="shared" si="6"/>
        <v>111</v>
      </c>
      <c r="R11" s="1381" t="s">
        <v>5</v>
      </c>
      <c r="S11" s="1382">
        <f t="shared" si="0"/>
        <v>100</v>
      </c>
      <c r="T11" s="1381" t="s">
        <v>5</v>
      </c>
      <c r="U11" s="1382">
        <f t="shared" si="1"/>
        <v>100</v>
      </c>
      <c r="V11" s="1381" t="s">
        <v>5</v>
      </c>
      <c r="W11" s="1382">
        <f t="shared" si="2"/>
        <v>100</v>
      </c>
      <c r="X11" s="1383"/>
      <c r="Y11" s="3824"/>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95"/>
      <c r="Q12" s="1050">
        <f t="shared" si="6"/>
        <v>111</v>
      </c>
      <c r="R12" s="1381" t="s">
        <v>5</v>
      </c>
      <c r="S12" s="1382">
        <f t="shared" si="0"/>
        <v>100</v>
      </c>
      <c r="T12" s="1381" t="s">
        <v>5</v>
      </c>
      <c r="U12" s="1382">
        <f t="shared" si="1"/>
        <v>100</v>
      </c>
      <c r="V12" s="1381" t="s">
        <v>5</v>
      </c>
      <c r="W12" s="1382">
        <f t="shared" si="2"/>
        <v>100</v>
      </c>
      <c r="X12" s="1383"/>
      <c r="Y12" s="3824"/>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95"/>
      <c r="Q13" s="1050">
        <f t="shared" si="6"/>
        <v>111</v>
      </c>
      <c r="R13" s="1381" t="s">
        <v>5</v>
      </c>
      <c r="S13" s="1382">
        <f t="shared" si="0"/>
        <v>100</v>
      </c>
      <c r="T13" s="1381" t="s">
        <v>5</v>
      </c>
      <c r="U13" s="1382">
        <f t="shared" si="1"/>
        <v>100</v>
      </c>
      <c r="V13" s="1381" t="s">
        <v>5</v>
      </c>
      <c r="W13" s="1382">
        <f t="shared" si="2"/>
        <v>100</v>
      </c>
      <c r="X13" s="1383"/>
      <c r="Y13" s="3824"/>
      <c r="Z13" s="1049">
        <f t="shared" si="7"/>
        <v>111</v>
      </c>
      <c r="AA13" s="1384">
        <f t="shared" si="3"/>
        <v>1</v>
      </c>
      <c r="AB13" s="1384">
        <f t="shared" si="4"/>
        <v>1</v>
      </c>
      <c r="AC13" s="1384">
        <f t="shared" si="5"/>
        <v>1</v>
      </c>
    </row>
    <row r="14" spans="1:29" ht="85.5">
      <c r="A14" s="2389" t="s">
        <v>2033</v>
      </c>
      <c r="B14" s="159" t="s">
        <v>491</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28" t="s">
        <v>488</v>
      </c>
      <c r="Q14" s="1385" t="str">
        <f t="shared" si="6"/>
        <v>交通便捷度</v>
      </c>
      <c r="R14" s="1386" t="s">
        <v>5</v>
      </c>
      <c r="S14" s="1387">
        <f t="shared" si="0"/>
        <v>100</v>
      </c>
      <c r="T14" s="1386" t="s">
        <v>5</v>
      </c>
      <c r="U14" s="1387">
        <f t="shared" si="1"/>
        <v>100</v>
      </c>
      <c r="V14" s="1386" t="s">
        <v>5</v>
      </c>
      <c r="W14" s="1387">
        <f t="shared" si="2"/>
        <v>100</v>
      </c>
      <c r="X14" s="1380"/>
      <c r="Y14" s="3928" t="s">
        <v>488</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929"/>
      <c r="Q15" s="1385"/>
      <c r="R15" s="1386"/>
      <c r="S15" s="1387"/>
      <c r="T15" s="1386"/>
      <c r="U15" s="1387"/>
      <c r="V15" s="1386"/>
      <c r="W15" s="1387"/>
      <c r="X15" s="1380"/>
      <c r="Y15" s="3929"/>
      <c r="Z15" s="1388"/>
      <c r="AA15" s="1389">
        <v>1</v>
      </c>
      <c r="AB15" s="1389">
        <v>1</v>
      </c>
      <c r="AC15" s="1389">
        <v>1</v>
      </c>
    </row>
    <row r="16" spans="1:29" ht="42.75">
      <c r="A16" s="502"/>
      <c r="B16" s="2210" t="s">
        <v>1826</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29"/>
      <c r="Q16" s="1385" t="str">
        <f>B16</f>
        <v>公共配套设施</v>
      </c>
      <c r="R16" s="1386" t="s">
        <v>5</v>
      </c>
      <c r="S16" s="1387">
        <f>F16</f>
        <v>100</v>
      </c>
      <c r="T16" s="1386" t="s">
        <v>5</v>
      </c>
      <c r="U16" s="1387">
        <f>H16</f>
        <v>100</v>
      </c>
      <c r="V16" s="1386" t="s">
        <v>5</v>
      </c>
      <c r="W16" s="1387">
        <f>J16</f>
        <v>100</v>
      </c>
      <c r="X16" s="1380"/>
      <c r="Y16" s="3929"/>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929"/>
      <c r="Q17" s="1385"/>
      <c r="R17" s="1386"/>
      <c r="S17" s="1387"/>
      <c r="T17" s="1386"/>
      <c r="U17" s="1387"/>
      <c r="V17" s="1386"/>
      <c r="W17" s="1387"/>
      <c r="X17" s="1380"/>
      <c r="Y17" s="3929"/>
      <c r="Z17" s="1388"/>
      <c r="AA17" s="1389">
        <v>1</v>
      </c>
      <c r="AB17" s="1389">
        <v>1</v>
      </c>
      <c r="AC17" s="1389">
        <v>1</v>
      </c>
    </row>
    <row r="18" spans="1:29" ht="28.5">
      <c r="A18" s="502"/>
      <c r="B18" s="2198" t="s">
        <v>1838</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29"/>
      <c r="Q18" s="2192" t="str">
        <f>B18</f>
        <v>基础设施水平</v>
      </c>
      <c r="R18" s="1386" t="s">
        <v>5</v>
      </c>
      <c r="S18" s="1387">
        <f>F18</f>
        <v>100</v>
      </c>
      <c r="T18" s="1386" t="s">
        <v>5</v>
      </c>
      <c r="U18" s="1387">
        <f>H18</f>
        <v>100</v>
      </c>
      <c r="V18" s="1386" t="s">
        <v>5</v>
      </c>
      <c r="W18" s="1387">
        <f>J18</f>
        <v>100</v>
      </c>
      <c r="X18" s="2194"/>
      <c r="Y18" s="3929"/>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929"/>
      <c r="Q19" s="2192"/>
      <c r="R19" s="1386"/>
      <c r="S19" s="1387"/>
      <c r="T19" s="1386"/>
      <c r="U19" s="1387"/>
      <c r="V19" s="1386"/>
      <c r="W19" s="1387"/>
      <c r="X19" s="2194"/>
      <c r="Y19" s="3929"/>
      <c r="Z19" s="2193"/>
      <c r="AA19" s="1389">
        <v>1</v>
      </c>
      <c r="AB19" s="1389">
        <v>1</v>
      </c>
      <c r="AC19" s="1389">
        <v>1</v>
      </c>
    </row>
    <row r="20" spans="1:29" ht="57">
      <c r="A20" s="502"/>
      <c r="B20" s="834" t="s">
        <v>743</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29"/>
      <c r="Q20" s="1385" t="str">
        <f>B20</f>
        <v>自然及人文环境</v>
      </c>
      <c r="R20" s="1386" t="s">
        <v>5</v>
      </c>
      <c r="S20" s="1387">
        <f>F20</f>
        <v>100</v>
      </c>
      <c r="T20" s="1386" t="s">
        <v>5</v>
      </c>
      <c r="U20" s="1387">
        <f>H20</f>
        <v>100</v>
      </c>
      <c r="V20" s="1386" t="s">
        <v>5</v>
      </c>
      <c r="W20" s="1387">
        <f>J20</f>
        <v>100</v>
      </c>
      <c r="X20" s="1380"/>
      <c r="Y20" s="3929"/>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929"/>
      <c r="Q21" s="1385"/>
      <c r="R21" s="1386"/>
      <c r="S21" s="1387"/>
      <c r="T21" s="1386"/>
      <c r="U21" s="1387"/>
      <c r="V21" s="1386"/>
      <c r="W21" s="1387"/>
      <c r="X21" s="1380"/>
      <c r="Y21" s="3929"/>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29"/>
      <c r="Q22" s="1385" t="str">
        <f>B22</f>
        <v>楼层</v>
      </c>
      <c r="R22" s="1386" t="s">
        <v>5</v>
      </c>
      <c r="S22" s="1387">
        <f>F22</f>
        <v>100</v>
      </c>
      <c r="T22" s="1386" t="s">
        <v>5</v>
      </c>
      <c r="U22" s="1387">
        <f>H22</f>
        <v>100</v>
      </c>
      <c r="V22" s="1386" t="s">
        <v>5</v>
      </c>
      <c r="W22" s="1387">
        <f>J22</f>
        <v>100</v>
      </c>
      <c r="X22" s="1380"/>
      <c r="Y22" s="3929"/>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29"/>
      <c r="Q23" s="1385">
        <f>B23</f>
        <v>111</v>
      </c>
      <c r="R23" s="1386" t="s">
        <v>5</v>
      </c>
      <c r="S23" s="1387">
        <f>F23</f>
        <v>100</v>
      </c>
      <c r="T23" s="1386" t="s">
        <v>5</v>
      </c>
      <c r="U23" s="1387">
        <f>H23</f>
        <v>100</v>
      </c>
      <c r="V23" s="1386" t="s">
        <v>5</v>
      </c>
      <c r="W23" s="1387">
        <f>J23</f>
        <v>100</v>
      </c>
      <c r="X23" s="1380"/>
      <c r="Y23" s="3929"/>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29"/>
      <c r="Q24" s="1385">
        <f t="shared" ref="Q24:Q34" si="8">B24</f>
        <v>111</v>
      </c>
      <c r="R24" s="1386" t="s">
        <v>5</v>
      </c>
      <c r="S24" s="1387">
        <f>F24</f>
        <v>100</v>
      </c>
      <c r="T24" s="1386" t="s">
        <v>5</v>
      </c>
      <c r="U24" s="1387">
        <f>H24</f>
        <v>100</v>
      </c>
      <c r="V24" s="1386" t="s">
        <v>5</v>
      </c>
      <c r="W24" s="1387">
        <f>J24</f>
        <v>100</v>
      </c>
      <c r="X24" s="1380"/>
      <c r="Y24" s="3929"/>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29"/>
      <c r="Q25" s="1050">
        <f t="shared" si="8"/>
        <v>111</v>
      </c>
      <c r="R25" s="1381" t="s">
        <v>5</v>
      </c>
      <c r="S25" s="1382">
        <f>F25</f>
        <v>100</v>
      </c>
      <c r="T25" s="1381" t="s">
        <v>5</v>
      </c>
      <c r="U25" s="1382">
        <f>H25</f>
        <v>100</v>
      </c>
      <c r="V25" s="1381" t="s">
        <v>5</v>
      </c>
      <c r="W25" s="1382">
        <f>J25</f>
        <v>100</v>
      </c>
      <c r="X25" s="1383"/>
      <c r="Y25" s="3929"/>
      <c r="Z25" s="1049">
        <f>Q25</f>
        <v>111</v>
      </c>
      <c r="AA25" s="1389">
        <f>D25/F25</f>
        <v>1</v>
      </c>
      <c r="AB25" s="1389">
        <f>D25/H25</f>
        <v>1</v>
      </c>
      <c r="AC25" s="1389">
        <f>D25/J25</f>
        <v>1</v>
      </c>
    </row>
    <row r="26" spans="1:29" ht="15">
      <c r="A26" s="2386" t="s">
        <v>2034</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30"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31"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31"/>
      <c r="Q27" s="1414" t="str">
        <f t="shared" si="8"/>
        <v>成新率</v>
      </c>
      <c r="R27" s="1390" t="s">
        <v>5</v>
      </c>
      <c r="S27" s="1391" t="e">
        <f t="shared" si="9"/>
        <v>#N/A</v>
      </c>
      <c r="T27" s="1390" t="s">
        <v>5</v>
      </c>
      <c r="U27" s="1391" t="e">
        <f t="shared" si="10"/>
        <v>#N/A</v>
      </c>
      <c r="V27" s="1390" t="s">
        <v>5</v>
      </c>
      <c r="W27" s="1391" t="e">
        <f t="shared" si="11"/>
        <v>#N/A</v>
      </c>
      <c r="X27" s="1392"/>
      <c r="Y27" s="3931"/>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31"/>
      <c r="Q28" s="1385" t="str">
        <f t="shared" si="8"/>
        <v>物业等级</v>
      </c>
      <c r="R28" s="1386" t="s">
        <v>5</v>
      </c>
      <c r="S28" s="1387">
        <f t="shared" si="9"/>
        <v>100</v>
      </c>
      <c r="T28" s="1386" t="s">
        <v>5</v>
      </c>
      <c r="U28" s="1387">
        <f t="shared" si="10"/>
        <v>100</v>
      </c>
      <c r="V28" s="1386" t="s">
        <v>5</v>
      </c>
      <c r="W28" s="1387">
        <f t="shared" si="11"/>
        <v>100</v>
      </c>
      <c r="X28" s="1380"/>
      <c r="Y28" s="3931"/>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31"/>
      <c r="Q29" s="1385" t="str">
        <f t="shared" si="8"/>
        <v>有无电梯</v>
      </c>
      <c r="R29" s="1386" t="s">
        <v>5</v>
      </c>
      <c r="S29" s="1387">
        <f t="shared" si="9"/>
        <v>100</v>
      </c>
      <c r="T29" s="1386" t="s">
        <v>5</v>
      </c>
      <c r="U29" s="1387">
        <f t="shared" si="10"/>
        <v>100</v>
      </c>
      <c r="V29" s="1386" t="s">
        <v>5</v>
      </c>
      <c r="W29" s="1387">
        <f t="shared" si="11"/>
        <v>100</v>
      </c>
      <c r="X29" s="1380"/>
      <c r="Y29" s="3931"/>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31"/>
      <c r="Q30" s="1385" t="str">
        <f t="shared" si="8"/>
        <v>建筑面积</v>
      </c>
      <c r="R30" s="1386" t="s">
        <v>5</v>
      </c>
      <c r="S30" s="1387" t="e">
        <f t="shared" si="9"/>
        <v>#N/A</v>
      </c>
      <c r="T30" s="1386" t="s">
        <v>5</v>
      </c>
      <c r="U30" s="1387" t="e">
        <f t="shared" si="10"/>
        <v>#N/A</v>
      </c>
      <c r="V30" s="1386" t="s">
        <v>5</v>
      </c>
      <c r="W30" s="1387" t="e">
        <f t="shared" si="11"/>
        <v>#N/A</v>
      </c>
      <c r="X30" s="1380"/>
      <c r="Y30" s="3931"/>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31"/>
      <c r="Q31" s="1050" t="str">
        <f t="shared" si="8"/>
        <v>是否封闭</v>
      </c>
      <c r="R31" s="1381" t="s">
        <v>5</v>
      </c>
      <c r="S31" s="1382">
        <f t="shared" si="9"/>
        <v>100</v>
      </c>
      <c r="T31" s="1381" t="s">
        <v>5</v>
      </c>
      <c r="U31" s="1382">
        <f t="shared" si="10"/>
        <v>100</v>
      </c>
      <c r="V31" s="1381" t="s">
        <v>5</v>
      </c>
      <c r="W31" s="1382">
        <f t="shared" si="11"/>
        <v>100</v>
      </c>
      <c r="X31" s="1383"/>
      <c r="Y31" s="3931"/>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31" t="s">
        <v>498</v>
      </c>
      <c r="Q32" s="1385">
        <f t="shared" si="8"/>
        <v>111</v>
      </c>
      <c r="R32" s="1386" t="s">
        <v>5</v>
      </c>
      <c r="S32" s="1387">
        <f t="shared" si="9"/>
        <v>100</v>
      </c>
      <c r="T32" s="1386" t="s">
        <v>5</v>
      </c>
      <c r="U32" s="1387">
        <f t="shared" si="10"/>
        <v>100</v>
      </c>
      <c r="V32" s="1386" t="s">
        <v>5</v>
      </c>
      <c r="W32" s="1387">
        <f t="shared" si="11"/>
        <v>100</v>
      </c>
      <c r="X32" s="1380"/>
      <c r="Y32" s="3931" t="s">
        <v>498</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31"/>
      <c r="Q33" s="1385">
        <f t="shared" si="8"/>
        <v>111</v>
      </c>
      <c r="R33" s="1386" t="s">
        <v>5</v>
      </c>
      <c r="S33" s="1387">
        <f t="shared" si="9"/>
        <v>100</v>
      </c>
      <c r="T33" s="1386" t="s">
        <v>5</v>
      </c>
      <c r="U33" s="1387">
        <f t="shared" si="10"/>
        <v>100</v>
      </c>
      <c r="V33" s="1386" t="s">
        <v>5</v>
      </c>
      <c r="W33" s="1387">
        <f t="shared" si="11"/>
        <v>100</v>
      </c>
      <c r="X33" s="1380"/>
      <c r="Y33" s="3931"/>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31"/>
      <c r="Q34" s="1385">
        <f t="shared" si="8"/>
        <v>111</v>
      </c>
      <c r="R34" s="1386" t="s">
        <v>5</v>
      </c>
      <c r="S34" s="1387">
        <f t="shared" si="9"/>
        <v>100</v>
      </c>
      <c r="T34" s="1386" t="s">
        <v>5</v>
      </c>
      <c r="U34" s="1387">
        <f t="shared" si="10"/>
        <v>100</v>
      </c>
      <c r="V34" s="1386" t="s">
        <v>5</v>
      </c>
      <c r="W34" s="1387">
        <f t="shared" si="11"/>
        <v>100</v>
      </c>
      <c r="X34" s="1380"/>
      <c r="Y34" s="3931"/>
      <c r="Z34" s="1388">
        <f t="shared" si="12"/>
        <v>111</v>
      </c>
      <c r="AA34" s="1389">
        <f t="shared" si="3"/>
        <v>1</v>
      </c>
      <c r="AB34" s="1389">
        <f t="shared" si="4"/>
        <v>1</v>
      </c>
      <c r="AC34" s="1389">
        <f t="shared" si="5"/>
        <v>1</v>
      </c>
    </row>
    <row r="35" spans="1:29" ht="15">
      <c r="A35" s="577" t="s">
        <v>682</v>
      </c>
      <c r="B35" s="850"/>
      <c r="C35" s="2233" t="s">
        <v>0</v>
      </c>
      <c r="D35" s="2234"/>
      <c r="E35" s="2235"/>
      <c r="F35" s="2236"/>
      <c r="G35" s="2237"/>
      <c r="H35" s="2238"/>
      <c r="I35" s="2235"/>
      <c r="J35" s="2238"/>
      <c r="K35" s="1419"/>
      <c r="L35" s="1866"/>
      <c r="M35" s="1867"/>
      <c r="N35" s="1856"/>
      <c r="O35" s="1867"/>
      <c r="P35" s="3895" t="str">
        <f>A35</f>
        <v>成交单价（元/平方米）</v>
      </c>
      <c r="Q35" s="3895"/>
      <c r="R35" s="4006">
        <f>E35</f>
        <v>0</v>
      </c>
      <c r="S35" s="4006"/>
      <c r="T35" s="4006">
        <f>G35</f>
        <v>0</v>
      </c>
      <c r="U35" s="4006"/>
      <c r="V35" s="4006">
        <f>I35</f>
        <v>0</v>
      </c>
      <c r="W35" s="4006"/>
      <c r="X35" s="1375"/>
      <c r="Y35" s="1394"/>
      <c r="Z35" s="1375"/>
      <c r="AA35" s="1375"/>
      <c r="AB35" s="1375"/>
      <c r="AC35" s="1375"/>
    </row>
    <row r="36" spans="1:29" ht="15.75" thickBot="1">
      <c r="A36" s="585" t="s">
        <v>2039</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895" t="str">
        <f>A36</f>
        <v>比较价格（元/平方米）</v>
      </c>
      <c r="Q36" s="3895"/>
      <c r="R36" s="4006" t="e">
        <f>IF(F1="售价",ROUND(PRODUCT(R35,AA7:AA34),0),ROUND(PRODUCT(R35,AA7:AA34),1))</f>
        <v>#DIV/0!</v>
      </c>
      <c r="S36" s="4006"/>
      <c r="T36" s="4006" t="e">
        <f>IF(F1="售价",ROUND(PRODUCT(T35,AB7:AB34),0),ROUND(PRODUCT(T35,AB7:AB34),1))</f>
        <v>#DIV/0!</v>
      </c>
      <c r="U36" s="4006"/>
      <c r="V36" s="4006" t="e">
        <f>IF(F1="售价",ROUND(PRODUCT(V35,AC7:AC34),0),ROUND(PRODUCT(V35,AC7:AC34),1))</f>
        <v>#DIV/0!</v>
      </c>
      <c r="W36" s="4006"/>
      <c r="X36" s="1375"/>
      <c r="Y36" s="1375"/>
      <c r="Z36" s="1375"/>
      <c r="AA36" s="1375"/>
      <c r="AB36" s="1375"/>
      <c r="AC36" s="1375"/>
    </row>
    <row r="37" spans="1:29" ht="15.75" thickBot="1">
      <c r="A37" s="589" t="s">
        <v>2194</v>
      </c>
      <c r="B37" s="590"/>
      <c r="C37" s="2241" t="e">
        <f>R37</f>
        <v>#DIV/0!</v>
      </c>
      <c r="D37" s="2241"/>
      <c r="E37" s="2241"/>
      <c r="F37" s="2241"/>
      <c r="G37" s="2241"/>
      <c r="H37" s="2241"/>
      <c r="I37" s="2241"/>
      <c r="J37" s="2241"/>
      <c r="K37" s="1420"/>
      <c r="L37" s="1866"/>
      <c r="M37" s="1867"/>
      <c r="N37" s="1867"/>
      <c r="O37" s="1867"/>
      <c r="P37" s="3932" t="str">
        <f>A37</f>
        <v>估价对象XX用房的比较价格（楼面单价，元/平方米）</v>
      </c>
      <c r="Q37" s="3933"/>
      <c r="R37" s="4005" t="e">
        <f>IF(F1="售价",ROUND(IF(D36="简单平均",AVERAGE(R36:W36),R36*F36+T36*H36+V36*J36),0),ROUND(IF(D36="简单平均",AVERAGE(R36:V36),R36*F36+T36*H36+V36*J36),1))</f>
        <v>#DIV/0!</v>
      </c>
      <c r="S37" s="4005"/>
      <c r="T37" s="4005"/>
      <c r="U37" s="4005"/>
      <c r="V37" s="4005"/>
      <c r="W37" s="4005"/>
      <c r="X37" s="1375"/>
      <c r="Y37" s="1375"/>
      <c r="Z37" s="1375"/>
      <c r="AA37" s="1375"/>
      <c r="AB37" s="1375"/>
      <c r="AC37" s="1375"/>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505</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506</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7"/>
      <c r="B42" s="2957"/>
      <c r="C42" s="592" t="s">
        <v>507</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521</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477</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522</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479</v>
      </c>
      <c r="B49" s="616"/>
      <c r="C49" s="628" t="s">
        <v>523</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524</v>
      </c>
      <c r="B51" s="633" t="s">
        <v>482</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485</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487</v>
      </c>
      <c r="B61" s="633" t="s">
        <v>533</v>
      </c>
      <c r="C61" s="671" t="s">
        <v>526</v>
      </c>
      <c r="D61" s="671" t="s">
        <v>527</v>
      </c>
      <c r="E61" s="671" t="s">
        <v>528</v>
      </c>
      <c r="F61" s="671" t="s">
        <v>529</v>
      </c>
      <c r="G61" s="671" t="s">
        <v>530</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1837</v>
      </c>
      <c r="C63" s="676" t="s">
        <v>526</v>
      </c>
      <c r="D63" s="676" t="s">
        <v>527</v>
      </c>
      <c r="E63" s="676" t="s">
        <v>528</v>
      </c>
      <c r="F63" s="676" t="s">
        <v>529</v>
      </c>
      <c r="G63" s="676" t="s">
        <v>530</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1838</v>
      </c>
      <c r="C65" s="2205" t="s">
        <v>1839</v>
      </c>
      <c r="D65" s="2205" t="s">
        <v>1840</v>
      </c>
      <c r="E65" s="2205" t="s">
        <v>1841</v>
      </c>
      <c r="F65" s="2205" t="s">
        <v>1842</v>
      </c>
      <c r="G65" s="2205" t="s">
        <v>1843</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683</v>
      </c>
      <c r="C67" s="676" t="s">
        <v>526</v>
      </c>
      <c r="D67" s="676" t="s">
        <v>527</v>
      </c>
      <c r="E67" s="676" t="s">
        <v>528</v>
      </c>
      <c r="F67" s="676" t="s">
        <v>529</v>
      </c>
      <c r="G67" s="676" t="s">
        <v>530</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499</v>
      </c>
      <c r="B77" s="633" t="s">
        <v>690</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756</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764</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766</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1657</v>
      </c>
      <c r="C1" s="4015" t="s">
        <v>1658</v>
      </c>
      <c r="D1" s="4016"/>
      <c r="E1" s="4016"/>
      <c r="F1" s="4016"/>
      <c r="G1" s="4016"/>
      <c r="H1" s="4016"/>
      <c r="I1" s="4016"/>
      <c r="J1" s="4016"/>
      <c r="K1" s="4016"/>
      <c r="L1" s="4016"/>
      <c r="M1" s="4016"/>
      <c r="N1" s="4016"/>
      <c r="O1" s="4016"/>
      <c r="P1" s="4016"/>
      <c r="Q1" s="4016"/>
      <c r="R1" s="4016"/>
      <c r="S1" s="4017"/>
      <c r="T1" s="1952" t="s">
        <v>1659</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1660</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1661</v>
      </c>
      <c r="B17" s="1996" t="s">
        <v>1662</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767</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768</v>
      </c>
      <c r="B22" s="51">
        <f>SUM(B24:B10000)</f>
        <v>0</v>
      </c>
      <c r="C22" s="4012" t="s">
        <v>14</v>
      </c>
      <c r="D22" s="4013"/>
      <c r="E22" s="4013"/>
      <c r="F22" s="4013"/>
      <c r="G22" s="4013"/>
      <c r="H22" s="4013"/>
      <c r="I22" s="4013"/>
      <c r="J22" s="4013"/>
      <c r="K22" s="4013"/>
      <c r="L22" s="4013"/>
      <c r="M22" s="4013"/>
      <c r="N22" s="4013"/>
      <c r="O22" s="4013"/>
      <c r="P22" s="4013"/>
      <c r="Q22" s="4014"/>
      <c r="R22" s="467" t="e">
        <f>ROUND(S22*10000/B22,0)</f>
        <v>#DIV/0!</v>
      </c>
      <c r="S22" s="51">
        <f>SUM(S24:S10000)</f>
        <v>0</v>
      </c>
    </row>
    <row r="23" spans="1:45" s="1421" customFormat="1" ht="24">
      <c r="A23" s="15" t="s">
        <v>769</v>
      </c>
      <c r="B23" s="2613" t="s">
        <v>2206</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2062</v>
      </c>
      <c r="C1" s="2481">
        <f>项目基本情况!D3</f>
        <v>44942</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2093</v>
      </c>
      <c r="C2" s="2482">
        <f>'数据-取费表'!B22</f>
        <v>2.5</v>
      </c>
      <c r="D2" s="2477" t="s">
        <v>2063</v>
      </c>
      <c r="E2" s="2480">
        <f ca="1">INDIRECT("I"&amp;$I$1)/100</f>
        <v>3.6499999999999998E-2</v>
      </c>
      <c r="G2" s="2418"/>
      <c r="H2" s="2418"/>
      <c r="I2" s="2418" t="s">
        <v>2064</v>
      </c>
      <c r="K2" s="2418"/>
      <c r="L2" s="2418"/>
      <c r="M2" s="2418"/>
      <c r="N2" s="2418" t="s">
        <v>2065</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2095</v>
      </c>
      <c r="C3" s="2479">
        <f>'数据-取费表'!B19</f>
        <v>0</v>
      </c>
      <c r="D3" s="2477" t="s">
        <v>2063</v>
      </c>
      <c r="E3" s="2480">
        <f ca="1">INDIRECT("J"&amp;$J$1)/100</f>
        <v>0</v>
      </c>
      <c r="G3" s="2420" t="s">
        <v>2066</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2094</v>
      </c>
      <c r="C4" s="2480">
        <f ca="1">N4/100</f>
        <v>1.4999999999999999E-2</v>
      </c>
      <c r="G4" s="2426" t="s">
        <v>2067</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2068</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2069</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2070</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2071</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2072</v>
      </c>
      <c r="C10" s="2445"/>
      <c r="D10" s="2445"/>
      <c r="E10" s="2445"/>
      <c r="F10" s="2445"/>
      <c r="G10" s="2445"/>
      <c r="H10" s="2445"/>
      <c r="I10" s="2419"/>
      <c r="J10" s="2419"/>
      <c r="K10" s="2445"/>
      <c r="L10" s="2446" t="s">
        <v>2073</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2074</v>
      </c>
      <c r="C11" s="2450" t="s">
        <v>2075</v>
      </c>
      <c r="D11" s="2451" t="s">
        <v>2076</v>
      </c>
      <c r="E11" s="2452"/>
      <c r="F11" s="2451" t="s">
        <v>2077</v>
      </c>
      <c r="G11" s="2453"/>
      <c r="H11" s="2452"/>
      <c r="I11" s="2451" t="s">
        <v>2078</v>
      </c>
      <c r="J11" s="2452"/>
      <c r="K11" s="2448"/>
      <c r="L11" s="2449" t="s">
        <v>2074</v>
      </c>
      <c r="M11" s="2450" t="s">
        <v>2075</v>
      </c>
      <c r="N11" s="2449" t="s">
        <v>2079</v>
      </c>
      <c r="O11" s="2451" t="s">
        <v>2080</v>
      </c>
      <c r="P11" s="2453"/>
      <c r="Q11" s="2453"/>
      <c r="R11" s="2453"/>
      <c r="S11" s="2453"/>
      <c r="T11" s="2452"/>
      <c r="U11" s="2451" t="s">
        <v>2081</v>
      </c>
      <c r="V11" s="2453"/>
      <c r="W11" s="2452"/>
      <c r="X11" s="2449" t="s">
        <v>2082</v>
      </c>
      <c r="Y11" s="2449" t="s">
        <v>2083</v>
      </c>
      <c r="Z11" s="2449" t="s">
        <v>2084</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2085</v>
      </c>
      <c r="E12" s="2458" t="s">
        <v>2086</v>
      </c>
      <c r="F12" s="2458" t="s">
        <v>2087</v>
      </c>
      <c r="G12" s="2458" t="s">
        <v>2088</v>
      </c>
      <c r="H12" s="2458" t="s">
        <v>2070</v>
      </c>
      <c r="I12" s="2459" t="s">
        <v>2089</v>
      </c>
      <c r="J12" s="2459" t="s">
        <v>2089</v>
      </c>
      <c r="K12" s="2455"/>
      <c r="L12" s="2456"/>
      <c r="M12" s="2457"/>
      <c r="N12" s="2456"/>
      <c r="O12" s="2459" t="s">
        <v>2090</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2091</v>
      </c>
      <c r="C13" s="2463">
        <v>44795</v>
      </c>
      <c r="D13" s="2464">
        <v>3.65</v>
      </c>
      <c r="E13" s="2464">
        <f>D13</f>
        <v>3.65</v>
      </c>
      <c r="F13" s="2464">
        <f>D13</f>
        <v>3.65</v>
      </c>
      <c r="G13" s="2464">
        <f>D13</f>
        <v>3.65</v>
      </c>
      <c r="H13" s="2464">
        <v>4.3</v>
      </c>
      <c r="I13" s="2464"/>
      <c r="J13" s="2464"/>
      <c r="K13" s="2461"/>
      <c r="L13" s="2462" t="s">
        <v>2091</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2092</v>
      </c>
      <c r="Y42" s="2468" t="s">
        <v>2092</v>
      </c>
      <c r="Z42" s="2468" t="s">
        <v>2092</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2092</v>
      </c>
      <c r="Y43" s="2468" t="s">
        <v>2092</v>
      </c>
      <c r="Z43" s="2468" t="s">
        <v>2092</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2092</v>
      </c>
      <c r="Y44" s="2468" t="s">
        <v>2092</v>
      </c>
      <c r="Z44" s="2468" t="s">
        <v>2092</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2092</v>
      </c>
      <c r="Y45" s="2468" t="s">
        <v>2092</v>
      </c>
      <c r="Z45" s="2468" t="s">
        <v>2092</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2092</v>
      </c>
      <c r="Y46" s="2468" t="s">
        <v>2092</v>
      </c>
      <c r="Z46" s="2468" t="s">
        <v>2092</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2092</v>
      </c>
      <c r="Y47" s="2468" t="s">
        <v>2092</v>
      </c>
      <c r="Z47" s="2468" t="s">
        <v>2092</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2092</v>
      </c>
      <c r="Y48" s="2468" t="s">
        <v>2092</v>
      </c>
      <c r="Z48" s="2468" t="s">
        <v>2092</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2092</v>
      </c>
      <c r="Y49" s="2468" t="s">
        <v>2092</v>
      </c>
      <c r="Z49" s="2468" t="s">
        <v>2092</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2092</v>
      </c>
      <c r="Y50" s="2468" t="s">
        <v>2092</v>
      </c>
      <c r="Z50" s="2468" t="s">
        <v>2092</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2092</v>
      </c>
      <c r="V51" s="2468" t="s">
        <v>2092</v>
      </c>
      <c r="W51" s="2468" t="s">
        <v>2092</v>
      </c>
      <c r="X51" s="2468" t="s">
        <v>2092</v>
      </c>
      <c r="Y51" s="2468" t="s">
        <v>2092</v>
      </c>
      <c r="Z51" s="2468" t="s">
        <v>2092</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2092</v>
      </c>
      <c r="J64" s="2468" t="s">
        <v>2092</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G76"/>
  <sheetViews>
    <sheetView view="pageBreakPreview" zoomScale="80" zoomScaleNormal="60" zoomScaleSheetLayoutView="80" workbookViewId="0">
      <selection activeCell="D3" sqref="D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3363</v>
      </c>
      <c r="D1" s="2552" t="s">
        <v>3367</v>
      </c>
      <c r="E1" s="2078" t="s">
        <v>807</v>
      </c>
      <c r="F1" s="2079">
        <f ca="1">J53</f>
        <v>32.85</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426</v>
      </c>
      <c r="B2" s="741">
        <f ca="1">C40+J29+L46</f>
        <v>0</v>
      </c>
      <c r="C2" s="3005"/>
      <c r="D2" s="3702">
        <f ca="1">C29+不动产收益法!C29</f>
        <v>66338</v>
      </c>
      <c r="E2" s="3007"/>
      <c r="F2" s="3007"/>
      <c r="G2" s="3001"/>
      <c r="H2" s="1780"/>
      <c r="I2" s="1780"/>
      <c r="J2" s="1780"/>
      <c r="K2" s="1781"/>
      <c r="L2" s="1780"/>
      <c r="M2" s="1780"/>
    </row>
    <row r="3" spans="1:33" ht="18" customHeight="1" thickBot="1">
      <c r="A3" s="798" t="s">
        <v>467</v>
      </c>
      <c r="B3" s="799">
        <f ca="1">IF(ISERROR(B2*10000/F43),0,ROUND(B2*10000/F43,0))</f>
        <v>0</v>
      </c>
      <c r="C3" s="3005"/>
      <c r="D3" s="3006"/>
      <c r="E3" s="3007"/>
      <c r="F3" s="3007"/>
      <c r="G3" s="3001"/>
      <c r="H3" s="742" t="s">
        <v>641</v>
      </c>
      <c r="I3" s="1223"/>
      <c r="J3" s="1223"/>
      <c r="K3" s="1404"/>
      <c r="L3" s="1223"/>
      <c r="M3" s="1223"/>
    </row>
    <row r="4" spans="1:33" ht="18" customHeight="1">
      <c r="A4" s="743" t="s">
        <v>577</v>
      </c>
      <c r="B4" s="744" t="s">
        <v>578</v>
      </c>
      <c r="C4" s="744" t="s">
        <v>1258</v>
      </c>
      <c r="D4" s="744" t="s">
        <v>580</v>
      </c>
      <c r="E4" s="745" t="s">
        <v>1259</v>
      </c>
      <c r="F4" s="746"/>
      <c r="G4" s="1785"/>
      <c r="H4" s="743" t="s">
        <v>577</v>
      </c>
      <c r="I4" s="744" t="s">
        <v>578</v>
      </c>
      <c r="J4" s="744" t="s">
        <v>1258</v>
      </c>
      <c r="K4" s="744" t="s">
        <v>580</v>
      </c>
      <c r="L4" s="745" t="s">
        <v>1259</v>
      </c>
      <c r="M4" s="746"/>
    </row>
    <row r="5" spans="1:33" ht="18" customHeight="1">
      <c r="A5" s="747">
        <v>1</v>
      </c>
      <c r="B5" s="748" t="s">
        <v>1799</v>
      </c>
      <c r="C5" s="53">
        <f ca="1">C6+C10+C12</f>
        <v>0</v>
      </c>
      <c r="D5" s="2142" t="s">
        <v>1802</v>
      </c>
      <c r="E5" s="2136"/>
      <c r="F5" s="2137"/>
      <c r="G5" s="1785"/>
      <c r="H5" s="747">
        <v>1</v>
      </c>
      <c r="I5" s="748" t="s">
        <v>1799</v>
      </c>
      <c r="J5" s="53">
        <f ca="1">J6+J10+J12</f>
        <v>0</v>
      </c>
      <c r="K5" s="2142" t="s">
        <v>1802</v>
      </c>
      <c r="L5" s="2136"/>
      <c r="M5" s="2137"/>
    </row>
    <row r="6" spans="1:33" ht="18" customHeight="1">
      <c r="A6" s="1616" t="s">
        <v>1352</v>
      </c>
      <c r="B6" s="3978" t="s">
        <v>1804</v>
      </c>
      <c r="C6" s="749">
        <f ca="1">ROUND(F6*F8*F7*(1-F9)/10000,0)</f>
        <v>0</v>
      </c>
      <c r="D6" s="2143" t="s">
        <v>1803</v>
      </c>
      <c r="E6" s="750" t="s">
        <v>1266</v>
      </c>
      <c r="F6" s="751">
        <f ca="1">INDIRECT("'数据-取费表'!u"&amp;$G$1)</f>
        <v>0</v>
      </c>
      <c r="G6" s="1785"/>
      <c r="H6" s="2150" t="s">
        <v>1352</v>
      </c>
      <c r="I6" s="3978" t="s">
        <v>1804</v>
      </c>
      <c r="J6" s="749">
        <f ca="1">ROUND(M6*M8*M7*(1-M9)/10000,0)</f>
        <v>0</v>
      </c>
      <c r="K6" s="332" t="s">
        <v>583</v>
      </c>
      <c r="L6" s="750" t="s">
        <v>1266</v>
      </c>
      <c r="M6" s="751">
        <f ca="1">INDIRECT("'数据-取费表'!z"&amp;$G$1)</f>
        <v>0</v>
      </c>
    </row>
    <row r="7" spans="1:33" ht="18" customHeight="1">
      <c r="A7" s="2146"/>
      <c r="B7" s="3979"/>
      <c r="C7" s="754"/>
      <c r="D7" s="755"/>
      <c r="E7" s="750" t="s">
        <v>585</v>
      </c>
      <c r="F7" s="751">
        <f ca="1">IF(INDIRECT("'数据-取费表'!ah"&amp;$G$1)="",INDIRECT("'数据-取费表'!k"&amp;$G$1),INDIRECT("'数据-取费表'!ah"&amp;$G$1))</f>
        <v>43064.46</v>
      </c>
      <c r="G7" s="1785"/>
      <c r="H7" s="2135"/>
      <c r="I7" s="3979"/>
      <c r="J7" s="754"/>
      <c r="K7" s="755"/>
      <c r="L7" s="750" t="s">
        <v>585</v>
      </c>
      <c r="M7" s="751">
        <f ca="1">F7</f>
        <v>43064.46</v>
      </c>
    </row>
    <row r="8" spans="1:33" ht="18" customHeight="1">
      <c r="A8" s="2139"/>
      <c r="B8" s="3980"/>
      <c r="C8" s="754"/>
      <c r="D8" s="755"/>
      <c r="E8" s="750" t="s">
        <v>586</v>
      </c>
      <c r="F8" s="751">
        <f ca="1">INDIRECT("'数据-取费表'!ai"&amp;$G$1)</f>
        <v>0</v>
      </c>
      <c r="G8" s="1785"/>
      <c r="H8" s="2135"/>
      <c r="I8" s="3980"/>
      <c r="J8" s="754"/>
      <c r="K8" s="755"/>
      <c r="L8" s="750" t="s">
        <v>586</v>
      </c>
      <c r="M8" s="751">
        <f ca="1">INDIRECT("'数据-取费表'!ai"&amp;$G$1)</f>
        <v>0</v>
      </c>
    </row>
    <row r="9" spans="1:33" ht="18" customHeight="1">
      <c r="A9" s="752"/>
      <c r="B9" s="3981"/>
      <c r="C9" s="754"/>
      <c r="D9" s="755"/>
      <c r="E9" s="750" t="s">
        <v>1269</v>
      </c>
      <c r="F9" s="760">
        <f ca="1">INDIRECT("'数据-取费表'!w"&amp;$G$1)</f>
        <v>0</v>
      </c>
      <c r="G9" s="1785"/>
      <c r="H9" s="2151"/>
      <c r="I9" s="3980"/>
      <c r="J9" s="754"/>
      <c r="K9" s="755"/>
      <c r="L9" s="761" t="s">
        <v>1269</v>
      </c>
      <c r="M9" s="762">
        <f ca="1">INDIRECT("'数据-取费表'!ab"&amp;$G$1)</f>
        <v>0</v>
      </c>
    </row>
    <row r="10" spans="1:33" ht="18" customHeight="1">
      <c r="A10" s="1616" t="s">
        <v>1353</v>
      </c>
      <c r="B10" s="2140" t="s">
        <v>1800</v>
      </c>
      <c r="C10" s="765">
        <f ca="1">ROUND(IF(F10="押一",C6/12*F11,IF(F10="押二",C6/12*2*F11,IF(F10="押三",C6/12*3*F11,C11*F11))),0)</f>
        <v>0</v>
      </c>
      <c r="D10" s="2147" t="s">
        <v>2228</v>
      </c>
      <c r="E10" s="2144" t="s">
        <v>1805</v>
      </c>
      <c r="F10" s="2228" t="s">
        <v>3368</v>
      </c>
      <c r="G10" s="1785"/>
      <c r="H10" s="2178" t="s">
        <v>1353</v>
      </c>
      <c r="I10" s="2183" t="s">
        <v>1800</v>
      </c>
      <c r="J10" s="749">
        <f ca="1">ROUND(IF(M10="押一",J6/12*M11,IF(M10="押二",J6/12*2*M11,IF(M10="押三",J6/12*3*M11,J11*M11))),0)</f>
        <v>0</v>
      </c>
      <c r="K10" s="2147" t="s">
        <v>2228</v>
      </c>
      <c r="L10" s="2144" t="s">
        <v>1805</v>
      </c>
      <c r="M10" s="2228"/>
    </row>
    <row r="11" spans="1:33" ht="18" customHeight="1">
      <c r="A11" s="756"/>
      <c r="B11" s="2141" t="s">
        <v>1853</v>
      </c>
      <c r="C11" s="2145"/>
      <c r="D11" s="755"/>
      <c r="E11" s="2144" t="s">
        <v>1798</v>
      </c>
      <c r="F11" s="762">
        <f ca="1">'数据-取费表'!B39</f>
        <v>1.4999999999999999E-2</v>
      </c>
      <c r="G11" s="1785"/>
      <c r="H11" s="2179"/>
      <c r="I11" s="2141" t="s">
        <v>1853</v>
      </c>
      <c r="J11" s="2145"/>
      <c r="K11" s="2180"/>
      <c r="L11" s="2144" t="s">
        <v>1798</v>
      </c>
      <c r="M11" s="2138">
        <f ca="1">'数据-取费表'!B39</f>
        <v>1.4999999999999999E-2</v>
      </c>
    </row>
    <row r="12" spans="1:33" ht="18" customHeight="1" thickBot="1">
      <c r="A12" s="2154" t="s">
        <v>1808</v>
      </c>
      <c r="B12" s="2155" t="s">
        <v>1801</v>
      </c>
      <c r="C12" s="2156"/>
      <c r="D12" s="2157"/>
      <c r="E12" s="2158"/>
      <c r="F12" s="2159"/>
      <c r="G12" s="1785"/>
      <c r="H12" s="2168" t="s">
        <v>1808</v>
      </c>
      <c r="I12" s="2181" t="s">
        <v>1801</v>
      </c>
      <c r="J12" s="2182"/>
      <c r="K12" s="2157"/>
      <c r="L12" s="2158"/>
      <c r="M12" s="2171"/>
    </row>
    <row r="13" spans="1:33" ht="18" customHeight="1" thickTop="1">
      <c r="A13" s="1615">
        <v>2</v>
      </c>
      <c r="B13" s="1613" t="s">
        <v>591</v>
      </c>
      <c r="C13" s="758">
        <f ca="1">ROUND(C29*F13,0)</f>
        <v>0</v>
      </c>
      <c r="D13" s="1620" t="s">
        <v>1651</v>
      </c>
      <c r="E13" s="1620" t="s">
        <v>590</v>
      </c>
      <c r="F13" s="2153">
        <f ca="1">INDIRECT("'数据-取费表'!y"&amp;$G$1)</f>
        <v>0</v>
      </c>
      <c r="G13" s="1785"/>
      <c r="H13" s="1615">
        <v>2</v>
      </c>
      <c r="I13" s="1613" t="s">
        <v>591</v>
      </c>
      <c r="J13" s="1605">
        <f ca="1">ROUND(J14*J15,0)</f>
        <v>0</v>
      </c>
      <c r="K13" s="1607" t="s">
        <v>1271</v>
      </c>
      <c r="L13" s="2169"/>
      <c r="M13" s="2170"/>
    </row>
    <row r="14" spans="1:33" ht="18" customHeight="1">
      <c r="A14" s="1453" t="s">
        <v>1359</v>
      </c>
      <c r="B14" s="750" t="s">
        <v>592</v>
      </c>
      <c r="C14" s="770">
        <f ca="1">INDIRECT("'数据-取费表'!m"&amp;$G$1)+INDIRECT("'数据-取费表'!t"&amp;$G$1)</f>
        <v>41797</v>
      </c>
      <c r="D14" s="3664" t="s">
        <v>1273</v>
      </c>
      <c r="E14" s="3663"/>
      <c r="F14" s="771"/>
      <c r="G14" s="1785"/>
      <c r="H14" s="1454" t="s">
        <v>1352</v>
      </c>
      <c r="I14" s="1949" t="s">
        <v>2099</v>
      </c>
      <c r="J14" s="51">
        <f ca="1">C29</f>
        <v>58579</v>
      </c>
      <c r="K14" s="24"/>
      <c r="L14" s="767"/>
      <c r="M14" s="768"/>
    </row>
    <row r="15" spans="1:33" s="1787" customFormat="1" ht="18" customHeight="1" thickBot="1">
      <c r="A15" s="1453" t="s">
        <v>1360</v>
      </c>
      <c r="B15" s="750" t="s">
        <v>594</v>
      </c>
      <c r="C15" s="51">
        <f ca="1">ROUND(C14*F15,0)</f>
        <v>3344</v>
      </c>
      <c r="D15" s="772" t="s">
        <v>1274</v>
      </c>
      <c r="E15" s="772" t="s">
        <v>596</v>
      </c>
      <c r="F15" s="773">
        <f>'数据-取费表'!B33</f>
        <v>0.08</v>
      </c>
      <c r="G15" s="3002"/>
      <c r="H15" s="2168" t="s">
        <v>1413</v>
      </c>
      <c r="I15" s="2163" t="s">
        <v>590</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1361</v>
      </c>
      <c r="B16" s="750" t="s">
        <v>597</v>
      </c>
      <c r="C16" s="51">
        <f ca="1">ROUND(INDIRECT("'数据-取费表'!m"&amp;$G$1)*F16,0)</f>
        <v>0</v>
      </c>
      <c r="D16" s="750" t="s">
        <v>1274</v>
      </c>
      <c r="E16" s="750" t="s">
        <v>596</v>
      </c>
      <c r="F16" s="775">
        <f ca="1">IF(INDIRECT("'数据-取费表'!c"&amp;$G$1)="住宅",'数据-取费表'!B34,0)</f>
        <v>0</v>
      </c>
      <c r="G16" s="1785"/>
      <c r="H16" s="1615" t="s">
        <v>1276</v>
      </c>
      <c r="I16" s="1613" t="s">
        <v>1277</v>
      </c>
      <c r="J16" s="758">
        <f ca="1">ROUND(J17+J22+J23+J24,0)</f>
        <v>6</v>
      </c>
      <c r="K16" s="1607" t="s">
        <v>1278</v>
      </c>
      <c r="L16" s="3666"/>
      <c r="M16" s="2137"/>
    </row>
    <row r="17" spans="1:33" s="1787" customFormat="1" ht="18" customHeight="1">
      <c r="A17" s="1453" t="s">
        <v>1411</v>
      </c>
      <c r="B17" s="750" t="s">
        <v>600</v>
      </c>
      <c r="C17" s="51">
        <f ca="1">ROUND(F17*(F43+INDIRECT("'数据-取费表'!S"&amp;$G$1))/10000,0)</f>
        <v>1045</v>
      </c>
      <c r="D17" s="750" t="s">
        <v>601</v>
      </c>
      <c r="E17" s="750" t="s">
        <v>602</v>
      </c>
      <c r="F17" s="54">
        <f>'数据-取费表'!B35</f>
        <v>200</v>
      </c>
      <c r="G17" s="3002"/>
      <c r="H17" s="1454" t="s">
        <v>1352</v>
      </c>
      <c r="I17" s="750" t="s">
        <v>603</v>
      </c>
      <c r="J17" s="2761">
        <f ca="1">ROUND(IF(AND(项目基本情况!B11="自然人",项目基本情况!B10="北京市"),J6*M17/(1+'数据-取费表'!C42),J18+J19+J20),2)</f>
        <v>5.95</v>
      </c>
      <c r="K17" s="3664" t="s">
        <v>604</v>
      </c>
      <c r="L17" s="3665" t="s">
        <v>605</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1412</v>
      </c>
      <c r="B18" s="750" t="s">
        <v>606</v>
      </c>
      <c r="C18" s="51">
        <f ca="1">ROUND(C14*F18,0)</f>
        <v>627</v>
      </c>
      <c r="D18" s="750" t="s">
        <v>1274</v>
      </c>
      <c r="E18" s="750" t="s">
        <v>596</v>
      </c>
      <c r="F18" s="775">
        <f>'数据-取费表'!B36</f>
        <v>1.4999999999999999E-2</v>
      </c>
      <c r="G18" s="3002"/>
      <c r="H18" s="1453" t="s">
        <v>1359</v>
      </c>
      <c r="I18" s="750" t="s">
        <v>1283</v>
      </c>
      <c r="J18" s="51">
        <f ca="1">ROUND(J6*M18/(1+'数据-取费表'!C42),2)</f>
        <v>0</v>
      </c>
      <c r="K18" s="3665" t="s">
        <v>608</v>
      </c>
      <c r="L18" s="750" t="s">
        <v>596</v>
      </c>
      <c r="M18" s="775">
        <f>'数据-取费表'!B41</f>
        <v>0</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1352</v>
      </c>
      <c r="B19" s="750" t="s">
        <v>609</v>
      </c>
      <c r="C19" s="51">
        <f ca="1">SUM(C14:C18)</f>
        <v>46813</v>
      </c>
      <c r="D19" s="252" t="s">
        <v>610</v>
      </c>
      <c r="E19" s="3667"/>
      <c r="F19" s="54"/>
      <c r="G19" s="1785"/>
      <c r="H19" s="1453" t="s">
        <v>1360</v>
      </c>
      <c r="I19" s="750" t="s">
        <v>611</v>
      </c>
      <c r="J19" s="51">
        <f ca="1">IF(K19="按租金收入计税",ROUND(J6*M19/(1+'数据-取费表'!C42),1),ROUND(C29*F33*0.7,2))</f>
        <v>0</v>
      </c>
      <c r="K19" s="776" t="s">
        <v>3246</v>
      </c>
      <c r="L19" s="750" t="s">
        <v>596</v>
      </c>
      <c r="M19" s="775">
        <f>IF(K19="按租金收入计税",'数据-取费表'!B51,'数据-取费表'!B50)</f>
        <v>0.12</v>
      </c>
    </row>
    <row r="20" spans="1:33" s="1787" customFormat="1" ht="18" customHeight="1">
      <c r="A20" s="1454" t="s">
        <v>1413</v>
      </c>
      <c r="B20" s="750" t="s">
        <v>612</v>
      </c>
      <c r="C20" s="51">
        <f ca="1">ROUND(C19*F20,0)</f>
        <v>1404</v>
      </c>
      <c r="D20" s="777" t="s">
        <v>613</v>
      </c>
      <c r="E20" s="750" t="s">
        <v>596</v>
      </c>
      <c r="F20" s="775">
        <f>'数据-取费表'!B37</f>
        <v>0.03</v>
      </c>
      <c r="G20" s="3002"/>
      <c r="H20" s="1456" t="s">
        <v>1361</v>
      </c>
      <c r="I20" s="332" t="s">
        <v>614</v>
      </c>
      <c r="J20" s="52">
        <f ca="1">ROUND(M20*M21/10000,2)</f>
        <v>5.95</v>
      </c>
      <c r="K20" s="779" t="s">
        <v>1289</v>
      </c>
      <c r="L20" s="750" t="s">
        <v>1290</v>
      </c>
      <c r="M20" s="608">
        <f>'数据-取费表'!B52</f>
        <v>3</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1414</v>
      </c>
      <c r="B21" s="750" t="s">
        <v>617</v>
      </c>
      <c r="C21" s="51" t="s">
        <v>1292</v>
      </c>
      <c r="D21" s="777" t="s">
        <v>1652</v>
      </c>
      <c r="E21" s="750" t="s">
        <v>1293</v>
      </c>
      <c r="F21" s="775">
        <f>'数据-取费表'!B38</f>
        <v>0.03</v>
      </c>
      <c r="G21" s="3002"/>
      <c r="H21" s="2152"/>
      <c r="I21" s="759"/>
      <c r="J21" s="67"/>
      <c r="K21" s="781"/>
      <c r="L21" s="750" t="s">
        <v>1294</v>
      </c>
      <c r="M21" s="751">
        <f ca="1">INDIRECT("'数据-取费表'!r"&amp;$G$1)</f>
        <v>19827.93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1415</v>
      </c>
      <c r="B22" s="750" t="s">
        <v>621</v>
      </c>
      <c r="C22" s="51"/>
      <c r="D22" s="2187" t="str">
        <f>IF(F23&lt;=1,"单利计息。","复利计息。")&amp;"建造成本、管理费用、销售费用产生的利息。"</f>
        <v>复利计息。建造成本、管理费用、销售费用产生的利息。</v>
      </c>
      <c r="E22" s="3667"/>
      <c r="F22" s="54"/>
      <c r="G22" s="1785"/>
      <c r="H22" s="1454" t="s">
        <v>1413</v>
      </c>
      <c r="I22" s="750" t="s">
        <v>622</v>
      </c>
      <c r="J22" s="51">
        <f ca="1">ROUND(J14*M22,2)</f>
        <v>0</v>
      </c>
      <c r="K22" s="3665" t="s">
        <v>1297</v>
      </c>
      <c r="L22" s="750" t="s">
        <v>596</v>
      </c>
      <c r="M22" s="782">
        <f ca="1">INDIRECT("'数据-取费表'!Ak"&amp;$G$1)</f>
        <v>0</v>
      </c>
    </row>
    <row r="23" spans="1:33" s="1787" customFormat="1" ht="18" customHeight="1">
      <c r="A23" s="1453" t="s">
        <v>1359</v>
      </c>
      <c r="B23" s="750" t="s">
        <v>1781</v>
      </c>
      <c r="C23" s="51">
        <f ca="1">ROUND(IF('数据-取费表'!B22&lt;=1,(C19+C20)*F24*F23/2,(C19+C20)*(POWER((1+F24),F23/2)-1)),0)</f>
        <v>2514</v>
      </c>
      <c r="D23" s="2186" t="str">
        <f>IF(F23&lt;=1,"(建造成本+管理费用)×利率×(建设周期÷2)","(建造成本+管理费用)×((1+利率)^(建设周期÷2)-1)")</f>
        <v>(建造成本+管理费用)×((1+利率)^(建设周期÷2)-1)</v>
      </c>
      <c r="E23" s="750" t="s">
        <v>1298</v>
      </c>
      <c r="F23" s="608">
        <f>'数据-取费表'!B20</f>
        <v>2.5</v>
      </c>
      <c r="G23" s="3002"/>
      <c r="H23" s="1454" t="s">
        <v>1414</v>
      </c>
      <c r="I23" s="750" t="s">
        <v>625</v>
      </c>
      <c r="J23" s="51">
        <f ca="1">ROUND(J13*M23,2)</f>
        <v>0</v>
      </c>
      <c r="K23" s="3665" t="s">
        <v>1299</v>
      </c>
      <c r="L23" s="750" t="s">
        <v>596</v>
      </c>
      <c r="M23" s="783">
        <f ca="1">INDIRECT("'数据-取费表'!Al"&amp;$G$1)</f>
        <v>0</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1360</v>
      </c>
      <c r="B24" s="750" t="s">
        <v>627</v>
      </c>
      <c r="C24" s="51">
        <f ca="1">ROUND(IF('数据-取费表'!B22&lt;=1,F21*F24*F23/2,F21*(POWER((1+F24),F23/2)-1)),4)</f>
        <v>1.6000000000000001E-3</v>
      </c>
      <c r="D24" s="2186" t="str">
        <f>IF(F23&lt;=1,"销售费用×利率×(建设周期÷2)","销售费用×((1+利率)^(建设周期÷2)-1)")</f>
        <v>销售费用×((1+利率)^(建设周期÷2)-1)</v>
      </c>
      <c r="E24" s="750" t="s">
        <v>1301</v>
      </c>
      <c r="F24" s="784">
        <f ca="1">'数据-取费表'!B40</f>
        <v>4.1499999999999995E-2</v>
      </c>
      <c r="G24" s="3002"/>
      <c r="H24" s="2168" t="s">
        <v>1415</v>
      </c>
      <c r="I24" s="2163" t="s">
        <v>612</v>
      </c>
      <c r="J24" s="2161">
        <f ca="1">ROUND(J5*M24,2)</f>
        <v>0</v>
      </c>
      <c r="K24" s="2162" t="s">
        <v>1302</v>
      </c>
      <c r="L24" s="2163" t="s">
        <v>596</v>
      </c>
      <c r="M24" s="2159">
        <f ca="1">INDIRECT("'数据-取费表'!Am"&amp;$G$1)</f>
        <v>0</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1368</v>
      </c>
      <c r="B25" s="750" t="s">
        <v>630</v>
      </c>
      <c r="C25" s="51"/>
      <c r="D25" s="252" t="s">
        <v>1303</v>
      </c>
      <c r="E25" s="3667"/>
      <c r="F25" s="54"/>
      <c r="G25" s="1785"/>
      <c r="H25" s="1615" t="s">
        <v>1304</v>
      </c>
      <c r="I25" s="2483" t="s">
        <v>2096</v>
      </c>
      <c r="J25" s="758">
        <f ca="1">J5-J16</f>
        <v>-6</v>
      </c>
      <c r="K25" s="2165" t="s">
        <v>646</v>
      </c>
      <c r="L25" s="2166"/>
      <c r="M25" s="2167"/>
    </row>
    <row r="26" spans="1:33" ht="18" customHeight="1">
      <c r="A26" s="1453" t="s">
        <v>1359</v>
      </c>
      <c r="B26" s="750" t="s">
        <v>1782</v>
      </c>
      <c r="C26" s="51">
        <f ca="1">ROUND((C19+C20)*F26,0)</f>
        <v>5786</v>
      </c>
      <c r="D26" s="777" t="s">
        <v>1306</v>
      </c>
      <c r="E26" s="761" t="s">
        <v>648</v>
      </c>
      <c r="F26" s="760">
        <f ca="1">INDIRECT("'数据-取费表'!q"&amp;$G$1)</f>
        <v>0.12</v>
      </c>
      <c r="G26" s="1785"/>
      <c r="H26" s="2148" t="s">
        <v>1308</v>
      </c>
      <c r="I26" s="1950" t="s">
        <v>2101</v>
      </c>
      <c r="J26" s="749">
        <f ca="1">IF(J5&lt;&gt;0,ROUND(J25*(1-((1+M28)/(1+M26))^M27)/(M26-M28),0),0)</f>
        <v>0</v>
      </c>
      <c r="K26" s="779" t="s">
        <v>650</v>
      </c>
      <c r="L26" s="750" t="s">
        <v>1770</v>
      </c>
      <c r="M26" s="760">
        <f ca="1">INDIRECT("'数据-取费表'!I"&amp;$G$1)</f>
        <v>7.0000000000000007E-2</v>
      </c>
    </row>
    <row r="27" spans="1:33" ht="18" customHeight="1">
      <c r="A27" s="1453" t="s">
        <v>1360</v>
      </c>
      <c r="B27" s="750" t="s">
        <v>632</v>
      </c>
      <c r="C27" s="51">
        <f ca="1">ROUND(F21*F26,4)</f>
        <v>3.5999999999999999E-3</v>
      </c>
      <c r="D27" s="777" t="s">
        <v>1310</v>
      </c>
      <c r="E27" s="772"/>
      <c r="F27" s="773"/>
      <c r="G27" s="1785"/>
      <c r="H27" s="2149"/>
      <c r="I27" s="753"/>
      <c r="J27" s="754"/>
      <c r="K27" s="786" t="s">
        <v>653</v>
      </c>
      <c r="L27" s="750" t="s">
        <v>654</v>
      </c>
      <c r="M27" s="787">
        <f ca="1">INDIRECT("'数据-取费表'!ag"&amp;$G$1)</f>
        <v>0</v>
      </c>
    </row>
    <row r="28" spans="1:33" s="1787" customFormat="1" ht="18" customHeight="1">
      <c r="A28" s="1455" t="s">
        <v>1369</v>
      </c>
      <c r="B28" s="750" t="s">
        <v>633</v>
      </c>
      <c r="C28" s="51">
        <f>ROUND(F28/(1+'数据-取费表'!C42),4)</f>
        <v>0</v>
      </c>
      <c r="D28" s="777" t="s">
        <v>1653</v>
      </c>
      <c r="E28" s="750" t="s">
        <v>596</v>
      </c>
      <c r="F28" s="775">
        <f>'数据-取费表'!B41</f>
        <v>0</v>
      </c>
      <c r="G28" s="3002"/>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1654</v>
      </c>
      <c r="C29" s="2161">
        <f ca="1">ROUND((C19+C20+C23+C26)/(1-F21-C24-C27-C28),0)</f>
        <v>58579</v>
      </c>
      <c r="D29" s="2162"/>
      <c r="E29" s="2163"/>
      <c r="F29" s="2164"/>
      <c r="G29" s="3002"/>
      <c r="H29" s="788" t="s">
        <v>1315</v>
      </c>
      <c r="I29" s="789" t="s">
        <v>1316</v>
      </c>
      <c r="J29" s="790">
        <f ca="1">ROUND(J26/(1+F40)^F41,0)</f>
        <v>0</v>
      </c>
      <c r="K29" s="791" t="s">
        <v>1317</v>
      </c>
      <c r="L29" s="792"/>
      <c r="M29" s="793">
        <f ca="1">INDIRECT("'数据-取费表'!k"&amp;$G$1)</f>
        <v>43064.46</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1276</v>
      </c>
      <c r="B30" s="1613" t="s">
        <v>1277</v>
      </c>
      <c r="C30" s="758">
        <f ca="1">ROUND(C31+C36+C37+C38,0)</f>
        <v>6</v>
      </c>
      <c r="D30" s="1607" t="s">
        <v>1278</v>
      </c>
      <c r="E30" s="3666"/>
      <c r="F30" s="2137"/>
      <c r="G30" s="1785"/>
      <c r="H30" s="1788"/>
      <c r="I30" s="1789"/>
      <c r="J30" s="1790"/>
      <c r="K30" s="1791"/>
      <c r="L30" s="1792"/>
      <c r="M30" s="1793"/>
    </row>
    <row r="31" spans="1:33" ht="18" customHeight="1">
      <c r="A31" s="1454" t="s">
        <v>1352</v>
      </c>
      <c r="B31" s="750" t="s">
        <v>603</v>
      </c>
      <c r="C31" s="2761">
        <f ca="1">ROUND(IF(AND(项目基本情况!B11="自然人",项目基本情况!B10="北京市"),C6*F31/(1+'数据-取费表'!C42),C32+C33+C34),2)</f>
        <v>5.95</v>
      </c>
      <c r="D31" s="3664" t="s">
        <v>604</v>
      </c>
      <c r="E31" s="3665" t="s">
        <v>1321</v>
      </c>
      <c r="F31" s="2760" t="str">
        <f>IF(项目基本情况!B11="企业","——",IF(M47="住宅",IF(F6*F7*F8/12/(1+'数据-取费表'!F30)&gt;100000,4%,2.5%),IF(F6*F7*F8/12/(1+'数据-取费表'!F30)&gt;100000,12%,7%)))</f>
        <v>——</v>
      </c>
      <c r="G31" s="1785"/>
      <c r="H31" s="2999" t="s">
        <v>2279</v>
      </c>
      <c r="I31" s="1789"/>
      <c r="J31" s="1790"/>
      <c r="K31" s="1791"/>
      <c r="L31" s="1792"/>
      <c r="M31" s="1793"/>
    </row>
    <row r="32" spans="1:33" ht="18" customHeight="1">
      <c r="A32" s="1453" t="s">
        <v>1359</v>
      </c>
      <c r="B32" s="750" t="s">
        <v>1283</v>
      </c>
      <c r="C32" s="51">
        <f ca="1">ROUND(C6*F32/(1+'数据-取费表'!C42),2)</f>
        <v>0</v>
      </c>
      <c r="D32" s="3665" t="s">
        <v>608</v>
      </c>
      <c r="E32" s="750" t="s">
        <v>596</v>
      </c>
      <c r="F32" s="775">
        <f>'数据-取费表'!B41</f>
        <v>0</v>
      </c>
      <c r="G32" s="1785"/>
      <c r="H32" s="1794"/>
      <c r="I32" s="1795"/>
      <c r="J32" s="1796"/>
      <c r="K32" s="1797"/>
      <c r="L32" s="1798"/>
      <c r="M32" s="1799"/>
    </row>
    <row r="33" spans="1:18" ht="18" customHeight="1">
      <c r="A33" s="1453" t="s">
        <v>1360</v>
      </c>
      <c r="B33" s="750" t="s">
        <v>611</v>
      </c>
      <c r="C33" s="51">
        <f ca="1">IF(D33="按租金收入计税",ROUND(C6*F33/(1+'数据-取费表'!C42),2),IF(D33="按房产原值计税",ROUND(C29*F33*0.7,2),INDIRECT("'数据-取费表'!Aj"&amp;$G$1)))</f>
        <v>0</v>
      </c>
      <c r="D33" s="776" t="s">
        <v>3246</v>
      </c>
      <c r="E33" s="750" t="s">
        <v>596</v>
      </c>
      <c r="F33" s="775">
        <f>IF(D33="按租金收入计税",'数据-取费表'!B51,'数据-取费表'!B50)</f>
        <v>0.12</v>
      </c>
      <c r="G33" s="1785"/>
      <c r="H33" s="1800"/>
      <c r="I33" s="1800"/>
      <c r="J33" s="1800"/>
      <c r="K33" s="1801"/>
      <c r="L33" s="1800"/>
      <c r="M33" s="1800"/>
    </row>
    <row r="34" spans="1:18" ht="18" customHeight="1">
      <c r="A34" s="1456" t="s">
        <v>1361</v>
      </c>
      <c r="B34" s="332" t="s">
        <v>614</v>
      </c>
      <c r="C34" s="52">
        <f ca="1">ROUND(F34*F35/10000,2)</f>
        <v>5.95</v>
      </c>
      <c r="D34" s="779" t="s">
        <v>1289</v>
      </c>
      <c r="E34" s="750" t="s">
        <v>1290</v>
      </c>
      <c r="F34" s="608">
        <f>'数据-取费表'!B52</f>
        <v>3</v>
      </c>
      <c r="G34" s="1785"/>
      <c r="H34" s="1788"/>
      <c r="I34" s="800" t="s">
        <v>1341</v>
      </c>
      <c r="J34" s="801"/>
      <c r="K34" s="1803"/>
      <c r="L34" s="1802"/>
      <c r="M34" s="1802"/>
    </row>
    <row r="35" spans="1:18" ht="18" customHeight="1">
      <c r="A35" s="780"/>
      <c r="B35" s="759"/>
      <c r="C35" s="67"/>
      <c r="D35" s="781"/>
      <c r="E35" s="750" t="s">
        <v>1294</v>
      </c>
      <c r="F35" s="751">
        <f ca="1">INDIRECT("'数据-取费表'!r"&amp;$G$1)</f>
        <v>19827.93</v>
      </c>
      <c r="G35" s="1785"/>
      <c r="H35" s="1788"/>
      <c r="I35" s="802" t="s">
        <v>1342</v>
      </c>
      <c r="J35" s="803">
        <f ca="1">ROUND(C13*J36,0)</f>
        <v>0</v>
      </c>
      <c r="K35" s="1801" t="s">
        <v>3372</v>
      </c>
      <c r="L35" s="1800"/>
      <c r="M35" s="1800"/>
    </row>
    <row r="36" spans="1:18" ht="18" customHeight="1">
      <c r="A36" s="1454" t="s">
        <v>1413</v>
      </c>
      <c r="B36" s="750" t="s">
        <v>622</v>
      </c>
      <c r="C36" s="51">
        <f ca="1">ROUND(C29*F36,2)</f>
        <v>0</v>
      </c>
      <c r="D36" s="3665" t="s">
        <v>637</v>
      </c>
      <c r="E36" s="750" t="s">
        <v>596</v>
      </c>
      <c r="F36" s="782">
        <f ca="1">INDIRECT("'数据-取费表'!Ak"&amp;$G$1)</f>
        <v>0</v>
      </c>
      <c r="G36" s="1785"/>
      <c r="H36" s="1800"/>
      <c r="I36" s="804" t="s">
        <v>1343</v>
      </c>
      <c r="J36" s="805">
        <f ca="1">INDIRECT("'数据-取费表'!j"&amp;$G$1)</f>
        <v>7.0000000000000007E-2</v>
      </c>
      <c r="K36" s="1804"/>
      <c r="L36" s="1800"/>
      <c r="M36" s="1800"/>
    </row>
    <row r="37" spans="1:18" ht="18" customHeight="1">
      <c r="A37" s="1454" t="s">
        <v>1414</v>
      </c>
      <c r="B37" s="750" t="s">
        <v>625</v>
      </c>
      <c r="C37" s="51">
        <f ca="1">ROUND(C13*F37,2)</f>
        <v>0</v>
      </c>
      <c r="D37" s="3665" t="s">
        <v>1299</v>
      </c>
      <c r="E37" s="750" t="s">
        <v>596</v>
      </c>
      <c r="F37" s="783">
        <f ca="1">INDIRECT("'数据-取费表'!Al"&amp;$G$1)</f>
        <v>0</v>
      </c>
      <c r="G37" s="1785"/>
      <c r="H37" s="1800"/>
      <c r="I37" s="806" t="s">
        <v>1344</v>
      </c>
      <c r="J37" s="807"/>
      <c r="K37" s="1804"/>
      <c r="L37" s="1800"/>
      <c r="M37" s="1800"/>
    </row>
    <row r="38" spans="1:18" ht="18" customHeight="1" thickBot="1">
      <c r="A38" s="2168" t="s">
        <v>1415</v>
      </c>
      <c r="B38" s="2163" t="s">
        <v>612</v>
      </c>
      <c r="C38" s="2161">
        <f ca="1">ROUND(C5*F38,2)</f>
        <v>0</v>
      </c>
      <c r="D38" s="2162" t="s">
        <v>1302</v>
      </c>
      <c r="E38" s="2163" t="s">
        <v>596</v>
      </c>
      <c r="F38" s="2159">
        <f ca="1">INDIRECT("'数据-取费表'!Am"&amp;$G$1)</f>
        <v>0</v>
      </c>
      <c r="G38" s="1785"/>
      <c r="H38" s="1800"/>
      <c r="I38" s="808" t="s">
        <v>1345</v>
      </c>
      <c r="J38" s="809"/>
      <c r="K38" s="1805"/>
      <c r="L38" s="1800"/>
      <c r="M38" s="1800"/>
    </row>
    <row r="39" spans="1:18" ht="24.6" customHeight="1" thickTop="1">
      <c r="A39" s="1615" t="s">
        <v>1304</v>
      </c>
      <c r="B39" s="2483" t="s">
        <v>2096</v>
      </c>
      <c r="C39" s="758">
        <f ca="1">C5-C30</f>
        <v>-6</v>
      </c>
      <c r="D39" s="2165" t="s">
        <v>646</v>
      </c>
      <c r="E39" s="2166"/>
      <c r="F39" s="2167"/>
      <c r="G39" s="1785"/>
      <c r="H39" s="1800"/>
      <c r="I39" s="802" t="s">
        <v>1346</v>
      </c>
      <c r="J39" s="810">
        <f ca="1">ROUND(J35/C39,3)</f>
        <v>0</v>
      </c>
      <c r="K39" s="1805"/>
      <c r="L39" s="1800"/>
      <c r="M39" s="1800"/>
    </row>
    <row r="40" spans="1:18" ht="18" customHeight="1">
      <c r="A40" s="747" t="s">
        <v>1308</v>
      </c>
      <c r="B40" s="1950" t="s">
        <v>1655</v>
      </c>
      <c r="C40" s="749">
        <f ca="1">ROUND(C39*(1-((1+F42)/(1+F40))^F41)/(F40-F42),0)</f>
        <v>0</v>
      </c>
      <c r="D40" s="779" t="s">
        <v>650</v>
      </c>
      <c r="E40" s="750" t="s">
        <v>1770</v>
      </c>
      <c r="F40" s="760">
        <f ca="1">INDIRECT("'数据-取费表'!I"&amp;$G$1)</f>
        <v>7.0000000000000007E-2</v>
      </c>
      <c r="G40" s="1785"/>
      <c r="H40" s="1785"/>
      <c r="I40" s="802" t="s">
        <v>1347</v>
      </c>
      <c r="J40" s="810">
        <f ca="1">1-J39</f>
        <v>1</v>
      </c>
      <c r="K40" s="1805"/>
      <c r="L40" s="1785"/>
      <c r="M40" s="1785"/>
    </row>
    <row r="41" spans="1:18" ht="18" customHeight="1">
      <c r="A41" s="752"/>
      <c r="B41" s="753"/>
      <c r="C41" s="754"/>
      <c r="D41" s="786" t="s">
        <v>1336</v>
      </c>
      <c r="E41" s="750" t="s">
        <v>654</v>
      </c>
      <c r="F41" s="787">
        <f ca="1">IF(INDIRECT("'数据-取费表'!af"&amp;$G$1)=0,INDIRECT("'数据-取费表'!ae"&amp;$G$1),INDIRECT("'数据-取费表'!af"&amp;$G$1))</f>
        <v>0</v>
      </c>
      <c r="G41" s="1785"/>
      <c r="H41" s="1740"/>
      <c r="I41" s="808" t="s">
        <v>1348</v>
      </c>
      <c r="J41" s="811"/>
      <c r="K41" s="1804"/>
      <c r="L41" s="1740"/>
      <c r="M41" s="1740"/>
    </row>
    <row r="42" spans="1:18" ht="18" customHeight="1">
      <c r="A42" s="756"/>
      <c r="B42" s="757"/>
      <c r="C42" s="758"/>
      <c r="D42" s="781"/>
      <c r="E42" s="750" t="s">
        <v>1314</v>
      </c>
      <c r="F42" s="760">
        <f ca="1">INDIRECT("'数据-取费表'!v"&amp;$G$1)</f>
        <v>0</v>
      </c>
      <c r="G42" s="1785"/>
      <c r="H42" s="1740"/>
      <c r="I42" s="812" t="s">
        <v>1349</v>
      </c>
      <c r="J42" s="810" t="e">
        <f ca="1">ROUND(C13/C40,3)</f>
        <v>#DIV/0!</v>
      </c>
      <c r="K42" s="1804"/>
      <c r="L42" s="1740"/>
      <c r="M42" s="1740"/>
    </row>
    <row r="43" spans="1:18" ht="18" customHeight="1" thickBot="1">
      <c r="A43" s="788" t="s">
        <v>1315</v>
      </c>
      <c r="B43" s="789" t="s">
        <v>1338</v>
      </c>
      <c r="C43" s="790">
        <f ca="1">ROUND(C40*10000/F43,0)</f>
        <v>0</v>
      </c>
      <c r="D43" s="791" t="s">
        <v>1339</v>
      </c>
      <c r="E43" s="792" t="s">
        <v>1340</v>
      </c>
      <c r="F43" s="793">
        <f ca="1">INDIRECT("'数据-取费表'!k"&amp;$G$1)</f>
        <v>43064.46</v>
      </c>
      <c r="G43" s="1785"/>
      <c r="H43" s="1740">
        <f ca="1">C40/F7</f>
        <v>0</v>
      </c>
      <c r="I43" s="812" t="s">
        <v>1350</v>
      </c>
      <c r="J43" s="813" t="e">
        <f ca="1">1-J42</f>
        <v>#DIV/0!</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1649</v>
      </c>
      <c r="B46" s="1807"/>
      <c r="C46" s="2189">
        <f ca="1">C67-C40</f>
        <v>0</v>
      </c>
      <c r="D46" s="3003"/>
      <c r="E46" s="3003"/>
      <c r="F46" s="3003"/>
      <c r="I46" s="2069" t="s">
        <v>1694</v>
      </c>
      <c r="J46" s="2070"/>
      <c r="K46" s="2071"/>
      <c r="L46" s="2565">
        <f>IF(OR(M47="住宅",D1="土地（套用方法）"),0,IF(L48&gt;J51,L60,J60))</f>
        <v>0</v>
      </c>
      <c r="M46" s="3004"/>
      <c r="O46" s="2085" t="s">
        <v>1761</v>
      </c>
      <c r="P46" s="1405"/>
      <c r="Q46" s="1413"/>
      <c r="R46" s="1405"/>
    </row>
    <row r="47" spans="1:18" s="1782" customFormat="1" ht="18" customHeight="1" thickBot="1">
      <c r="A47" s="3654">
        <v>1</v>
      </c>
      <c r="B47" s="3655" t="s">
        <v>582</v>
      </c>
      <c r="C47" s="3656">
        <f ca="1">C48+C52+C54</f>
        <v>0</v>
      </c>
      <c r="D47" s="3657"/>
      <c r="E47" s="3657"/>
      <c r="F47" s="3658"/>
      <c r="I47" s="2556" t="s">
        <v>1695</v>
      </c>
      <c r="J47" s="2072" t="s">
        <v>3369</v>
      </c>
      <c r="K47" s="2562" t="s">
        <v>1700</v>
      </c>
      <c r="L47" s="2566">
        <f ca="1">INDIRECT("'数据-取费表'!d"&amp;$G$1)</f>
        <v>50</v>
      </c>
      <c r="M47" s="1413" t="str">
        <f>IF(ISNUMBER(FIND("住宅",C1)),"住宅","非住宅")</f>
        <v>非住宅</v>
      </c>
      <c r="O47" s="2086" t="s">
        <v>1726</v>
      </c>
      <c r="P47" s="2087" t="s">
        <v>1727</v>
      </c>
      <c r="Q47" s="2088" t="s">
        <v>1728</v>
      </c>
      <c r="R47" s="2087" t="s">
        <v>1729</v>
      </c>
    </row>
    <row r="48" spans="1:18" s="1782" customFormat="1" ht="18" customHeight="1" thickBot="1">
      <c r="A48" s="2247" t="s">
        <v>1394</v>
      </c>
      <c r="B48" s="2248" t="s">
        <v>1818</v>
      </c>
      <c r="C48" s="2065">
        <f ca="1">ROUND(F48*F50*F49*(1-F51)/10000,0)</f>
        <v>0</v>
      </c>
      <c r="D48" s="2066" t="s">
        <v>583</v>
      </c>
      <c r="E48" s="2067" t="s">
        <v>1650</v>
      </c>
      <c r="F48" s="2068">
        <f ca="1">M6</f>
        <v>0</v>
      </c>
      <c r="G48" s="1812"/>
      <c r="I48" s="2553" t="s">
        <v>1696</v>
      </c>
      <c r="J48" s="2073" t="s">
        <v>1701</v>
      </c>
      <c r="K48" s="2563" t="s">
        <v>1702</v>
      </c>
      <c r="L48" s="1663">
        <f ca="1">INDIRECT("'数据-取费表'!f"&amp;$G$1)</f>
        <v>35.35</v>
      </c>
      <c r="M48" s="3004"/>
      <c r="O48" s="2089" t="s">
        <v>1730</v>
      </c>
      <c r="P48" s="2090" t="s">
        <v>1756</v>
      </c>
      <c r="Q48" s="2091">
        <f ca="1">C40+J29</f>
        <v>0</v>
      </c>
      <c r="R48" s="2090" t="s">
        <v>1731</v>
      </c>
    </row>
    <row r="49" spans="1:18" s="1782" customFormat="1" ht="18" customHeight="1" thickBot="1">
      <c r="A49" s="752"/>
      <c r="B49" s="753"/>
      <c r="C49" s="754"/>
      <c r="D49" s="755"/>
      <c r="E49" s="750" t="s">
        <v>585</v>
      </c>
      <c r="F49" s="751">
        <f ca="1">F7</f>
        <v>43064.46</v>
      </c>
      <c r="G49" s="1812"/>
      <c r="H49" s="1815"/>
      <c r="I49" s="2553" t="s">
        <v>1697</v>
      </c>
      <c r="J49" s="2074"/>
      <c r="K49" s="2564" t="s">
        <v>1703</v>
      </c>
      <c r="L49" s="2075"/>
      <c r="M49" s="3004"/>
      <c r="O49" s="2089" t="s">
        <v>1732</v>
      </c>
      <c r="P49" s="2090" t="s">
        <v>1757</v>
      </c>
      <c r="Q49" s="2091" t="str">
        <f ca="1">J60</f>
        <v>0</v>
      </c>
      <c r="R49" s="2090" t="s">
        <v>1733</v>
      </c>
    </row>
    <row r="50" spans="1:18" s="1782" customFormat="1" ht="18" customHeight="1" thickBot="1">
      <c r="A50" s="752"/>
      <c r="B50" s="753"/>
      <c r="C50" s="754"/>
      <c r="D50" s="755"/>
      <c r="E50" s="750" t="s">
        <v>586</v>
      </c>
      <c r="F50" s="751">
        <f ca="1">F8</f>
        <v>0</v>
      </c>
      <c r="G50" s="1817"/>
      <c r="H50" s="1815"/>
      <c r="I50" s="2553" t="s">
        <v>1698</v>
      </c>
      <c r="J50" s="2560">
        <f>SUMPRODUCT((I63:I65=J47)*(J62:L62=J48)*(J63:L65))</f>
        <v>60</v>
      </c>
      <c r="K50" s="2564" t="s">
        <v>1704</v>
      </c>
      <c r="L50" s="2075"/>
      <c r="M50" s="3004"/>
      <c r="O50" s="2092" t="s">
        <v>1734</v>
      </c>
      <c r="P50" s="2090" t="s">
        <v>1758</v>
      </c>
      <c r="Q50" s="2091">
        <f ca="1">C29</f>
        <v>58579</v>
      </c>
      <c r="R50" s="2090" t="s">
        <v>1731</v>
      </c>
    </row>
    <row r="51" spans="1:18" s="1782" customFormat="1" ht="18" customHeight="1" thickBot="1">
      <c r="A51" s="752"/>
      <c r="B51" s="753"/>
      <c r="C51" s="754"/>
      <c r="D51" s="755"/>
      <c r="E51" s="750" t="s">
        <v>587</v>
      </c>
      <c r="F51" s="2064"/>
      <c r="H51" s="1815"/>
      <c r="I51" s="2557" t="s">
        <v>1699</v>
      </c>
      <c r="J51" s="2561">
        <f>IF(J49="",J50,J49+J50-YEAR('数据-取费表'!B2))</f>
        <v>60</v>
      </c>
      <c r="K51" s="2553" t="s">
        <v>1705</v>
      </c>
      <c r="L51" s="2567">
        <f ca="1">ROUND(-PV(INDIRECT("'数据-取费表'!h"&amp;$G$1),J51,(C39-C13*J36),0),0)</f>
        <v>-114</v>
      </c>
      <c r="M51" s="3004"/>
      <c r="O51" s="2092" t="s">
        <v>1735</v>
      </c>
      <c r="P51" s="2090" t="s">
        <v>1736</v>
      </c>
      <c r="Q51" s="2093" t="e">
        <f ca="1">J58</f>
        <v>#VALUE!</v>
      </c>
      <c r="R51" s="2094"/>
    </row>
    <row r="52" spans="1:18" s="1782" customFormat="1" ht="18" customHeight="1" thickBot="1">
      <c r="A52" s="747" t="s">
        <v>1816</v>
      </c>
      <c r="B52" s="2140" t="s">
        <v>1800</v>
      </c>
      <c r="C52" s="765">
        <f ca="1">ROUND(IF(F52="押一",C48/12*F11,IF(F52="押二",C48/12*2*F11,IF(F52="押三",C48/12*3*F11,C53*F11))),0)</f>
        <v>0</v>
      </c>
      <c r="D52" s="2147" t="s">
        <v>2228</v>
      </c>
      <c r="E52" s="2144" t="s">
        <v>1805</v>
      </c>
      <c r="F52" s="2228"/>
      <c r="I52" s="2558" t="s">
        <v>1772</v>
      </c>
      <c r="J52" s="2076"/>
      <c r="K52" s="2558" t="s">
        <v>1771</v>
      </c>
      <c r="L52" s="2076"/>
      <c r="M52" s="3004"/>
      <c r="O52" s="2092" t="s">
        <v>1737</v>
      </c>
      <c r="P52" s="2090" t="s">
        <v>1738</v>
      </c>
      <c r="Q52" s="2093">
        <f>J52</f>
        <v>0</v>
      </c>
      <c r="R52" s="2094"/>
    </row>
    <row r="53" spans="1:18" s="1782" customFormat="1" ht="39.75" customHeight="1" thickBot="1">
      <c r="A53" s="752"/>
      <c r="B53" s="2141" t="s">
        <v>1853</v>
      </c>
      <c r="C53" s="2145"/>
      <c r="D53" s="2147"/>
      <c r="E53" s="2144"/>
      <c r="F53" s="766"/>
      <c r="I53" s="2559" t="s">
        <v>2232</v>
      </c>
      <c r="J53" s="2610">
        <f ca="1">IF(M47="住宅",IF(D1="——",MAX(J51,L48),MAX(J51,L48-'数据-取费表'!B20)),IF(D1="——",MIN(J51,L48),MIN(J51,L48-'数据-取费表'!B20)))</f>
        <v>32.85</v>
      </c>
      <c r="K53" s="4003" t="s">
        <v>2222</v>
      </c>
      <c r="L53" s="4004"/>
      <c r="M53" s="3004"/>
      <c r="O53" s="2092" t="s">
        <v>1739</v>
      </c>
      <c r="P53" s="2090" t="s">
        <v>1740</v>
      </c>
      <c r="Q53" s="2091">
        <f ca="1">J53</f>
        <v>32.85</v>
      </c>
      <c r="R53" s="2090" t="s">
        <v>1741</v>
      </c>
    </row>
    <row r="54" spans="1:18" s="1782" customFormat="1" ht="18" customHeight="1" thickBot="1">
      <c r="A54" s="2154" t="s">
        <v>1808</v>
      </c>
      <c r="B54" s="2155" t="s">
        <v>1801</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1742</v>
      </c>
      <c r="P54" s="2090" t="s">
        <v>1759</v>
      </c>
      <c r="Q54" s="2091">
        <f ca="1">Q48+Q49</f>
        <v>0</v>
      </c>
      <c r="R54" s="2094" t="s">
        <v>1743</v>
      </c>
    </row>
    <row r="55" spans="1:18" s="1782" customFormat="1" ht="18" customHeight="1" thickTop="1" thickBot="1">
      <c r="A55" s="763">
        <v>2</v>
      </c>
      <c r="B55" s="764" t="s">
        <v>591</v>
      </c>
      <c r="C55" s="765">
        <f ca="1">C13</f>
        <v>0</v>
      </c>
      <c r="D55" s="761"/>
      <c r="E55" s="761"/>
      <c r="F55" s="766"/>
      <c r="I55" s="2570" t="s">
        <v>1706</v>
      </c>
      <c r="J55" s="2542" t="e">
        <f ca="1">ROUND(IF(J47="钢混",J57/J50,1-(1-2%)*(J50-J57)/J50),3)</f>
        <v>#VALUE!</v>
      </c>
      <c r="K55" s="2571" t="s">
        <v>1707</v>
      </c>
      <c r="L55" s="2077"/>
      <c r="M55" s="3004"/>
      <c r="O55" s="2095" t="s">
        <v>1762</v>
      </c>
      <c r="P55" s="1405"/>
      <c r="Q55" s="1413"/>
      <c r="R55" s="1405"/>
    </row>
    <row r="56" spans="1:18" s="1782" customFormat="1" ht="42.75" customHeight="1" thickBot="1">
      <c r="A56" s="1455"/>
      <c r="B56" s="1949" t="s">
        <v>1654</v>
      </c>
      <c r="C56" s="51">
        <f ca="1">C29</f>
        <v>58579</v>
      </c>
      <c r="D56" s="3665"/>
      <c r="E56" s="750"/>
      <c r="F56" s="775"/>
      <c r="I56" s="2572" t="s">
        <v>1708</v>
      </c>
      <c r="J56" s="2582" t="s">
        <v>3358</v>
      </c>
      <c r="K56" s="2553" t="s">
        <v>1713</v>
      </c>
      <c r="L56" s="1663" t="str">
        <f ca="1">IF(L48&lt;J51,"——",L48-J51)</f>
        <v>——</v>
      </c>
      <c r="M56" s="3004"/>
      <c r="O56" s="2086" t="s">
        <v>1726</v>
      </c>
      <c r="P56" s="2087" t="s">
        <v>1727</v>
      </c>
      <c r="Q56" s="2088" t="s">
        <v>1728</v>
      </c>
      <c r="R56" s="2087" t="s">
        <v>1729</v>
      </c>
    </row>
    <row r="57" spans="1:18" s="1782" customFormat="1" ht="28.5" customHeight="1" thickBot="1">
      <c r="A57" s="763" t="s">
        <v>1276</v>
      </c>
      <c r="B57" s="764" t="s">
        <v>598</v>
      </c>
      <c r="C57" s="765">
        <f ca="1">ROUND(C58+C63+C64+C65,0)</f>
        <v>6</v>
      </c>
      <c r="D57" s="24" t="s">
        <v>1278</v>
      </c>
      <c r="E57" s="3667"/>
      <c r="F57" s="54"/>
      <c r="I57" s="2573" t="s">
        <v>1709</v>
      </c>
      <c r="J57" s="2574" t="str">
        <f ca="1">IF(OR(M47="住宅",J51&lt;L48,J56="是"),"——",J51-L48)</f>
        <v>——</v>
      </c>
      <c r="K57" s="2553" t="s">
        <v>1714</v>
      </c>
      <c r="L57" s="1663" t="str">
        <f ca="1">IF(L48&lt;J51,"——",IF(L55="比较法",L49,IF(L55="基准地价",L50,L51)))</f>
        <v>——</v>
      </c>
      <c r="M57" s="3004"/>
      <c r="O57" s="2089" t="s">
        <v>1730</v>
      </c>
      <c r="P57" s="2090" t="s">
        <v>1756</v>
      </c>
      <c r="Q57" s="2091">
        <f ca="1">C40+J29</f>
        <v>0</v>
      </c>
      <c r="R57" s="2090" t="s">
        <v>1731</v>
      </c>
    </row>
    <row r="58" spans="1:18" s="1782" customFormat="1" ht="28.5" customHeight="1" thickBot="1">
      <c r="A58" s="1454" t="s">
        <v>1352</v>
      </c>
      <c r="B58" s="750" t="s">
        <v>603</v>
      </c>
      <c r="C58" s="2761">
        <f ca="1">ROUND(IF(AND(项目基本情况!B11="自然人",项目基本情况!B10="北京市"),C48*F58/(1+'数据-取费表'!C42),C59+C60+C61),2)</f>
        <v>5.95</v>
      </c>
      <c r="D58" s="3664" t="s">
        <v>604</v>
      </c>
      <c r="E58" s="3665" t="s">
        <v>636</v>
      </c>
      <c r="F58" s="2760" t="str">
        <f>IF(项目基本情况!B11="企业","——",IF('数据-取费表'!B10="住宅",IF(F48*F49*F50/12/(1+'数据-取费表'!F30)&gt;100000,4%,2.5%),IF(F48*F49*F50/12/(1+'数据-取费表'!F30)&gt;100000,12%,7%)))</f>
        <v>——</v>
      </c>
      <c r="I58" s="2573" t="s">
        <v>1710</v>
      </c>
      <c r="J58" s="2543" t="e">
        <f ca="1">IF(J55&lt;0.4,0.4,J55)</f>
        <v>#VALUE!</v>
      </c>
      <c r="K58" s="2553" t="s">
        <v>1715</v>
      </c>
      <c r="L58" s="1663" t="e">
        <f ca="1">ROUND(POWER(1+L52,L47-L48)*(POWER(1+L52,L48)-1)/(POWER(1+L52,L47)-1),4)</f>
        <v>#DIV/0!</v>
      </c>
      <c r="M58" s="3004"/>
      <c r="O58" s="2089" t="s">
        <v>1732</v>
      </c>
      <c r="P58" s="2090" t="s">
        <v>1763</v>
      </c>
      <c r="Q58" s="2091">
        <f ca="1">L60</f>
        <v>0</v>
      </c>
      <c r="R58" s="2094" t="s">
        <v>1765</v>
      </c>
    </row>
    <row r="59" spans="1:18" s="1782" customFormat="1" ht="28.5" customHeight="1" thickBot="1">
      <c r="A59" s="1453" t="s">
        <v>1359</v>
      </c>
      <c r="B59" s="750" t="s">
        <v>607</v>
      </c>
      <c r="C59" s="51">
        <f ca="1">ROUND(C47*F59/1.05,2)</f>
        <v>0</v>
      </c>
      <c r="D59" s="3665" t="s">
        <v>608</v>
      </c>
      <c r="E59" s="750" t="s">
        <v>596</v>
      </c>
      <c r="F59" s="775">
        <f t="shared" ref="F59:F65" si="0">F32</f>
        <v>0</v>
      </c>
      <c r="I59" s="2573" t="s">
        <v>1711</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1734</v>
      </c>
      <c r="P59" s="2090" t="s">
        <v>1764</v>
      </c>
      <c r="Q59" s="2091">
        <f>IF(L55="比较法",L49,IF(L55="基准地价",L50,0))</f>
        <v>0</v>
      </c>
      <c r="R59" s="2090" t="s">
        <v>1731</v>
      </c>
    </row>
    <row r="60" spans="1:18" s="1782" customFormat="1" ht="18" customHeight="1" thickBot="1">
      <c r="A60" s="1453" t="s">
        <v>1360</v>
      </c>
      <c r="B60" s="750" t="s">
        <v>611</v>
      </c>
      <c r="C60" s="51">
        <f ca="1">IF(D60="按租金收入计税",ROUND(C48*F60/(1+'数据-取费表'!C42),2),IF(D60="按房产原值计税",ROUND(C56*F60*0.7,2),INDIRECT("'数据-取费表'!Aj"&amp;$G$1)))</f>
        <v>0</v>
      </c>
      <c r="D60" s="3665" t="str">
        <f>D33</f>
        <v>按租金收入计税</v>
      </c>
      <c r="E60" s="750" t="s">
        <v>596</v>
      </c>
      <c r="F60" s="775">
        <f t="shared" si="0"/>
        <v>0.12</v>
      </c>
      <c r="I60" s="2575" t="s">
        <v>1712</v>
      </c>
      <c r="J60" s="2576" t="str">
        <f ca="1">IF(OR(M47="住宅",J51&lt;L48,J56="是"),"0",ROUND(J59/(1+J52)^J53,0))</f>
        <v>0</v>
      </c>
      <c r="K60" s="2577" t="s">
        <v>1717</v>
      </c>
      <c r="L60" s="2576">
        <f ca="1">IF(OR(M47="住宅",L48&lt;J51),0,ROUND(L57*(L58/L59-1),0))</f>
        <v>0</v>
      </c>
      <c r="M60" s="3004"/>
      <c r="O60" s="2092" t="s">
        <v>1735</v>
      </c>
      <c r="P60" s="2090" t="s">
        <v>1744</v>
      </c>
      <c r="Q60" s="2093">
        <f>L52</f>
        <v>0</v>
      </c>
      <c r="R60" s="2094"/>
    </row>
    <row r="61" spans="1:18" s="1782" customFormat="1" ht="18" customHeight="1" thickBot="1">
      <c r="A61" s="1456" t="s">
        <v>1361</v>
      </c>
      <c r="B61" s="332" t="s">
        <v>614</v>
      </c>
      <c r="C61" s="52">
        <f ca="1">ROUND(F61*F62/10000,2)</f>
        <v>5.95</v>
      </c>
      <c r="D61" s="779" t="s">
        <v>615</v>
      </c>
      <c r="E61" s="750" t="s">
        <v>616</v>
      </c>
      <c r="F61" s="608">
        <f t="shared" si="0"/>
        <v>3</v>
      </c>
      <c r="K61" s="1808"/>
      <c r="O61" s="2092" t="s">
        <v>1737</v>
      </c>
      <c r="P61" s="2090" t="s">
        <v>1745</v>
      </c>
      <c r="Q61" s="2091" t="e">
        <f ca="1">L58</f>
        <v>#DIV/0!</v>
      </c>
      <c r="R61" s="2094" t="s">
        <v>1746</v>
      </c>
    </row>
    <row r="62" spans="1:18" s="1782" customFormat="1" ht="15.75" thickBot="1">
      <c r="A62" s="780"/>
      <c r="B62" s="759"/>
      <c r="C62" s="67"/>
      <c r="D62" s="781"/>
      <c r="E62" s="750" t="s">
        <v>620</v>
      </c>
      <c r="F62" s="751">
        <f t="shared" ca="1" si="0"/>
        <v>19827.93</v>
      </c>
      <c r="I62" s="2578" t="s">
        <v>1718</v>
      </c>
      <c r="J62" s="2579" t="s">
        <v>1719</v>
      </c>
      <c r="K62" s="2579" t="s">
        <v>1720</v>
      </c>
      <c r="L62" s="2579" t="s">
        <v>1701</v>
      </c>
      <c r="M62" s="2580" t="s">
        <v>2201</v>
      </c>
      <c r="O62" s="2092" t="s">
        <v>1739</v>
      </c>
      <c r="P62" s="2090" t="str">
        <f>K59</f>
        <v>建设期及建筑物耐用年限下的土地年期修正系数Kn</v>
      </c>
      <c r="Q62" s="2091" t="e">
        <f ca="1">L59</f>
        <v>#DIV/0!</v>
      </c>
      <c r="R62" s="2094" t="s">
        <v>1748</v>
      </c>
    </row>
    <row r="63" spans="1:18" s="1782" customFormat="1" ht="15.75" thickBot="1">
      <c r="A63" s="1454" t="s">
        <v>1413</v>
      </c>
      <c r="B63" s="750" t="s">
        <v>622</v>
      </c>
      <c r="C63" s="51">
        <f ca="1">ROUND(C56*F63,2)</f>
        <v>0</v>
      </c>
      <c r="D63" s="3665" t="s">
        <v>637</v>
      </c>
      <c r="E63" s="750" t="s">
        <v>596</v>
      </c>
      <c r="F63" s="782">
        <f t="shared" ca="1" si="0"/>
        <v>0</v>
      </c>
      <c r="I63" s="2578" t="s">
        <v>1721</v>
      </c>
      <c r="J63" s="2579">
        <v>70</v>
      </c>
      <c r="K63" s="2579">
        <v>50</v>
      </c>
      <c r="L63" s="2579">
        <v>80</v>
      </c>
      <c r="M63" s="2581">
        <v>0.02</v>
      </c>
      <c r="O63" s="2089" t="s">
        <v>1742</v>
      </c>
      <c r="P63" s="2090" t="s">
        <v>1759</v>
      </c>
      <c r="Q63" s="2091">
        <f ca="1">Q57+Q58</f>
        <v>0</v>
      </c>
      <c r="R63" s="2094" t="s">
        <v>1743</v>
      </c>
    </row>
    <row r="64" spans="1:18" s="1782" customFormat="1" ht="16.5" thickBot="1">
      <c r="A64" s="1454" t="s">
        <v>1414</v>
      </c>
      <c r="B64" s="750" t="s">
        <v>625</v>
      </c>
      <c r="C64" s="51">
        <f ca="1">ROUND(C55*F64,2)</f>
        <v>0</v>
      </c>
      <c r="D64" s="3665" t="s">
        <v>626</v>
      </c>
      <c r="E64" s="750" t="s">
        <v>596</v>
      </c>
      <c r="F64" s="783">
        <f t="shared" ca="1" si="0"/>
        <v>0</v>
      </c>
      <c r="I64" s="2578" t="s">
        <v>1722</v>
      </c>
      <c r="J64" s="2579">
        <v>50</v>
      </c>
      <c r="K64" s="2579">
        <v>35</v>
      </c>
      <c r="L64" s="2579">
        <v>60</v>
      </c>
      <c r="M64" s="811">
        <v>0</v>
      </c>
      <c r="O64" s="2095" t="s">
        <v>1766</v>
      </c>
      <c r="P64" s="1405"/>
      <c r="Q64" s="1413"/>
      <c r="R64" s="1405"/>
    </row>
    <row r="65" spans="1:18" s="1782" customFormat="1" ht="15.75" thickBot="1">
      <c r="A65" s="1454" t="s">
        <v>1415</v>
      </c>
      <c r="B65" s="750" t="s">
        <v>612</v>
      </c>
      <c r="C65" s="51">
        <f ca="1">ROUND(C47*F65,2)</f>
        <v>0</v>
      </c>
      <c r="D65" s="3665" t="s">
        <v>629</v>
      </c>
      <c r="E65" s="750" t="s">
        <v>596</v>
      </c>
      <c r="F65" s="760">
        <f t="shared" ca="1" si="0"/>
        <v>0</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1304</v>
      </c>
      <c r="B66" s="2484" t="s">
        <v>2096</v>
      </c>
      <c r="C66" s="765">
        <f ca="1">C47-C57</f>
        <v>-6</v>
      </c>
      <c r="D66" s="3664" t="s">
        <v>646</v>
      </c>
      <c r="E66" s="3662"/>
      <c r="F66" s="785"/>
      <c r="K66" s="1808"/>
      <c r="O66" s="2089" t="s">
        <v>1730</v>
      </c>
      <c r="P66" s="2090" t="s">
        <v>1756</v>
      </c>
      <c r="Q66" s="2091">
        <f ca="1">C40+J29</f>
        <v>0</v>
      </c>
      <c r="R66" s="2090" t="s">
        <v>1731</v>
      </c>
    </row>
    <row r="67" spans="1:18" s="1782" customFormat="1" ht="20.25" thickBot="1">
      <c r="A67" s="747" t="s">
        <v>1308</v>
      </c>
      <c r="B67" s="1950" t="s">
        <v>1655</v>
      </c>
      <c r="C67" s="749">
        <f ca="1">ROUND(C66*(1-((1+F69)/(1+F67))^F68)/(F67-F69),0)</f>
        <v>0</v>
      </c>
      <c r="D67" s="779" t="s">
        <v>650</v>
      </c>
      <c r="E67" s="750" t="s">
        <v>651</v>
      </c>
      <c r="F67" s="760">
        <f ca="1">F40</f>
        <v>7.0000000000000007E-2</v>
      </c>
      <c r="K67" s="1808"/>
      <c r="O67" s="2089" t="s">
        <v>1732</v>
      </c>
      <c r="P67" s="2090" t="s">
        <v>1763</v>
      </c>
      <c r="Q67" s="2091">
        <f ca="1">L60</f>
        <v>0</v>
      </c>
      <c r="R67" s="2094" t="s">
        <v>1765</v>
      </c>
    </row>
    <row r="68" spans="1:18" ht="21.75" thickBot="1">
      <c r="A68" s="752"/>
      <c r="B68" s="753"/>
      <c r="C68" s="754"/>
      <c r="D68" s="786" t="s">
        <v>1336</v>
      </c>
      <c r="E68" s="750" t="s">
        <v>654</v>
      </c>
      <c r="F68" s="787">
        <f ca="1">F41</f>
        <v>0</v>
      </c>
      <c r="O68" s="2092" t="s">
        <v>1734</v>
      </c>
      <c r="P68" s="2090" t="s">
        <v>1764</v>
      </c>
      <c r="Q68" s="2096">
        <f ca="1">L51</f>
        <v>-114</v>
      </c>
      <c r="R68" s="2097" t="s">
        <v>1767</v>
      </c>
    </row>
    <row r="69" spans="1:18" ht="20.25" thickBot="1">
      <c r="A69" s="756"/>
      <c r="B69" s="757"/>
      <c r="C69" s="758"/>
      <c r="D69" s="781"/>
      <c r="E69" s="750" t="s">
        <v>656</v>
      </c>
      <c r="F69" s="2064"/>
      <c r="O69" s="2092" t="s">
        <v>1735</v>
      </c>
      <c r="P69" s="2098" t="s">
        <v>1749</v>
      </c>
      <c r="Q69" s="2091">
        <f ca="1">ROUND(Q70-Q71*Q72,0)</f>
        <v>-6</v>
      </c>
      <c r="R69" s="2094"/>
    </row>
    <row r="70" spans="1:18" ht="15.75" thickBot="1">
      <c r="A70" s="788" t="s">
        <v>1315</v>
      </c>
      <c r="B70" s="789" t="s">
        <v>1338</v>
      </c>
      <c r="C70" s="790">
        <f ca="1">ROUND(C67*10000/F70,0)</f>
        <v>0</v>
      </c>
      <c r="D70" s="791" t="s">
        <v>1339</v>
      </c>
      <c r="E70" s="792" t="s">
        <v>1340</v>
      </c>
      <c r="F70" s="793">
        <f ca="1">F43</f>
        <v>43064.46</v>
      </c>
      <c r="O70" s="2092" t="s">
        <v>1750</v>
      </c>
      <c r="P70" s="2098" t="s">
        <v>1751</v>
      </c>
      <c r="Q70" s="2091">
        <f ca="1">C39</f>
        <v>-6</v>
      </c>
      <c r="R70" s="2090" t="s">
        <v>1731</v>
      </c>
    </row>
    <row r="71" spans="1:18" ht="15.75" thickBot="1">
      <c r="O71" s="2092" t="s">
        <v>1752</v>
      </c>
      <c r="P71" s="2098" t="s">
        <v>1753</v>
      </c>
      <c r="Q71" s="2091">
        <f ca="1">C13</f>
        <v>0</v>
      </c>
      <c r="R71" s="2090" t="s">
        <v>1731</v>
      </c>
    </row>
    <row r="72" spans="1:18" ht="15.75" thickBot="1">
      <c r="O72" s="2092" t="s">
        <v>1754</v>
      </c>
      <c r="P72" s="2098" t="s">
        <v>1755</v>
      </c>
      <c r="Q72" s="2093">
        <f ca="1">J36</f>
        <v>7.0000000000000007E-2</v>
      </c>
      <c r="R72" s="2094"/>
    </row>
    <row r="73" spans="1:18" ht="15.75" thickBot="1">
      <c r="O73" s="2092" t="s">
        <v>1737</v>
      </c>
      <c r="P73" s="2090" t="s">
        <v>1744</v>
      </c>
      <c r="Q73" s="2093">
        <f>L52</f>
        <v>0</v>
      </c>
      <c r="R73" s="2094"/>
    </row>
    <row r="74" spans="1:18" ht="20.25" thickBot="1">
      <c r="O74" s="2092" t="s">
        <v>1739</v>
      </c>
      <c r="P74" s="2090" t="s">
        <v>1745</v>
      </c>
      <c r="Q74" s="2091" t="e">
        <f ca="1">L58</f>
        <v>#DIV/0!</v>
      </c>
      <c r="R74" s="2094" t="s">
        <v>1746</v>
      </c>
    </row>
    <row r="75" spans="1:18" ht="15.75" thickBot="1">
      <c r="O75" s="2092" t="s">
        <v>1768</v>
      </c>
      <c r="P75" s="2090" t="str">
        <f>K59</f>
        <v>建设期及建筑物耐用年限下的土地年期修正系数Kn</v>
      </c>
      <c r="Q75" s="2091" t="e">
        <f ca="1">L59</f>
        <v>#DIV/0!</v>
      </c>
      <c r="R75" s="2094" t="s">
        <v>1748</v>
      </c>
    </row>
    <row r="76" spans="1:18" ht="15.75" thickBot="1">
      <c r="O76" s="2089" t="s">
        <v>1742</v>
      </c>
      <c r="P76" s="2090" t="s">
        <v>1759</v>
      </c>
      <c r="Q76" s="2091">
        <f ca="1">Q66+Q67</f>
        <v>0</v>
      </c>
      <c r="R76" s="2094" t="s">
        <v>1743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topLeftCell="A4" workbookViewId="0">
      <selection activeCell="B28" sqref="B28"/>
    </sheetView>
  </sheetViews>
  <sheetFormatPr defaultRowHeight="13.5"/>
  <cols>
    <col min="2" max="2" width="14.625" bestFit="1" customWidth="1"/>
    <col min="3" max="3" width="10.5" bestFit="1" customWidth="1"/>
  </cols>
  <sheetData>
    <row r="1" spans="1:3">
      <c r="A1" s="2989" t="s">
        <v>3256</v>
      </c>
    </row>
    <row r="2" spans="1:3">
      <c r="A2" s="2989" t="s">
        <v>3257</v>
      </c>
      <c r="B2" s="2989" t="s">
        <v>3258</v>
      </c>
    </row>
    <row r="3" spans="1:3">
      <c r="A3" s="2989" t="s">
        <v>3259</v>
      </c>
      <c r="B3" s="2989" t="s">
        <v>3260</v>
      </c>
    </row>
    <row r="4" spans="1:3">
      <c r="A4" s="2989" t="s">
        <v>3261</v>
      </c>
      <c r="B4" s="2989" t="s">
        <v>3262</v>
      </c>
    </row>
    <row r="5" spans="1:3">
      <c r="A5" s="2989" t="s">
        <v>3263</v>
      </c>
      <c r="B5" s="2989" t="s">
        <v>3264</v>
      </c>
    </row>
    <row r="6" spans="1:3">
      <c r="A6" s="2989" t="s">
        <v>3265</v>
      </c>
      <c r="B6" s="2989" t="s">
        <v>3266</v>
      </c>
    </row>
    <row r="7" spans="1:3">
      <c r="A7" s="2989" t="s">
        <v>3267</v>
      </c>
      <c r="B7">
        <v>22454.65</v>
      </c>
    </row>
    <row r="8" spans="1:3">
      <c r="A8" s="2989" t="s">
        <v>3268</v>
      </c>
      <c r="B8" s="3668">
        <v>39584</v>
      </c>
      <c r="C8" s="3668">
        <v>57846</v>
      </c>
    </row>
    <row r="10" spans="1:3">
      <c r="A10" s="2989" t="s">
        <v>3269</v>
      </c>
    </row>
    <row r="11" spans="1:3">
      <c r="A11" s="2989" t="s">
        <v>3257</v>
      </c>
      <c r="B11" s="2989" t="s">
        <v>3270</v>
      </c>
    </row>
    <row r="12" spans="1:3">
      <c r="A12" s="2989" t="s">
        <v>3271</v>
      </c>
      <c r="B12" s="2989" t="s">
        <v>3272</v>
      </c>
    </row>
    <row r="13" spans="1:3">
      <c r="A13" s="2989" t="s">
        <v>3273</v>
      </c>
      <c r="B13" s="2989" t="s">
        <v>3274</v>
      </c>
    </row>
    <row r="14" spans="1:3">
      <c r="A14" s="2989" t="s">
        <v>3275</v>
      </c>
      <c r="B14" s="2989" t="s">
        <v>3276</v>
      </c>
    </row>
    <row r="15" spans="1:3">
      <c r="A15" s="2989" t="s">
        <v>3277</v>
      </c>
      <c r="B15">
        <v>40101.756999999998</v>
      </c>
    </row>
    <row r="17" spans="1:5">
      <c r="A17" s="2989" t="s">
        <v>3278</v>
      </c>
    </row>
    <row r="18" spans="1:5">
      <c r="A18" s="2989" t="s">
        <v>3257</v>
      </c>
      <c r="B18" s="2989" t="s">
        <v>3279</v>
      </c>
    </row>
    <row r="19" spans="1:5">
      <c r="A19" s="2989" t="s">
        <v>3280</v>
      </c>
      <c r="B19" s="2989" t="s">
        <v>3281</v>
      </c>
      <c r="C19" s="2989" t="s">
        <v>3282</v>
      </c>
    </row>
    <row r="20" spans="1:5">
      <c r="B20" s="2989" t="s">
        <v>3283</v>
      </c>
      <c r="C20" s="2989" t="s">
        <v>3284</v>
      </c>
    </row>
    <row r="21" spans="1:5">
      <c r="B21" s="2989" t="s">
        <v>3285</v>
      </c>
      <c r="C21" s="2989" t="s">
        <v>3286</v>
      </c>
    </row>
    <row r="22" spans="1:5">
      <c r="B22" s="2989" t="s">
        <v>3287</v>
      </c>
      <c r="C22" s="2989" t="s">
        <v>3288</v>
      </c>
    </row>
    <row r="23" spans="1:5">
      <c r="A23" s="2989" t="s">
        <v>3289</v>
      </c>
      <c r="B23" s="2989" t="s">
        <v>3290</v>
      </c>
    </row>
    <row r="24" spans="1:5">
      <c r="A24" s="2989" t="s">
        <v>3292</v>
      </c>
      <c r="B24" s="2989" t="s">
        <v>3293</v>
      </c>
      <c r="C24" s="2989" t="s">
        <v>3294</v>
      </c>
      <c r="D24" s="2989" t="s">
        <v>3295</v>
      </c>
      <c r="E24" s="2989" t="s">
        <v>3296</v>
      </c>
    </row>
    <row r="25" spans="1:5">
      <c r="A25" s="2989" t="s">
        <v>3291</v>
      </c>
      <c r="B25">
        <f>SUM(C25:E25)</f>
        <v>63167.44</v>
      </c>
      <c r="C25">
        <f>35814.46-250</f>
        <v>35564.46</v>
      </c>
      <c r="D25">
        <v>27240</v>
      </c>
      <c r="E25">
        <f>250+60.49+52.49</f>
        <v>362.98</v>
      </c>
    </row>
    <row r="26" spans="1:5">
      <c r="A26" s="2989" t="s">
        <v>3297</v>
      </c>
      <c r="B26">
        <v>1.6</v>
      </c>
      <c r="D26" s="2989" t="s">
        <v>3331</v>
      </c>
    </row>
    <row r="27" spans="1:5">
      <c r="A27" s="2989" t="s">
        <v>3298</v>
      </c>
      <c r="B27">
        <v>277</v>
      </c>
      <c r="D27" s="2989" t="s">
        <v>3332</v>
      </c>
    </row>
    <row r="28" spans="1:5">
      <c r="A28" s="2989" t="s">
        <v>3397</v>
      </c>
      <c r="B28">
        <f>B27-E28</f>
        <v>163</v>
      </c>
      <c r="D28" s="2989" t="s">
        <v>3396</v>
      </c>
      <c r="E28">
        <f>ROUNDDOWN(4000/35,0)</f>
        <v>114</v>
      </c>
    </row>
    <row r="29" spans="1:5">
      <c r="A29" s="2989" t="s">
        <v>3299</v>
      </c>
      <c r="B29">
        <v>480</v>
      </c>
    </row>
    <row r="30" spans="1:5">
      <c r="A30" s="2989" t="s">
        <v>3300</v>
      </c>
      <c r="B30" s="3669">
        <v>44835</v>
      </c>
    </row>
    <row r="31" spans="1:5">
      <c r="A31" s="2989" t="s">
        <v>3301</v>
      </c>
      <c r="B31" s="3669">
        <v>45992</v>
      </c>
    </row>
    <row r="32" spans="1:5">
      <c r="A32" s="2989" t="s">
        <v>3302</v>
      </c>
      <c r="B32" s="2989" t="s">
        <v>3303</v>
      </c>
    </row>
    <row r="33" spans="1:12" ht="14.25" thickBot="1"/>
    <row r="34" spans="1:12" ht="14.25" thickBot="1">
      <c r="A34" s="3670" t="s">
        <v>3304</v>
      </c>
      <c r="B34" s="3671" t="s">
        <v>3305</v>
      </c>
      <c r="C34" s="3671" t="s">
        <v>3306</v>
      </c>
    </row>
    <row r="35" spans="1:12" ht="14.25" thickBot="1">
      <c r="A35" s="3672" t="s">
        <v>3307</v>
      </c>
      <c r="B35" s="3673">
        <v>111301</v>
      </c>
      <c r="C35" s="3674">
        <v>0.95150000000000001</v>
      </c>
    </row>
    <row r="36" spans="1:12" ht="14.25" thickBot="1">
      <c r="A36" s="3675" t="s">
        <v>3308</v>
      </c>
      <c r="B36" s="3676">
        <v>51900</v>
      </c>
      <c r="C36" s="3677">
        <v>0.44369999999999998</v>
      </c>
    </row>
    <row r="37" spans="1:12" ht="14.25" thickBot="1">
      <c r="A37" s="3675" t="s">
        <v>3309</v>
      </c>
      <c r="B37" s="3676">
        <v>42200</v>
      </c>
      <c r="C37" s="3677">
        <v>0.36070000000000002</v>
      </c>
    </row>
    <row r="38" spans="1:12" ht="14.25" thickBot="1">
      <c r="A38" s="3678" t="s">
        <v>3310</v>
      </c>
      <c r="B38" s="3676">
        <v>38901</v>
      </c>
      <c r="C38" s="3676"/>
    </row>
    <row r="39" spans="1:12" ht="14.25" thickBot="1">
      <c r="A39" s="3675" t="s">
        <v>3311</v>
      </c>
      <c r="B39" s="3676">
        <v>5200</v>
      </c>
      <c r="C39" s="3677">
        <v>4.4499999999999998E-2</v>
      </c>
    </row>
    <row r="40" spans="1:12" ht="14.25" thickBot="1">
      <c r="A40" s="3675" t="s">
        <v>3312</v>
      </c>
      <c r="B40" s="3676">
        <v>12000</v>
      </c>
      <c r="C40" s="3677">
        <v>0.1026</v>
      </c>
    </row>
    <row r="41" spans="1:12" ht="14.25" thickBot="1">
      <c r="A41" s="3672" t="s">
        <v>3313</v>
      </c>
      <c r="B41" s="3673">
        <v>5671</v>
      </c>
      <c r="C41" s="3674">
        <v>4.8500000000000001E-2</v>
      </c>
    </row>
    <row r="42" spans="1:12" ht="15" thickTop="1" thickBot="1">
      <c r="A42" s="3672" t="s">
        <v>3314</v>
      </c>
      <c r="B42" s="3673">
        <v>116972</v>
      </c>
      <c r="C42" s="3674">
        <v>1</v>
      </c>
      <c r="J42" s="3690" t="s">
        <v>1726</v>
      </c>
      <c r="K42" s="3691" t="s">
        <v>3333</v>
      </c>
      <c r="L42" s="3692" t="s">
        <v>3334</v>
      </c>
    </row>
    <row r="43" spans="1:12" ht="14.25" thickBot="1">
      <c r="J43" s="3693">
        <v>1.1000000000000001</v>
      </c>
      <c r="K43" s="3694" t="s">
        <v>3335</v>
      </c>
      <c r="L43" s="3695" t="s">
        <v>3336</v>
      </c>
    </row>
    <row r="44" spans="1:12" ht="14.25" thickBot="1">
      <c r="A44" s="3679" t="s">
        <v>3315</v>
      </c>
      <c r="B44" s="3680" t="s">
        <v>3316</v>
      </c>
      <c r="C44" s="3680" t="s">
        <v>3317</v>
      </c>
      <c r="J44" s="3693">
        <v>1.2</v>
      </c>
      <c r="K44" s="3694" t="s">
        <v>3337</v>
      </c>
      <c r="L44" s="3696">
        <v>0.13</v>
      </c>
    </row>
    <row r="45" spans="1:12" ht="14.25" thickBot="1">
      <c r="A45" s="3681" t="s">
        <v>3318</v>
      </c>
      <c r="B45" s="3682"/>
      <c r="C45" s="3683">
        <v>0.1328</v>
      </c>
      <c r="J45" s="3693">
        <v>1.3</v>
      </c>
      <c r="K45" s="3694" t="s">
        <v>3338</v>
      </c>
      <c r="L45" s="3696">
        <v>0.25</v>
      </c>
    </row>
    <row r="46" spans="1:12" ht="14.25" thickBot="1">
      <c r="A46" s="3684" t="s">
        <v>3319</v>
      </c>
      <c r="B46" s="3685"/>
      <c r="C46" s="3685">
        <v>511.21</v>
      </c>
      <c r="J46" s="3693">
        <v>1.4</v>
      </c>
      <c r="K46" s="3694" t="s">
        <v>3339</v>
      </c>
      <c r="L46" s="3695" t="s">
        <v>3336</v>
      </c>
    </row>
    <row r="47" spans="1:12" ht="14.25" thickBot="1">
      <c r="A47" s="3684" t="s">
        <v>3320</v>
      </c>
      <c r="B47" s="3685">
        <v>8.99</v>
      </c>
      <c r="C47" s="3685">
        <v>9.23</v>
      </c>
      <c r="J47" s="3693" t="s">
        <v>3340</v>
      </c>
      <c r="K47" s="3694" t="s">
        <v>3341</v>
      </c>
      <c r="L47" s="3696">
        <v>7.0000000000000007E-2</v>
      </c>
    </row>
    <row r="48" spans="1:12" ht="14.25" thickBot="1">
      <c r="A48" s="3684" t="s">
        <v>3321</v>
      </c>
      <c r="B48" s="3685">
        <v>11.8</v>
      </c>
      <c r="C48" s="3685">
        <v>13.94</v>
      </c>
      <c r="J48" s="3693" t="s">
        <v>3342</v>
      </c>
      <c r="K48" s="3694" t="s">
        <v>3343</v>
      </c>
      <c r="L48" s="3696">
        <v>0.03</v>
      </c>
    </row>
    <row r="49" spans="1:12" ht="14.25" thickBot="1">
      <c r="A49" s="4018" t="s">
        <v>3322</v>
      </c>
      <c r="B49" s="4019"/>
      <c r="C49" s="3686"/>
      <c r="J49" s="3693" t="s">
        <v>3344</v>
      </c>
      <c r="K49" s="3694" t="s">
        <v>3345</v>
      </c>
      <c r="L49" s="3696">
        <v>0.02</v>
      </c>
    </row>
    <row r="50" spans="1:12" ht="14.25" thickBot="1">
      <c r="A50" s="3684" t="s">
        <v>3323</v>
      </c>
      <c r="B50" s="3687">
        <v>108191.15</v>
      </c>
      <c r="C50" s="3688" t="s">
        <v>3324</v>
      </c>
      <c r="J50" s="3697" t="s">
        <v>3346</v>
      </c>
      <c r="K50" s="3698" t="s">
        <v>3347</v>
      </c>
      <c r="L50" s="3699">
        <v>1.2E-2</v>
      </c>
    </row>
    <row r="51" spans="1:12" ht="14.25" thickBot="1">
      <c r="A51" s="3684" t="s">
        <v>3325</v>
      </c>
      <c r="B51" s="3688" t="s">
        <v>3324</v>
      </c>
      <c r="C51" s="3687">
        <v>18664.28</v>
      </c>
    </row>
    <row r="52" spans="1:12" ht="14.25" thickBot="1">
      <c r="A52" s="3684" t="s">
        <v>3326</v>
      </c>
      <c r="B52" s="3689">
        <v>0.24709999999999999</v>
      </c>
      <c r="C52" s="3685"/>
    </row>
    <row r="53" spans="1:12" ht="14.25" thickBot="1">
      <c r="A53" s="3684" t="s">
        <v>3327</v>
      </c>
      <c r="B53" s="3685"/>
      <c r="C53" s="3689">
        <v>0.17249999999999999</v>
      </c>
    </row>
    <row r="55" spans="1:12">
      <c r="A55" s="4020" t="s">
        <v>3329</v>
      </c>
      <c r="B55" s="4020"/>
      <c r="C55" s="4020"/>
      <c r="D55" s="4020"/>
      <c r="E55" s="4020"/>
    </row>
    <row r="57" spans="1:12">
      <c r="A57" s="2989" t="s">
        <v>3328</v>
      </c>
    </row>
    <row r="58" spans="1:12">
      <c r="A58" s="2989" t="s">
        <v>3330</v>
      </c>
    </row>
    <row r="113" spans="3:12">
      <c r="C113">
        <v>69441.440000000002</v>
      </c>
      <c r="D113">
        <v>80296.259999999995</v>
      </c>
      <c r="E113">
        <v>91706.36</v>
      </c>
      <c r="F113">
        <v>99218.41</v>
      </c>
      <c r="G113">
        <v>106286.97</v>
      </c>
      <c r="H113">
        <v>112688.57</v>
      </c>
      <c r="I113">
        <v>119421.74</v>
      </c>
      <c r="J113">
        <v>126563.54</v>
      </c>
      <c r="K113">
        <v>134132.35999999999</v>
      </c>
      <c r="L113">
        <v>142155.82</v>
      </c>
    </row>
    <row r="114" spans="3:12">
      <c r="C114" t="e">
        <f t="shared" ref="C114:L114" si="0">(C113-B113)/B113</f>
        <v>#DIV/0!</v>
      </c>
      <c r="D114">
        <f t="shared" si="0"/>
        <v>0.1563161708628161</v>
      </c>
      <c r="E114">
        <f t="shared" si="0"/>
        <v>0.14210001810794184</v>
      </c>
      <c r="F114">
        <f t="shared" si="0"/>
        <v>8.1914166040392436E-2</v>
      </c>
      <c r="G114">
        <f t="shared" si="0"/>
        <v>7.1242423659076959E-2</v>
      </c>
      <c r="H114">
        <f t="shared" si="0"/>
        <v>6.022939594571193E-2</v>
      </c>
      <c r="I114">
        <f t="shared" si="0"/>
        <v>5.9750247962149117E-2</v>
      </c>
      <c r="J114">
        <f t="shared" si="0"/>
        <v>5.9803181564763566E-2</v>
      </c>
      <c r="K114">
        <f t="shared" si="0"/>
        <v>5.9802530807845554E-2</v>
      </c>
      <c r="L114">
        <f t="shared" si="0"/>
        <v>5.9817481776955402E-2</v>
      </c>
    </row>
    <row r="133" spans="3:3">
      <c r="C133">
        <v>55456.33</v>
      </c>
    </row>
    <row r="145" spans="1:1">
      <c r="A145" s="2989" t="s">
        <v>3348</v>
      </c>
    </row>
  </sheetData>
  <mergeCells count="2">
    <mergeCell ref="A49:B49"/>
    <mergeCell ref="A55:E55"/>
  </mergeCells>
  <phoneticPr fontId="224"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3:U23"/>
  <sheetViews>
    <sheetView topLeftCell="F1" workbookViewId="0">
      <selection activeCell="S40" sqref="S40"/>
    </sheetView>
  </sheetViews>
  <sheetFormatPr defaultRowHeight="13.5"/>
  <sheetData>
    <row r="23" spans="12:21">
      <c r="L23" s="2989" t="s">
        <v>3384</v>
      </c>
      <c r="U23" s="2989" t="s">
        <v>3385</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9" t="s">
        <v>1553</v>
      </c>
      <c r="B1" s="3709"/>
      <c r="C1" s="3709"/>
      <c r="D1" s="3709"/>
      <c r="E1" s="3709"/>
      <c r="F1" s="3709"/>
      <c r="G1" s="3709"/>
      <c r="H1" s="3709"/>
      <c r="I1" s="3709"/>
      <c r="J1" s="3709"/>
      <c r="K1" s="3709"/>
      <c r="L1" s="3709"/>
      <c r="M1" s="3709"/>
      <c r="N1" s="3709"/>
      <c r="O1" s="3709"/>
      <c r="P1" s="3709"/>
      <c r="Q1" s="3709"/>
      <c r="R1" s="3709"/>
    </row>
    <row r="2" spans="1:18">
      <c r="A2" s="1594" t="s">
        <v>1555</v>
      </c>
      <c r="B2" s="1594"/>
      <c r="C2" s="1594"/>
      <c r="D2" s="1594"/>
      <c r="E2" s="1594"/>
      <c r="F2" s="1594"/>
      <c r="G2" s="1594"/>
      <c r="H2" s="1594"/>
      <c r="I2" s="1595"/>
      <c r="J2" s="1595"/>
      <c r="K2" s="1596" t="str">
        <f>"估价期日："&amp;TEXT(项目基本情况!D3,"yyyy年m月d日;;")</f>
        <v>估价期日：2023年1月16日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10" t="s">
        <v>1544</v>
      </c>
      <c r="B3" s="3710" t="s">
        <v>2010</v>
      </c>
      <c r="C3" s="3711" t="s">
        <v>1545</v>
      </c>
      <c r="D3" s="3710" t="s">
        <v>2014</v>
      </c>
      <c r="E3" s="3705" t="s">
        <v>1546</v>
      </c>
      <c r="F3" s="3705"/>
      <c r="G3" s="3705"/>
      <c r="H3" s="3705" t="s">
        <v>1547</v>
      </c>
      <c r="I3" s="3705"/>
      <c r="J3" s="3705"/>
      <c r="K3" s="3711" t="s">
        <v>1548</v>
      </c>
      <c r="L3" s="3711" t="s">
        <v>1549</v>
      </c>
      <c r="M3" s="3710" t="s">
        <v>2011</v>
      </c>
      <c r="N3" s="3712" t="str">
        <f>"（分摊）"&amp;项目基本情况!A17&amp;"国有建设用地使用权面积/㎡"</f>
        <v>（分摊）出让国有建设用地使用权面积/㎡</v>
      </c>
      <c r="O3" s="3710" t="s">
        <v>1578</v>
      </c>
      <c r="P3" s="3711" t="s">
        <v>1558</v>
      </c>
      <c r="Q3" s="3711" t="s">
        <v>1579</v>
      </c>
      <c r="R3" s="3711" t="s">
        <v>1550</v>
      </c>
    </row>
    <row r="4" spans="1:18" ht="36.75" customHeight="1">
      <c r="A4" s="3710"/>
      <c r="B4" s="3710"/>
      <c r="C4" s="3711"/>
      <c r="D4" s="3710"/>
      <c r="E4" s="2253" t="s">
        <v>1557</v>
      </c>
      <c r="F4" s="2253" t="s">
        <v>2023</v>
      </c>
      <c r="G4" s="2253" t="s">
        <v>1551</v>
      </c>
      <c r="H4" s="2253" t="s">
        <v>1552</v>
      </c>
      <c r="I4" s="2253" t="s">
        <v>2024</v>
      </c>
      <c r="J4" s="2253" t="s">
        <v>1551</v>
      </c>
      <c r="K4" s="3711"/>
      <c r="L4" s="3711"/>
      <c r="M4" s="3710"/>
      <c r="N4" s="3712"/>
      <c r="O4" s="3710"/>
      <c r="P4" s="3711"/>
      <c r="Q4" s="3711"/>
      <c r="R4" s="3711"/>
    </row>
    <row r="5" spans="1:18" ht="135" customHeight="1">
      <c r="A5" s="1698" t="s">
        <v>1934</v>
      </c>
      <c r="B5" s="2346" t="s">
        <v>1932</v>
      </c>
      <c r="C5" s="2252">
        <v>22</v>
      </c>
      <c r="D5" s="2251" t="s">
        <v>1933</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v>
      </c>
      <c r="M5" s="1597">
        <f>IF(项目基本情况!A17="出让",项目基本情况!D20,"——")</f>
        <v>0</v>
      </c>
      <c r="N5" s="1597">
        <f>项目基本情况!C22</f>
        <v>22454.65</v>
      </c>
      <c r="O5" s="1597">
        <f>项目基本情况!C21</f>
        <v>59167.44</v>
      </c>
      <c r="P5" s="1597">
        <f ca="1">结果表!E42</f>
        <v>17444</v>
      </c>
      <c r="Q5" s="1597">
        <f ca="1">结果表!D42</f>
        <v>6620</v>
      </c>
      <c r="R5" s="1598">
        <f ca="1">结果表!C42</f>
        <v>39171</v>
      </c>
    </row>
    <row r="6" spans="1:18">
      <c r="A6" s="3706" t="str">
        <f>IF(项目基本情况!B9="市场价格","——","抵押价格")</f>
        <v>——</v>
      </c>
      <c r="B6" s="3707"/>
      <c r="C6" s="3707"/>
      <c r="D6" s="3707"/>
      <c r="E6" s="3707"/>
      <c r="F6" s="3707"/>
      <c r="G6" s="3707"/>
      <c r="H6" s="3707"/>
      <c r="I6" s="3707"/>
      <c r="J6" s="3707"/>
      <c r="K6" s="3707"/>
      <c r="L6" s="3707"/>
      <c r="M6" s="3707"/>
      <c r="N6" s="3707"/>
      <c r="O6" s="3707"/>
      <c r="P6" s="3707"/>
      <c r="Q6" s="3708"/>
      <c r="R6" s="1599">
        <f ca="1">结果表!O39</f>
        <v>39171</v>
      </c>
    </row>
    <row r="7" spans="1:18">
      <c r="A7" s="3706" t="str">
        <f>IF(项目基本情况!B9="市场价格","——",IF(项目基本情况!E8="已注销及未注销","抵押担保权已注销时的抵押价格","——"))</f>
        <v>——</v>
      </c>
      <c r="B7" s="3707"/>
      <c r="C7" s="3707"/>
      <c r="D7" s="3707"/>
      <c r="E7" s="3707"/>
      <c r="F7" s="3707"/>
      <c r="G7" s="3707"/>
      <c r="H7" s="3707"/>
      <c r="I7" s="3707"/>
      <c r="J7" s="3707"/>
      <c r="K7" s="3707"/>
      <c r="L7" s="3707"/>
      <c r="M7" s="3707"/>
      <c r="N7" s="3707"/>
      <c r="O7" s="3707"/>
      <c r="P7" s="3707"/>
      <c r="Q7" s="3708"/>
      <c r="R7" s="1599" t="str">
        <f>结果表!O40</f>
        <v>——</v>
      </c>
    </row>
    <row r="8" spans="1:18">
      <c r="A8" s="3706" t="str">
        <f>IF(项目基本情况!B9="市场价格","——",项目基本情况!E9)</f>
        <v>——</v>
      </c>
      <c r="B8" s="3707"/>
      <c r="C8" s="3707"/>
      <c r="D8" s="3707"/>
      <c r="E8" s="3707"/>
      <c r="F8" s="3707"/>
      <c r="G8" s="3707"/>
      <c r="H8" s="3707"/>
      <c r="I8" s="3707"/>
      <c r="J8" s="3707"/>
      <c r="K8" s="3707"/>
      <c r="L8" s="3707"/>
      <c r="M8" s="3707"/>
      <c r="N8" s="3707"/>
      <c r="O8" s="3707"/>
      <c r="P8" s="3707"/>
      <c r="Q8" s="3708"/>
      <c r="R8" s="1599" t="str">
        <f>结果表!O41</f>
        <v>——</v>
      </c>
    </row>
    <row r="9" spans="1:18">
      <c r="A9" s="1600" t="s">
        <v>1556</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1543</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14" t="s">
        <v>1580</v>
      </c>
      <c r="B1" s="3714"/>
      <c r="C1" s="3714"/>
      <c r="D1" s="3714"/>
    </row>
    <row r="2" spans="1:4" ht="47.25" customHeight="1">
      <c r="A2" s="3715" t="str">
        <f>"1.权利限制："&amp;项目基本情况!L24&amp;"未设定租赁等其他他项权利。"</f>
        <v>1.权利限制：根据估价对象《不动产权证书》复印件、，截至估价期日，估价对象抵押权未见登记。未设定租赁等其他他项权利。</v>
      </c>
      <c r="B2" s="3715"/>
      <c r="C2" s="3715"/>
      <c r="D2" s="3715"/>
    </row>
    <row r="3" spans="1:4" ht="48" customHeight="1">
      <c r="A3" s="37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14"/>
      <c r="C3" s="3714"/>
      <c r="D3" s="3714"/>
    </row>
    <row r="4" spans="1:4" ht="36.75" customHeight="1">
      <c r="A4" s="3714" t="str">
        <f>"3.估价规划限制条件：详见"&amp;项目基本情况!E21&amp;"。"</f>
        <v>3.估价规划限制条件：详见《建设工程规划许可证》[]、《出让合同》[]。</v>
      </c>
      <c r="B4" s="3714"/>
      <c r="C4" s="3714"/>
      <c r="D4" s="3714"/>
    </row>
    <row r="5" spans="1:4">
      <c r="A5" s="3713" t="s">
        <v>1581</v>
      </c>
      <c r="B5" s="3713"/>
      <c r="C5" s="3713"/>
      <c r="D5" s="3713"/>
    </row>
    <row r="6" spans="1:4">
      <c r="A6" s="3714" t="s">
        <v>1559</v>
      </c>
      <c r="B6" s="3714"/>
      <c r="C6" s="3714"/>
      <c r="D6" s="3714"/>
    </row>
    <row r="7" spans="1:4" ht="33" customHeight="1">
      <c r="A7" s="3714" t="s">
        <v>1854</v>
      </c>
      <c r="B7" s="3714"/>
      <c r="C7" s="3714"/>
      <c r="D7" s="3714"/>
    </row>
    <row r="8" spans="1:4" ht="32.25" customHeight="1">
      <c r="A8" s="37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4"/>
      <c r="C8" s="3714"/>
      <c r="D8" s="3714"/>
    </row>
    <row r="9" spans="1:4" ht="33.75" customHeight="1">
      <c r="A9" s="37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4"/>
      <c r="C9" s="3714"/>
      <c r="D9" s="3714"/>
    </row>
    <row r="10" spans="1:4">
      <c r="A10" s="3714" t="str">
        <f>IF(项目基本情况!B8="抵押","4.估价师所知悉的法定优先受偿款情况为：","——")</f>
        <v>4.估价师所知悉的法定优先受偿款情况为：</v>
      </c>
      <c r="B10" s="3714"/>
      <c r="C10" s="3714"/>
      <c r="D10" s="3714"/>
    </row>
    <row r="11" spans="1:4" ht="37.5" customHeight="1">
      <c r="A11" s="3716" t="str">
        <f>IF(项目基本情况!B8="抵押","（1）"&amp;CONCATENATE(项目基本情况!L24,项目基本情况!L25,项目基本情况!L26),"——")</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6"/>
      <c r="C11" s="3716"/>
      <c r="D11" s="3716"/>
    </row>
    <row r="12" spans="1:4" ht="168" customHeight="1">
      <c r="A12" s="3713" t="s">
        <v>1583</v>
      </c>
      <c r="B12" s="3713"/>
      <c r="C12" s="3713"/>
      <c r="D12" s="3713"/>
    </row>
    <row r="13" spans="1:4">
      <c r="A13" s="3717" t="s">
        <v>2025</v>
      </c>
      <c r="B13" s="3717"/>
      <c r="C13" s="3717"/>
      <c r="D13" s="3717"/>
    </row>
    <row r="14" spans="1:4">
      <c r="A14" s="3716" t="str">
        <f>IF(项目基本情况!B8="抵押","综上，"&amp;结果表!K47,"——")</f>
        <v>综上，本次评估不存在估价师知悉的法定优先受偿款</v>
      </c>
      <c r="B14" s="3716"/>
      <c r="C14" s="3716"/>
      <c r="D14" s="3716"/>
    </row>
    <row r="15" spans="1:4" ht="58.5" customHeight="1">
      <c r="A15" s="37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4"/>
      <c r="C15" s="3714"/>
      <c r="D15" s="3714"/>
    </row>
    <row r="16" spans="1:4" ht="70.5" customHeight="1">
      <c r="A16" s="37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4"/>
      <c r="C16" s="3714"/>
      <c r="D16" s="3714"/>
    </row>
    <row r="17" spans="1:4">
      <c r="A17" s="3714" t="s">
        <v>1981</v>
      </c>
      <c r="B17" s="3714"/>
      <c r="C17" s="3714"/>
      <c r="D17" s="3714"/>
    </row>
    <row r="18" spans="1:4">
      <c r="A18" s="3714" t="s">
        <v>1973</v>
      </c>
      <c r="B18" s="3714"/>
      <c r="C18" s="3714"/>
      <c r="D18" s="3714"/>
    </row>
    <row r="19" spans="1:4">
      <c r="A19" s="2347" t="s">
        <v>1974</v>
      </c>
      <c r="B19" s="2347" t="s">
        <v>1975</v>
      </c>
      <c r="C19" s="2347" t="s">
        <v>1976</v>
      </c>
      <c r="D19" s="2347" t="s">
        <v>1977</v>
      </c>
    </row>
    <row r="20" spans="1:4">
      <c r="A20" s="2347" t="str">
        <f>项目基本情况!B4</f>
        <v>赵雯</v>
      </c>
      <c r="B20" s="2347">
        <f ca="1">项目基本情况!C4</f>
        <v>2011110090</v>
      </c>
      <c r="C20" s="2349"/>
      <c r="D20" s="1587" t="s">
        <v>1982</v>
      </c>
    </row>
    <row r="21" spans="1:4">
      <c r="A21" s="2347" t="str">
        <f>项目基本情况!D4</f>
        <v>崔锴</v>
      </c>
      <c r="B21" s="2347">
        <f ca="1">项目基本情况!E4</f>
        <v>2010110070</v>
      </c>
      <c r="C21" s="2349"/>
      <c r="D21" s="1587" t="s">
        <v>1983</v>
      </c>
    </row>
    <row r="23" spans="1:4">
      <c r="A23" s="3714" t="s">
        <v>1978</v>
      </c>
      <c r="B23" s="3714"/>
      <c r="C23" s="3714"/>
      <c r="D23" s="3714"/>
    </row>
    <row r="24" spans="1:4">
      <c r="A24" s="2347" t="s">
        <v>1974</v>
      </c>
      <c r="B24" s="2347" t="s">
        <v>1979</v>
      </c>
      <c r="C24" s="2347" t="s">
        <v>1976</v>
      </c>
      <c r="D24" s="2347" t="s">
        <v>1977</v>
      </c>
    </row>
    <row r="25" spans="1:4">
      <c r="A25" s="2350" t="s">
        <v>1980</v>
      </c>
      <c r="B25" s="2347" t="s">
        <v>876</v>
      </c>
      <c r="C25" s="2349"/>
      <c r="D25" s="1587" t="s">
        <v>1983</v>
      </c>
    </row>
    <row r="29" spans="1:4">
      <c r="D29" s="2348" t="s">
        <v>1554</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25">
      <c r="A15" s="3725" t="s">
        <v>27</v>
      </c>
      <c r="B15" s="3726" t="s">
        <v>783</v>
      </c>
      <c r="C15" s="3722"/>
    </row>
    <row r="16" spans="1:7" ht="14.25">
      <c r="A16" s="3725"/>
      <c r="B16" s="3723" t="s">
        <v>28</v>
      </c>
      <c r="C16" s="1070" t="s">
        <v>27</v>
      </c>
    </row>
    <row r="17" spans="1:3" ht="14.25">
      <c r="A17" s="3725"/>
      <c r="B17" s="3723"/>
      <c r="C17" s="1070" t="s">
        <v>29</v>
      </c>
    </row>
    <row r="18" spans="1:3" ht="14.25">
      <c r="A18" s="3725"/>
      <c r="B18" s="3723"/>
      <c r="C18" s="1070" t="s">
        <v>30</v>
      </c>
    </row>
    <row r="19" spans="1:3" ht="14.25">
      <c r="A19" s="3725"/>
      <c r="B19" s="3721" t="s">
        <v>31</v>
      </c>
      <c r="C19" s="3722"/>
    </row>
    <row r="20" spans="1:3" ht="14.25">
      <c r="A20" s="1071" t="s">
        <v>32</v>
      </c>
      <c r="B20" s="1072"/>
      <c r="C20" s="1073"/>
    </row>
    <row r="21" spans="1:3" ht="14.25">
      <c r="A21" s="3724" t="s">
        <v>33</v>
      </c>
      <c r="B21" s="3721" t="s">
        <v>34</v>
      </c>
      <c r="C21" s="3722"/>
    </row>
    <row r="22" spans="1:3" ht="14.25">
      <c r="A22" s="3724"/>
      <c r="B22" s="3721" t="s">
        <v>35</v>
      </c>
      <c r="C22" s="3722"/>
    </row>
    <row r="23" spans="1:3" ht="14.25">
      <c r="A23" s="3724"/>
      <c r="B23" s="3721" t="s">
        <v>36</v>
      </c>
      <c r="C23" s="3722"/>
    </row>
    <row r="24" spans="1:3" ht="14.25">
      <c r="A24" s="3724"/>
      <c r="B24" s="3727" t="s">
        <v>37</v>
      </c>
      <c r="C24" s="1074" t="s">
        <v>774</v>
      </c>
    </row>
    <row r="25" spans="1:3" ht="14.25">
      <c r="A25" s="3724"/>
      <c r="B25" s="3728"/>
      <c r="C25" s="1074" t="s">
        <v>775</v>
      </c>
    </row>
    <row r="26" spans="1:3" ht="14.25">
      <c r="A26" s="3724"/>
      <c r="B26" s="3728"/>
      <c r="C26" s="1074" t="s">
        <v>776</v>
      </c>
    </row>
    <row r="27" spans="1:3" ht="14.25">
      <c r="A27" s="3724"/>
      <c r="B27" s="3728"/>
      <c r="C27" s="1074" t="s">
        <v>777</v>
      </c>
    </row>
    <row r="28" spans="1:3" ht="14.25">
      <c r="A28" s="3724"/>
      <c r="B28" s="3728"/>
      <c r="C28" s="1074" t="s">
        <v>778</v>
      </c>
    </row>
    <row r="29" spans="1:3" ht="14.25">
      <c r="A29" s="3724"/>
      <c r="B29" s="3728"/>
      <c r="C29" s="1074" t="s">
        <v>779</v>
      </c>
    </row>
    <row r="30" spans="1:3" ht="14.25">
      <c r="A30" s="3724"/>
      <c r="B30" s="3728"/>
      <c r="C30" s="1074" t="s">
        <v>780</v>
      </c>
    </row>
    <row r="31" spans="1:3" ht="14.25">
      <c r="A31" s="3724"/>
      <c r="B31" s="3728"/>
      <c r="C31" s="1074" t="s">
        <v>781</v>
      </c>
    </row>
    <row r="32" spans="1:3" ht="14.25">
      <c r="A32" s="3724"/>
      <c r="B32" s="3728"/>
      <c r="C32" s="1074" t="s">
        <v>1180</v>
      </c>
    </row>
    <row r="33" spans="1:3" ht="14.25">
      <c r="A33" s="3724"/>
      <c r="B33" s="3718" t="s">
        <v>1186</v>
      </c>
      <c r="C33" s="1074" t="s">
        <v>1181</v>
      </c>
    </row>
    <row r="34" spans="1:3" ht="14.25">
      <c r="A34" s="3724"/>
      <c r="B34" s="3719"/>
      <c r="C34" s="1079" t="s">
        <v>1182</v>
      </c>
    </row>
    <row r="35" spans="1:3" ht="14.25">
      <c r="A35" s="3724"/>
      <c r="B35" s="3719"/>
      <c r="C35" s="1080" t="s">
        <v>1183</v>
      </c>
    </row>
    <row r="36" spans="1:3" ht="14.25">
      <c r="A36" s="3724"/>
      <c r="B36" s="3719"/>
      <c r="C36" s="1080" t="s">
        <v>1184</v>
      </c>
    </row>
    <row r="37" spans="1:3" ht="14.25">
      <c r="A37" s="3724"/>
      <c r="B37" s="3720"/>
      <c r="C37" s="1081" t="s">
        <v>1185</v>
      </c>
    </row>
    <row r="38" spans="1:3">
      <c r="A38" s="1075" t="s">
        <v>782</v>
      </c>
    </row>
    <row r="41" spans="1:3">
      <c r="A41" s="1075" t="s">
        <v>42</v>
      </c>
    </row>
    <row r="42" spans="1:3" ht="14.25">
      <c r="A42" s="1076" t="s">
        <v>790</v>
      </c>
    </row>
    <row r="43" spans="1:3" ht="14.25">
      <c r="A43" s="1077" t="s">
        <v>43</v>
      </c>
    </row>
    <row r="44" spans="1:3" ht="14.25">
      <c r="A44" s="1076" t="s">
        <v>789</v>
      </c>
    </row>
    <row r="45" spans="1:3" ht="14.25">
      <c r="A45" s="1078" t="s">
        <v>791</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1430</v>
      </c>
      <c r="B2" s="2769">
        <f ca="1">TODAY()</f>
        <v>44944</v>
      </c>
      <c r="C2" s="2770" t="s">
        <v>1431</v>
      </c>
      <c r="D2" s="2770"/>
      <c r="E2" s="2767"/>
      <c r="F2" s="2767"/>
      <c r="G2" s="2767"/>
    </row>
    <row r="3" spans="1:7" ht="20.25" customHeight="1">
      <c r="A3" s="2791" t="s">
        <v>1432</v>
      </c>
      <c r="B3" s="2772" t="s">
        <v>1433</v>
      </c>
      <c r="C3" s="2773" t="s">
        <v>1434</v>
      </c>
      <c r="D3" s="2792" t="s">
        <v>1435</v>
      </c>
      <c r="E3" s="2772" t="s">
        <v>1436</v>
      </c>
      <c r="F3" s="2772" t="s">
        <v>1434</v>
      </c>
      <c r="G3" s="2767"/>
    </row>
    <row r="4" spans="1:7" ht="20.25" customHeight="1">
      <c r="A4" s="2772" t="s">
        <v>1437</v>
      </c>
      <c r="B4" s="2772">
        <f ca="1">IF(C4&lt;B2,"已过期",1119970066)</f>
        <v>1119970066</v>
      </c>
      <c r="C4" s="2775">
        <v>45937</v>
      </c>
      <c r="D4" s="2783" t="s">
        <v>1437</v>
      </c>
      <c r="E4" s="2772">
        <f ca="1">IF(F4&lt;B2,"已过期",96010014)</f>
        <v>96010014</v>
      </c>
      <c r="F4" s="2774">
        <v>47118</v>
      </c>
      <c r="G4" s="2767"/>
    </row>
    <row r="5" spans="1:7" ht="20.25" customHeight="1">
      <c r="A5" s="2772" t="s">
        <v>1438</v>
      </c>
      <c r="B5" s="2772">
        <f ca="1">IF(C5&lt;B2,"已过期",1119970111)</f>
        <v>1119970111</v>
      </c>
      <c r="C5" s="2775">
        <v>45937</v>
      </c>
      <c r="D5" s="2783" t="s">
        <v>1438</v>
      </c>
      <c r="E5" s="2772">
        <f ca="1">IF(F5&lt;B2,"已过期",94010078)</f>
        <v>94010078</v>
      </c>
      <c r="F5" s="2774">
        <v>46387</v>
      </c>
      <c r="G5" s="2767"/>
    </row>
    <row r="6" spans="1:7" ht="20.25" customHeight="1">
      <c r="A6" s="2772" t="s">
        <v>1439</v>
      </c>
      <c r="B6" s="2772">
        <f ca="1">IF(C6&lt;B2,"已过期",1120050019)</f>
        <v>1120050019</v>
      </c>
      <c r="C6" s="2775">
        <v>45410</v>
      </c>
      <c r="D6" s="2783" t="s">
        <v>1439</v>
      </c>
      <c r="E6" s="2772">
        <f ca="1">IF(F6&lt;B2,"已过期",2002110030)</f>
        <v>2002110030</v>
      </c>
      <c r="F6" s="2774">
        <v>46387</v>
      </c>
      <c r="G6" s="2767"/>
    </row>
    <row r="7" spans="1:7" ht="20.25" customHeight="1">
      <c r="A7" s="2772" t="s">
        <v>1440</v>
      </c>
      <c r="B7" s="2772">
        <f ca="1">IF(C7&lt;B2,"已过期",1120000080)</f>
        <v>1120000080</v>
      </c>
      <c r="C7" s="2775">
        <v>45937</v>
      </c>
      <c r="D7" s="2783" t="s">
        <v>1440</v>
      </c>
      <c r="E7" s="2772">
        <f ca="1">IF(F7&lt;B2,"已过期",2000110082)</f>
        <v>2000110082</v>
      </c>
      <c r="F7" s="2774">
        <v>46387</v>
      </c>
      <c r="G7" s="2767"/>
    </row>
    <row r="8" spans="1:7" ht="20.25" customHeight="1">
      <c r="A8" s="2772" t="s">
        <v>1441</v>
      </c>
      <c r="B8" s="2772">
        <f ca="1">IF(C8&lt;B2,"已过期",1419970001)</f>
        <v>1419970001</v>
      </c>
      <c r="C8" s="2775">
        <v>45937</v>
      </c>
      <c r="D8" s="2783" t="s">
        <v>1441</v>
      </c>
      <c r="E8" s="2772">
        <f ca="1">IF(F8&lt;B2,"已过期",2002110125)</f>
        <v>2002110125</v>
      </c>
      <c r="F8" s="2774">
        <v>47118</v>
      </c>
      <c r="G8" s="2767"/>
    </row>
    <row r="9" spans="1:7" ht="20.25" customHeight="1">
      <c r="A9" s="2772" t="s">
        <v>1442</v>
      </c>
      <c r="B9" s="2772">
        <f ca="1">IF(C9&lt;B2,"已过期",1120060040)</f>
        <v>1120060040</v>
      </c>
      <c r="C9" s="2775">
        <v>45592</v>
      </c>
      <c r="D9" s="2783" t="s">
        <v>1442</v>
      </c>
      <c r="E9" s="2772">
        <f ca="1">IF(F9&lt;B2,"已过期",2004110096)</f>
        <v>2004110096</v>
      </c>
      <c r="F9" s="2774">
        <v>47118</v>
      </c>
      <c r="G9" s="2767"/>
    </row>
    <row r="10" spans="1:7" ht="20.25" customHeight="1">
      <c r="A10" s="2772" t="s">
        <v>1443</v>
      </c>
      <c r="B10" s="2772">
        <f ca="1">IF(C10&lt;B2,"已过期",1120100036)</f>
        <v>1120100036</v>
      </c>
      <c r="C10" s="2775">
        <v>45752</v>
      </c>
      <c r="D10" s="2783" t="s">
        <v>1443</v>
      </c>
      <c r="E10" s="2772">
        <f ca="1">IF(F10&lt;B2,"已过期",2010110070)</f>
        <v>2010110070</v>
      </c>
      <c r="F10" s="2774">
        <v>47907</v>
      </c>
      <c r="G10" s="2767"/>
    </row>
    <row r="11" spans="1:7" ht="20.25" customHeight="1">
      <c r="A11" s="2772" t="s">
        <v>1444</v>
      </c>
      <c r="B11" s="2772">
        <f ca="1">IF(C11&lt;B2,"已过期",1120070131)</f>
        <v>1120070131</v>
      </c>
      <c r="C11" s="2775">
        <v>45937</v>
      </c>
      <c r="D11" s="2783" t="s">
        <v>1444</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1445</v>
      </c>
      <c r="E13" s="2772">
        <f ca="1">IF(F13&lt;B2,"已过期",2011110090)</f>
        <v>2011110090</v>
      </c>
      <c r="F13" s="2774">
        <v>48302</v>
      </c>
      <c r="G13" s="2767"/>
    </row>
    <row r="14" spans="1:7" ht="20.25" customHeight="1">
      <c r="A14" s="2772" t="s">
        <v>1446</v>
      </c>
      <c r="B14" s="2772">
        <f ca="1">IF(C14&lt;B2,"已过期",1120020033)</f>
        <v>1120020033</v>
      </c>
      <c r="C14" s="2775">
        <v>45375</v>
      </c>
      <c r="D14" s="2783" t="s">
        <v>1446</v>
      </c>
      <c r="E14" s="2772">
        <f ca="1">IF(F14&lt;B2,"已过期",2000110137)</f>
        <v>2000110137</v>
      </c>
      <c r="F14" s="2774">
        <v>46387</v>
      </c>
      <c r="G14" s="2767"/>
    </row>
    <row r="15" spans="1:7" ht="20.25" customHeight="1">
      <c r="A15" s="2772" t="s">
        <v>2246</v>
      </c>
      <c r="B15" s="2772">
        <f ca="1">IF(C15&lt;B2,"已过期",1119980106)</f>
        <v>1119980106</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1568</v>
      </c>
      <c r="B17" s="2771" t="s">
        <v>1568</v>
      </c>
      <c r="C17" s="2775"/>
      <c r="D17" s="2784" t="s">
        <v>1568</v>
      </c>
      <c r="E17" s="2772" t="s">
        <v>1568</v>
      </c>
      <c r="F17" s="2774"/>
      <c r="G17" s="2776"/>
    </row>
    <row r="18" spans="1:7" ht="20.25" customHeight="1">
      <c r="A18" s="3732" t="s">
        <v>1447</v>
      </c>
      <c r="B18" s="3733"/>
      <c r="C18" s="3733"/>
      <c r="D18" s="3733"/>
      <c r="E18" s="3733"/>
      <c r="F18" s="3733"/>
      <c r="G18" s="2776"/>
    </row>
    <row r="19" spans="1:7" ht="20.25" customHeight="1">
      <c r="A19" s="3729" t="s">
        <v>1448</v>
      </c>
      <c r="B19" s="3729"/>
      <c r="C19" s="3730"/>
      <c r="D19" s="3731" t="s">
        <v>1449</v>
      </c>
      <c r="E19" s="3729"/>
      <c r="F19" s="3729"/>
      <c r="G19" s="2776"/>
    </row>
    <row r="20" spans="1:7" s="2583" customFormat="1" ht="20.25" customHeight="1">
      <c r="A20" s="2777" t="s">
        <v>1450</v>
      </c>
      <c r="B20" s="2778" t="s">
        <v>1451</v>
      </c>
      <c r="C20" s="2785" t="s">
        <v>1452</v>
      </c>
      <c r="D20" s="2783" t="s">
        <v>1450</v>
      </c>
      <c r="E20" s="2778" t="s">
        <v>1451</v>
      </c>
      <c r="F20" s="2778" t="s">
        <v>1452</v>
      </c>
      <c r="G20" s="2768"/>
    </row>
    <row r="21" spans="1:7" s="2583" customFormat="1" ht="20.25" customHeight="1">
      <c r="A21" s="2779" t="s">
        <v>1453</v>
      </c>
      <c r="B21" s="2779" t="s">
        <v>1454</v>
      </c>
      <c r="C21" s="2786">
        <v>45898</v>
      </c>
      <c r="D21" s="2788" t="s">
        <v>1455</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 sqref="B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793</v>
      </c>
      <c r="B1" s="3" t="s">
        <v>98</v>
      </c>
      <c r="C1" s="1367" t="s">
        <v>1236</v>
      </c>
      <c r="D1" s="2196" t="s">
        <v>2759</v>
      </c>
      <c r="E1" s="4" t="s">
        <v>99</v>
      </c>
      <c r="F1" s="4" t="s">
        <v>100</v>
      </c>
      <c r="G1" s="4" t="s">
        <v>101</v>
      </c>
      <c r="H1" s="4" t="s">
        <v>102</v>
      </c>
      <c r="I1" s="4" t="s">
        <v>103</v>
      </c>
      <c r="J1" s="4" t="s">
        <v>104</v>
      </c>
      <c r="K1" s="4" t="s">
        <v>105</v>
      </c>
      <c r="L1" s="4" t="s">
        <v>106</v>
      </c>
      <c r="M1" s="4" t="s">
        <v>107</v>
      </c>
      <c r="N1" s="4" t="s">
        <v>108</v>
      </c>
      <c r="O1" s="4" t="s">
        <v>109</v>
      </c>
      <c r="P1" s="4" t="s">
        <v>110</v>
      </c>
      <c r="Q1" s="2196" t="s">
        <v>1825</v>
      </c>
      <c r="R1" s="2195" t="s">
        <v>1819</v>
      </c>
      <c r="S1" s="4" t="s">
        <v>111</v>
      </c>
      <c r="T1" s="5" t="s">
        <v>112</v>
      </c>
      <c r="U1" s="4" t="s">
        <v>113</v>
      </c>
      <c r="V1" s="4" t="s">
        <v>114</v>
      </c>
      <c r="W1" s="966" t="s">
        <v>810</v>
      </c>
    </row>
    <row r="2" spans="1:23">
      <c r="A2" s="1048" t="s">
        <v>3361</v>
      </c>
      <c r="B2" s="6" t="s">
        <v>115</v>
      </c>
      <c r="C2" s="1368" t="s">
        <v>1237</v>
      </c>
      <c r="D2" s="7" t="s">
        <v>47</v>
      </c>
      <c r="E2" s="7" t="s">
        <v>94</v>
      </c>
      <c r="F2" s="7" t="s">
        <v>95</v>
      </c>
      <c r="G2" s="4">
        <v>20</v>
      </c>
      <c r="H2" s="7" t="s">
        <v>96</v>
      </c>
      <c r="I2" s="7" t="s">
        <v>2745</v>
      </c>
      <c r="J2" s="7" t="s">
        <v>97</v>
      </c>
      <c r="K2" s="7" t="s">
        <v>48</v>
      </c>
      <c r="L2" s="7" t="s">
        <v>48</v>
      </c>
      <c r="M2" s="7" t="s">
        <v>48</v>
      </c>
      <c r="N2" s="7" t="s">
        <v>48</v>
      </c>
      <c r="O2" s="7" t="s">
        <v>48</v>
      </c>
      <c r="P2" s="967" t="s">
        <v>816</v>
      </c>
      <c r="Q2" s="7" t="s">
        <v>48</v>
      </c>
      <c r="R2" s="967" t="s">
        <v>1820</v>
      </c>
      <c r="S2" s="7" t="s">
        <v>48</v>
      </c>
      <c r="T2" s="7" t="s">
        <v>49</v>
      </c>
      <c r="U2" s="7" t="s">
        <v>48</v>
      </c>
      <c r="V2" s="7" t="s">
        <v>50</v>
      </c>
      <c r="W2" s="7" t="s">
        <v>811</v>
      </c>
    </row>
    <row r="3" spans="1:23">
      <c r="A3" s="6" t="s">
        <v>51</v>
      </c>
      <c r="B3" s="8" t="s">
        <v>116</v>
      </c>
      <c r="C3" s="1369" t="s">
        <v>1238</v>
      </c>
      <c r="D3" s="7" t="s">
        <v>52</v>
      </c>
      <c r="E3" s="7" t="s">
        <v>3</v>
      </c>
      <c r="F3" s="7" t="s">
        <v>53</v>
      </c>
      <c r="G3" s="7">
        <v>40</v>
      </c>
      <c r="H3" s="7" t="s">
        <v>54</v>
      </c>
      <c r="I3" s="7" t="s">
        <v>2746</v>
      </c>
      <c r="J3" s="7" t="s">
        <v>55</v>
      </c>
      <c r="K3" s="7" t="s">
        <v>56</v>
      </c>
      <c r="L3" s="7" t="s">
        <v>56</v>
      </c>
      <c r="M3" s="7" t="s">
        <v>56</v>
      </c>
      <c r="N3" s="7" t="s">
        <v>56</v>
      </c>
      <c r="O3" s="7" t="s">
        <v>56</v>
      </c>
      <c r="P3" s="967" t="s">
        <v>547</v>
      </c>
      <c r="Q3" s="7" t="s">
        <v>56</v>
      </c>
      <c r="R3" s="967" t="s">
        <v>1821</v>
      </c>
      <c r="S3" s="7" t="s">
        <v>56</v>
      </c>
      <c r="T3" s="7" t="s">
        <v>57</v>
      </c>
      <c r="U3" s="7" t="s">
        <v>56</v>
      </c>
      <c r="V3" s="7" t="s">
        <v>58</v>
      </c>
      <c r="W3" s="7" t="s">
        <v>812</v>
      </c>
    </row>
    <row r="4" spans="1:23">
      <c r="A4" s="6" t="s">
        <v>59</v>
      </c>
      <c r="B4" s="6" t="s">
        <v>117</v>
      </c>
      <c r="C4" s="1368" t="s">
        <v>1239</v>
      </c>
      <c r="D4" s="7" t="s">
        <v>1509</v>
      </c>
      <c r="E4" s="7" t="s">
        <v>60</v>
      </c>
      <c r="F4" s="7" t="s">
        <v>61</v>
      </c>
      <c r="G4" s="7">
        <v>50</v>
      </c>
      <c r="H4" s="7" t="s">
        <v>62</v>
      </c>
      <c r="I4" s="7" t="s">
        <v>2747</v>
      </c>
      <c r="K4" s="7" t="s">
        <v>63</v>
      </c>
      <c r="L4" s="7" t="s">
        <v>63</v>
      </c>
      <c r="M4" s="7" t="s">
        <v>63</v>
      </c>
      <c r="N4" s="7" t="s">
        <v>63</v>
      </c>
      <c r="O4" s="7" t="s">
        <v>63</v>
      </c>
      <c r="P4" s="967" t="s">
        <v>699</v>
      </c>
      <c r="Q4" s="7" t="s">
        <v>63</v>
      </c>
      <c r="R4" s="967" t="s">
        <v>1822</v>
      </c>
      <c r="S4" s="7" t="s">
        <v>63</v>
      </c>
      <c r="T4" s="7" t="s">
        <v>64</v>
      </c>
      <c r="U4" s="7" t="s">
        <v>63</v>
      </c>
      <c r="W4" s="7" t="s">
        <v>813</v>
      </c>
    </row>
    <row r="5" spans="1:23">
      <c r="A5" s="6" t="s">
        <v>65</v>
      </c>
      <c r="B5" s="6" t="s">
        <v>118</v>
      </c>
      <c r="C5" s="1368" t="s">
        <v>1240</v>
      </c>
      <c r="F5" s="7" t="s">
        <v>66</v>
      </c>
      <c r="G5" s="7">
        <v>70</v>
      </c>
      <c r="H5" s="7" t="s">
        <v>44</v>
      </c>
      <c r="I5" s="7" t="s">
        <v>2748</v>
      </c>
      <c r="K5" s="7" t="s">
        <v>67</v>
      </c>
      <c r="L5" s="7" t="s">
        <v>67</v>
      </c>
      <c r="M5" s="7" t="s">
        <v>67</v>
      </c>
      <c r="N5" s="7" t="s">
        <v>67</v>
      </c>
      <c r="O5" s="7" t="s">
        <v>67</v>
      </c>
      <c r="P5" s="967" t="s">
        <v>494</v>
      </c>
      <c r="Q5" s="7" t="s">
        <v>67</v>
      </c>
      <c r="R5" s="967" t="s">
        <v>1823</v>
      </c>
      <c r="S5" s="7" t="s">
        <v>67</v>
      </c>
      <c r="T5" s="7" t="s">
        <v>68</v>
      </c>
      <c r="U5" s="7" t="s">
        <v>67</v>
      </c>
      <c r="W5" s="7" t="s">
        <v>814</v>
      </c>
    </row>
    <row r="6" spans="1:23">
      <c r="A6" s="6" t="s">
        <v>69</v>
      </c>
      <c r="B6" s="1048" t="s">
        <v>1175</v>
      </c>
      <c r="C6" s="1370" t="s">
        <v>1241</v>
      </c>
      <c r="F6" s="7" t="s">
        <v>45</v>
      </c>
      <c r="H6" s="7" t="s">
        <v>46</v>
      </c>
      <c r="I6" s="7" t="s">
        <v>2749</v>
      </c>
      <c r="K6" s="7" t="s">
        <v>70</v>
      </c>
      <c r="L6" s="7" t="s">
        <v>70</v>
      </c>
      <c r="M6" s="7" t="s">
        <v>70</v>
      </c>
      <c r="N6" s="7" t="s">
        <v>70</v>
      </c>
      <c r="O6" s="7" t="s">
        <v>70</v>
      </c>
      <c r="P6" s="967" t="s">
        <v>817</v>
      </c>
      <c r="Q6" s="7" t="s">
        <v>70</v>
      </c>
      <c r="R6" s="967" t="s">
        <v>1824</v>
      </c>
      <c r="S6" s="7" t="s">
        <v>70</v>
      </c>
      <c r="T6" s="7"/>
      <c r="U6" s="7" t="s">
        <v>70</v>
      </c>
      <c r="W6" s="7" t="s">
        <v>815</v>
      </c>
    </row>
    <row r="7" spans="1:23">
      <c r="A7" s="6" t="s">
        <v>71</v>
      </c>
      <c r="B7" s="6" t="s">
        <v>72</v>
      </c>
      <c r="C7" s="1368" t="s">
        <v>1242</v>
      </c>
      <c r="F7" s="7" t="s">
        <v>119</v>
      </c>
      <c r="H7" s="7" t="s">
        <v>73</v>
      </c>
      <c r="I7" s="7" t="s">
        <v>2750</v>
      </c>
    </row>
    <row r="8" spans="1:23">
      <c r="A8" s="6" t="s">
        <v>74</v>
      </c>
      <c r="B8" s="6" t="s">
        <v>75</v>
      </c>
      <c r="C8" s="1368" t="s">
        <v>1243</v>
      </c>
      <c r="F8" s="7" t="s">
        <v>120</v>
      </c>
      <c r="H8" s="3336" t="s">
        <v>2744</v>
      </c>
      <c r="I8" s="7" t="s">
        <v>2751</v>
      </c>
    </row>
    <row r="9" spans="1:23">
      <c r="A9" s="6" t="s">
        <v>76</v>
      </c>
      <c r="B9" s="6" t="s">
        <v>121</v>
      </c>
      <c r="C9" s="1368" t="s">
        <v>1244</v>
      </c>
      <c r="F9" s="7" t="s">
        <v>77</v>
      </c>
      <c r="H9" s="7"/>
      <c r="I9" s="7" t="s">
        <v>2752</v>
      </c>
    </row>
    <row r="10" spans="1:23">
      <c r="A10" s="6" t="s">
        <v>78</v>
      </c>
      <c r="B10" s="6" t="s">
        <v>122</v>
      </c>
      <c r="C10" s="1368" t="s">
        <v>1245</v>
      </c>
      <c r="F10" s="3336" t="s">
        <v>2743</v>
      </c>
      <c r="I10" s="7" t="s">
        <v>2753</v>
      </c>
    </row>
    <row r="11" spans="1:23">
      <c r="A11" s="6" t="s">
        <v>79</v>
      </c>
      <c r="B11" s="6" t="s">
        <v>123</v>
      </c>
      <c r="C11" s="1368" t="s">
        <v>1246</v>
      </c>
      <c r="I11" s="7" t="s">
        <v>2754</v>
      </c>
    </row>
    <row r="12" spans="1:23">
      <c r="A12" s="6" t="s">
        <v>80</v>
      </c>
      <c r="B12" s="6" t="s">
        <v>124</v>
      </c>
      <c r="C12" s="1368" t="s">
        <v>1247</v>
      </c>
      <c r="I12" s="7" t="s">
        <v>2755</v>
      </c>
    </row>
    <row r="13" spans="1:23">
      <c r="A13" s="6" t="s">
        <v>81</v>
      </c>
      <c r="B13" s="6" t="s">
        <v>125</v>
      </c>
      <c r="C13" s="1368" t="s">
        <v>1248</v>
      </c>
      <c r="I13" s="7" t="s">
        <v>2756</v>
      </c>
    </row>
    <row r="14" spans="1:23">
      <c r="A14" s="6" t="s">
        <v>82</v>
      </c>
      <c r="B14" s="6" t="s">
        <v>126</v>
      </c>
      <c r="C14" s="1371" t="s">
        <v>1420</v>
      </c>
      <c r="I14" s="7" t="s">
        <v>2757</v>
      </c>
    </row>
    <row r="15" spans="1:23">
      <c r="A15" s="6" t="s">
        <v>83</v>
      </c>
      <c r="B15" s="6" t="s">
        <v>1213</v>
      </c>
      <c r="C15" s="1371"/>
      <c r="I15" s="7" t="s">
        <v>2758</v>
      </c>
    </row>
    <row r="16" spans="1:23">
      <c r="A16" s="6" t="s">
        <v>84</v>
      </c>
      <c r="B16" s="6" t="s">
        <v>1214</v>
      </c>
      <c r="C16" s="1371"/>
    </row>
    <row r="17" spans="1:3">
      <c r="A17" s="6" t="s">
        <v>85</v>
      </c>
      <c r="B17" s="6" t="s">
        <v>1215</v>
      </c>
      <c r="C17" s="1371"/>
    </row>
    <row r="18" spans="1:3">
      <c r="A18" s="6" t="s">
        <v>86</v>
      </c>
      <c r="B18" s="2546" t="s">
        <v>2212</v>
      </c>
      <c r="C18" s="1371"/>
    </row>
    <row r="19" spans="1:3">
      <c r="A19" s="6" t="s">
        <v>87</v>
      </c>
      <c r="B19" s="2546" t="s">
        <v>2219</v>
      </c>
      <c r="C19" s="1371"/>
    </row>
    <row r="20" spans="1:3">
      <c r="A20" s="6" t="s">
        <v>88</v>
      </c>
      <c r="B20" s="2546" t="s">
        <v>2259</v>
      </c>
      <c r="C20" s="1371"/>
    </row>
    <row r="21" spans="1:3">
      <c r="A21" s="6" t="s">
        <v>89</v>
      </c>
      <c r="B21" s="6" t="s">
        <v>2438</v>
      </c>
      <c r="C21" s="1371"/>
    </row>
    <row r="22" spans="1:3">
      <c r="A22" s="6" t="s">
        <v>90</v>
      </c>
      <c r="B22" s="6" t="s">
        <v>1176</v>
      </c>
      <c r="C22" s="1371"/>
    </row>
    <row r="23" spans="1:3">
      <c r="A23" s="6" t="s">
        <v>91</v>
      </c>
      <c r="B23" s="6" t="s">
        <v>1176</v>
      </c>
      <c r="C23" s="1371"/>
    </row>
    <row r="24" spans="1:3">
      <c r="A24" s="6" t="s">
        <v>9</v>
      </c>
      <c r="B24" s="6" t="s">
        <v>1176</v>
      </c>
      <c r="C24" s="1371"/>
    </row>
    <row r="25" spans="1:3">
      <c r="A25" s="6" t="s">
        <v>92</v>
      </c>
      <c r="B25" s="6" t="s">
        <v>1176</v>
      </c>
      <c r="C25" s="1371"/>
    </row>
    <row r="26" spans="1:3">
      <c r="A26" s="6" t="s">
        <v>93</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5" t="s">
        <v>1461</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三博脑科医院有限公司拟使用北京市朝阳区东坝非配套项目用地（E组团A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1501</v>
      </c>
      <c r="B52" s="1558" t="s">
        <v>1502</v>
      </c>
      <c r="C52" s="1556" t="s">
        <v>1503</v>
      </c>
      <c r="D52" s="1556" t="s">
        <v>1504</v>
      </c>
      <c r="E52" s="1557"/>
    </row>
    <row r="53" spans="1:5">
      <c r="A53" s="3734" t="s">
        <v>1505</v>
      </c>
      <c r="B53" s="1556" t="s">
        <v>1511</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c r="D53" s="1557"/>
      <c r="E53" s="1557"/>
    </row>
    <row r="54" spans="1:5">
      <c r="A54" s="3734"/>
      <c r="B54" s="1556" t="s">
        <v>1512</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34"/>
      <c r="B55" s="1556" t="s">
        <v>1506</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34"/>
      <c r="B56" s="1556" t="s">
        <v>1507</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34"/>
      <c r="B57" s="1556" t="s">
        <v>1508</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1564</v>
      </c>
      <c r="B58" s="1556" t="s">
        <v>1565</v>
      </c>
      <c r="C58" s="9" t="s">
        <v>1566</v>
      </c>
      <c r="D58" s="1188"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不动产收益法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(原值)</vt:lpstr>
      <vt:lpstr>资料</vt:lpstr>
      <vt:lpstr>案例</vt:lpstr>
      <vt:lpstr>资料!_Hlk31371785</vt:lpstr>
      <vt:lpstr>资料!_Hlk82786365</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(原值)'!Print_Area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2023-01-18T04:00:02Z</dcterms:modified>
</cp:coreProperties>
</file>